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09415495\AppData\Local\Microsoft\Windows\INetCache\Content.Outlook\N6AJPARJ\"/>
    </mc:Choice>
  </mc:AlternateContent>
  <xr:revisionPtr revIDLastSave="0" documentId="13_ncr:1_{CC7B3603-A238-447C-B71C-DFB5E5B4B8B7}" xr6:coauthVersionLast="47" xr6:coauthVersionMax="47" xr10:uidLastSave="{00000000-0000-0000-0000-000000000000}"/>
  <bookViews>
    <workbookView xWindow="-108" yWindow="-108" windowWidth="23256" windowHeight="12576" tabRatio="821" firstSheet="2" activeTab="2" xr2:uid="{00000000-000D-0000-FFFF-FFFF00000000}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iv 3 (2)...4cb81c06_PBSMLS" sheetId="8" state="hidden" r:id="rId8"/>
    <sheet name="OSR_Div 2_1PQ800A" sheetId="10" state="hidden" r:id="rId9"/>
    <sheet name="OSR_Div 1 (2)...789fe994_2NV3KA" sheetId="11" state="hidden" r:id="rId10"/>
    <sheet name="OSR_Div 3_18723PH" sheetId="13" state="hidden" r:id="rId11"/>
    <sheet name="OSR_300 (2)_7...54cb56fc_UFX0O2" sheetId="14" state="hidden" r:id="rId12"/>
    <sheet name="OSR_300_IYZXI6" sheetId="16" state="hidden" r:id="rId13"/>
    <sheet name="OSR_310 (2)_5...3d931dee_QNK8R2" sheetId="17" state="hidden" r:id="rId14"/>
    <sheet name="OSR_300 &amp; 317_1C00ID4" sheetId="19" state="hidden" r:id="rId15"/>
    <sheet name="OSR_300 (2)_...6aa5a22d_14M6XO4" sheetId="20" state="hidden" r:id="rId16"/>
    <sheet name="OSR_310_1CMTOSB" sheetId="22" state="hidden" r:id="rId17"/>
    <sheet name="OSR_300 (2)_e...5d0da5bf_6BPGAO" sheetId="23" state="hidden" r:id="rId18"/>
    <sheet name="OSR_330_10VFP5Y" sheetId="25" state="hidden" r:id="rId19"/>
    <sheet name="OSR_310 (2)_...6e684f08_1FLCNJG" sheetId="26" state="hidden" r:id="rId20"/>
    <sheet name="OSR_308_UAWDAG" sheetId="28" state="hidden" r:id="rId21"/>
    <sheet name="OSR_330 (2)_...8a14c83e_1NSH7XI" sheetId="29" state="hidden" r:id="rId22"/>
    <sheet name="OSR_331_10VKQAJ" sheetId="31" state="hidden" r:id="rId23"/>
    <sheet name="OSR_308 (2)_...47685838_1YQW4QY" sheetId="32" state="hidden" r:id="rId24"/>
    <sheet name="OSR_332_6NDVBW" sheetId="34" state="hidden" r:id="rId25"/>
    <sheet name="OSR_331 (2)_...7280af70_1P5SPLT" sheetId="35" state="hidden" r:id="rId26"/>
    <sheet name="OSR_Div 4_1740TMT" sheetId="37" state="hidden" r:id="rId27"/>
    <sheet name="OSR_310 (2)_...8cac1423_1JTU33X" sheetId="38" state="hidden" r:id="rId28"/>
    <sheet name="OSR_310 &amp; 491_1NGRCS9" sheetId="40" state="hidden" r:id="rId29"/>
    <sheet name="OSR_491 (2)_...853a34aa_1UNC34K" sheetId="41" state="hidden" r:id="rId30"/>
    <sheet name="OSR_491_9Z9JH5" sheetId="43" state="hidden" r:id="rId31"/>
    <sheet name="OSR_Div 4 (2...2533da42_174R6QX" sheetId="44" state="hidden" r:id="rId32"/>
    <sheet name="OSR_492_943FP1" sheetId="46" state="hidden" r:id="rId33"/>
    <sheet name="OSR_Div 4 (2)...1a9a4454_CQFRNE" sheetId="47" state="hidden" r:id="rId34"/>
    <sheet name="OSR_Div 5_16NAZO2" sheetId="49" state="hidden" r:id="rId35"/>
    <sheet name="OSR_492 (2)_...cd97c6a6_13HYXEV" sheetId="50" state="hidden" r:id="rId36"/>
    <sheet name="OSR_Div 6_P37YY7" sheetId="52" state="hidden" r:id="rId37"/>
    <sheet name="OSR_Div 5 (2)...32d16c57_IVJ1QO" sheetId="53" state="hidden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2" r:id="rId51"/>
    <sheet name="330" sheetId="24" r:id="rId52"/>
    <sheet name="307" sheetId="63" r:id="rId53"/>
    <sheet name="308" sheetId="27" r:id="rId54"/>
    <sheet name="311" sheetId="65" r:id="rId55"/>
    <sheet name="324" sheetId="72" r:id="rId56"/>
    <sheet name="331" sheetId="30" r:id="rId57"/>
    <sheet name="315" sheetId="67" r:id="rId58"/>
    <sheet name="326" sheetId="74" r:id="rId59"/>
    <sheet name="332" sheetId="33" r:id="rId60"/>
    <sheet name="316" sheetId="68" r:id="rId61"/>
    <sheet name="Div 6" sheetId="51" r:id="rId62"/>
    <sheet name="317" sheetId="69" r:id="rId63"/>
    <sheet name="320" sheetId="70" r:id="rId64"/>
    <sheet name="310" sheetId="21" r:id="rId65"/>
    <sheet name="309" sheetId="64" r:id="rId66"/>
    <sheet name="321" sheetId="71" r:id="rId67"/>
    <sheet name="325" sheetId="73" r:id="rId68"/>
    <sheet name="327" sheetId="75" r:id="rId69"/>
    <sheet name="Div 4" sheetId="36" r:id="rId70"/>
    <sheet name="310 &amp; 491" sheetId="39" r:id="rId71"/>
    <sheet name="491" sheetId="42" r:id="rId72"/>
    <sheet name="405" sheetId="76" r:id="rId73"/>
    <sheet name="406" sheetId="77" r:id="rId74"/>
    <sheet name="411" sheetId="78" r:id="rId75"/>
    <sheet name="412" sheetId="79" r:id="rId76"/>
    <sheet name="413" sheetId="80" r:id="rId77"/>
    <sheet name="414" sheetId="81" r:id="rId78"/>
    <sheet name="415" sheetId="82" r:id="rId79"/>
    <sheet name="418" sheetId="83" r:id="rId80"/>
    <sheet name="423" sheetId="84" r:id="rId81"/>
    <sheet name="424" sheetId="85" r:id="rId82"/>
    <sheet name="425" sheetId="86" r:id="rId83"/>
    <sheet name="492" sheetId="45" r:id="rId84"/>
    <sheet name="430" sheetId="87" r:id="rId85"/>
    <sheet name="433" sheetId="88" r:id="rId86"/>
    <sheet name="444" sheetId="89" r:id="rId87"/>
    <sheet name="450" sheetId="90" r:id="rId88"/>
    <sheet name="Div 5" sheetId="48" r:id="rId89"/>
    <sheet name="501" sheetId="91" r:id="rId90"/>
    <sheet name="Dept" sheetId="92" state="hidden" r:id="rId91"/>
    <sheet name="OSR_Dept_Y0WUKY" sheetId="93" state="hidden" r:id="rId92"/>
    <sheet name="OSR_Summary (...56e5d78f_5JEYZH" sheetId="94" state="hidden" r:id="rId93"/>
  </sheets>
  <definedNames>
    <definedName name="OSRRefD13x_0" localSheetId="48">'300'!$D$13:$D$19</definedName>
    <definedName name="OSRRefD13x_0" localSheetId="49">'300 &amp; 317'!$D$13:$D$19</definedName>
    <definedName name="OSRRefD13x_0" localSheetId="52">'307'!$D$13:$D$16</definedName>
    <definedName name="OSRRefD13x_0" localSheetId="53">'308'!$D$13:$D$17</definedName>
    <definedName name="OSRRefD13x_0" localSheetId="64">'310'!$D$13:$D$16</definedName>
    <definedName name="OSRRefD13x_0" localSheetId="70">'310 &amp; 491'!$D$13:$D$18</definedName>
    <definedName name="OSRRefD13x_0" localSheetId="54">'311'!$D$13:$D$17</definedName>
    <definedName name="OSRRefD13x_0" localSheetId="57">'315'!$D$13:$D$17</definedName>
    <definedName name="OSRRefD13x_0" localSheetId="60">'316'!$D$13:$D$17</definedName>
    <definedName name="OSRRefD13x_0" localSheetId="62">'317'!$D$13:$D$17</definedName>
    <definedName name="OSRRefD13x_0" localSheetId="66">'321'!$D$13:$D$14</definedName>
    <definedName name="OSRRefD13x_0" localSheetId="55">'324'!$D$13:$D$14</definedName>
    <definedName name="OSRRefD13x_0" localSheetId="67">'325'!$D$13:$D$14</definedName>
    <definedName name="OSRRefD13x_0" localSheetId="58">'326'!$D$13:$D$16</definedName>
    <definedName name="OSRRefD13x_0" localSheetId="68">'327'!$D$13:$D$15</definedName>
    <definedName name="OSRRefD13x_0" localSheetId="51">'330'!$D$13:$D$16</definedName>
    <definedName name="OSRRefD13x_0" localSheetId="56">'331'!$D$13:$D$17</definedName>
    <definedName name="OSRRefD13x_0" localSheetId="59">'332'!$D$13:$D$17</definedName>
    <definedName name="OSRRefD13x_0" localSheetId="72">'405'!$D$13:$D$16</definedName>
    <definedName name="OSRRefD13x_0" localSheetId="78">'415'!$D$13:$D$16</definedName>
    <definedName name="OSRRefD13x_0" localSheetId="79">'418'!$D$13:$D$14</definedName>
    <definedName name="OSRRefD13x_0" localSheetId="82">'425'!$D$13</definedName>
    <definedName name="OSRRefD13x_0" localSheetId="85">'433'!$D$13:$D$16</definedName>
    <definedName name="OSRRefD13x_0" localSheetId="86">'444'!$D$13:$D$16</definedName>
    <definedName name="OSRRefD13x_0" localSheetId="87">'450'!$D$13:$D$16</definedName>
    <definedName name="OSRRefD13x_0" localSheetId="71">'491'!$D$13:$D$17</definedName>
    <definedName name="OSRRefD13x_0" localSheetId="83">'492'!$D$13:$D$16</definedName>
    <definedName name="OSRRefD13x_0" localSheetId="89">'501'!$D$13</definedName>
    <definedName name="OSRRefD13x_0" localSheetId="47">'Div 3'!$D$13:$D$21</definedName>
    <definedName name="OSRRefD13x_0" localSheetId="69">'Div 4'!$D$13:$D$18</definedName>
    <definedName name="OSRRefD13x_0" localSheetId="88">'Div 5'!$D$13</definedName>
    <definedName name="OSRRefD13x_0" localSheetId="61">'Div 6'!$D$13:$D$17</definedName>
    <definedName name="OSRRefD13x_0" localSheetId="2">Summary!$D$13:$D$23</definedName>
    <definedName name="OSRRefD16x_0" localSheetId="48">'300'!$D$22:$D$48</definedName>
    <definedName name="OSRRefD16x_0" localSheetId="49">'300 &amp; 317'!$D$22:$D$54</definedName>
    <definedName name="OSRRefD16x_0" localSheetId="50">'301'!$D$15</definedName>
    <definedName name="OSRRefD16x_0" localSheetId="52">'307'!$D$19:$D$28</definedName>
    <definedName name="OSRRefD16x_0" localSheetId="53">'308'!$D$20:$D$29</definedName>
    <definedName name="OSRRefD16x_0" localSheetId="64">'310'!$D$19:$D$21</definedName>
    <definedName name="OSRRefD16x_0" localSheetId="70">'310 &amp; 491'!$D$21:$D$23</definedName>
    <definedName name="OSRRefD16x_0" localSheetId="54">'311'!$D$20:$D$29</definedName>
    <definedName name="OSRRefD16x_0" localSheetId="57">'315'!$D$20:$D$38</definedName>
    <definedName name="OSRRefD16x_0" localSheetId="60">'316'!$D$20:$D$21</definedName>
    <definedName name="OSRRefD16x_0" localSheetId="62">'317'!$D$20:$D$29</definedName>
    <definedName name="OSRRefD16x_0" localSheetId="66">'321'!$D$17:$D$18</definedName>
    <definedName name="OSRRefD16x_0" localSheetId="55">'324'!$D$17</definedName>
    <definedName name="OSRRefD16x_0" localSheetId="67">'325'!$D$17:$D$19</definedName>
    <definedName name="OSRRefD16x_0" localSheetId="58">'326'!$D$19:$D$22</definedName>
    <definedName name="OSRRefD16x_0" localSheetId="68">'327'!$D$18:$D$20</definedName>
    <definedName name="OSRRefD16x_0" localSheetId="51">'330'!$D$19:$D$28</definedName>
    <definedName name="OSRRefD16x_0" localSheetId="56">'331'!$D$20:$D$38</definedName>
    <definedName name="OSRRefD16x_0" localSheetId="59">'332'!$D$20:$D$21</definedName>
    <definedName name="OSRRefD16x_0" localSheetId="72">'405'!$D$19:$D$21</definedName>
    <definedName name="OSRRefD16x_0" localSheetId="78">'415'!$D$19:$D$21</definedName>
    <definedName name="OSRRefD16x_0" localSheetId="79">'418'!$D$17:$D$18</definedName>
    <definedName name="OSRRefD16x_0" localSheetId="82">'425'!$D$16</definedName>
    <definedName name="OSRRefD16x_0" localSheetId="85">'433'!$D$19:$D$21</definedName>
    <definedName name="OSRRefD16x_0" localSheetId="86">'444'!$D$19:$D$21</definedName>
    <definedName name="OSRRefD16x_0" localSheetId="87">'450'!$D$19:$D$21</definedName>
    <definedName name="OSRRefD16x_0" localSheetId="71">'491'!$D$20:$D$22</definedName>
    <definedName name="OSRRefD16x_0" localSheetId="83">'492'!$D$19:$D$21</definedName>
    <definedName name="OSRRefD16x_0" localSheetId="47">'Div 3'!$D$24:$D$52</definedName>
    <definedName name="OSRRefD16x_0" localSheetId="69">'Div 4'!$D$21:$D$23</definedName>
    <definedName name="OSRRefD16x_0" localSheetId="61">'Div 6'!$D$20:$D$29</definedName>
    <definedName name="OSRRefD16x_0" localSheetId="2">Summary!$D$26:$D$60</definedName>
    <definedName name="OSRRefD22_0x_0" localSheetId="40">'200'!$D$20</definedName>
    <definedName name="OSRRefD22_0x_0" localSheetId="41">'201'!$D$20:$D$28</definedName>
    <definedName name="OSRRefD22_0x_0" localSheetId="42">'202'!$D$20:$D$28</definedName>
    <definedName name="OSRRefD22_0x_0" localSheetId="43">'203'!$D$20:$D$29</definedName>
    <definedName name="OSRRefD22_0x_0" localSheetId="44">'204'!$D$20:$D$28</definedName>
    <definedName name="OSRRefD22_0x_0" localSheetId="45">'205'!$D$20:$D$28</definedName>
    <definedName name="OSRRefD22_0x_0" localSheetId="46">'206'!$D$20:$D$28</definedName>
    <definedName name="OSRRefD22_0x_0" localSheetId="48">'300'!$D$54:$D$63</definedName>
    <definedName name="OSRRefD22_0x_0" localSheetId="49">'300 &amp; 317'!$D$60:$D$69</definedName>
    <definedName name="OSRRefD22_0x_0" localSheetId="50">'301'!$D$21:$D$30</definedName>
    <definedName name="OSRRefD22_0x_0" localSheetId="52">'307'!$D$34:$D$41</definedName>
    <definedName name="OSRRefD22_0x_0" localSheetId="53">'308'!$D$35:$D$44</definedName>
    <definedName name="OSRRefD22_0x_0" localSheetId="65">'309'!$D$20</definedName>
    <definedName name="OSRRefD22_0x_0" localSheetId="64">'310'!$D$27:$D$35</definedName>
    <definedName name="OSRRefD22_0x_0" localSheetId="70">'310 &amp; 491'!$D$29:$D$37</definedName>
    <definedName name="OSRRefD22_0x_0" localSheetId="54">'311'!$D$35:$D$44</definedName>
    <definedName name="OSRRefD22_0x_0" localSheetId="57">'315'!$D$44:$D$52</definedName>
    <definedName name="OSRRefD22_0x_0" localSheetId="60">'316'!$D$27:$D$35</definedName>
    <definedName name="OSRRefD22_0x_0" localSheetId="62">'317'!$D$35:$D$44</definedName>
    <definedName name="OSRRefD22_0x_0" localSheetId="66">'321'!$D$24:$D$32</definedName>
    <definedName name="OSRRefD22_0x_0" localSheetId="67">'325'!$D$25:$D$33</definedName>
    <definedName name="OSRRefD22_0x_0" localSheetId="58">'326'!$D$28:$D$36</definedName>
    <definedName name="OSRRefD22_0x_0" localSheetId="68">'327'!$D$26</definedName>
    <definedName name="OSRRefD22_0x_0" localSheetId="51">'330'!$D$34:$D$41</definedName>
    <definedName name="OSRRefD22_0x_0" localSheetId="56">'331'!$D$44:$D$52</definedName>
    <definedName name="OSRRefD22_0x_0" localSheetId="59">'332'!$D$27:$D$35</definedName>
    <definedName name="OSRRefD22_0x_0" localSheetId="72">'405'!$D$27:$D$35</definedName>
    <definedName name="OSRRefD22_0x_0" localSheetId="73">'406'!$D$20</definedName>
    <definedName name="OSRRefD22_0x_0" localSheetId="74">'411'!$D$20:$D$28</definedName>
    <definedName name="OSRRefD22_0x_0" localSheetId="75">'412'!$D$20</definedName>
    <definedName name="OSRRefD22_0x_0" localSheetId="76">'413'!$D$20</definedName>
    <definedName name="OSRRefD22_0x_0" localSheetId="77">'414'!$D$20</definedName>
    <definedName name="OSRRefD22_0x_0" localSheetId="78">'415'!$D$27:$D$35</definedName>
    <definedName name="OSRRefD22_0x_0" localSheetId="79">'418'!$D$24:$D$32</definedName>
    <definedName name="OSRRefD22_0x_0" localSheetId="80">'423'!$D$20:$D$27</definedName>
    <definedName name="OSRRefD22_0x_0" localSheetId="81">'424'!$D$20</definedName>
    <definedName name="OSRRefD22_0x_0" localSheetId="82">'425'!$D$22</definedName>
    <definedName name="OSRRefD22_0x_0" localSheetId="84">'430'!$D$20:$D$28</definedName>
    <definedName name="OSRRefD22_0x_0" localSheetId="85">'433'!$D$27:$D$36</definedName>
    <definedName name="OSRRefD22_0x_0" localSheetId="86">'444'!$D$27:$D$36</definedName>
    <definedName name="OSRRefD22_0x_0" localSheetId="87">'450'!$D$27:$D$36</definedName>
    <definedName name="OSRRefD22_0x_0" localSheetId="71">'491'!$D$28:$D$36</definedName>
    <definedName name="OSRRefD22_0x_0" localSheetId="83">'492'!$D$27:$D$36</definedName>
    <definedName name="OSRRefD22_0x_0" localSheetId="89">'501'!$D$21:$D$30</definedName>
    <definedName name="OSRRefD22_0x_0" localSheetId="39">'Div 2'!$D$20:$D$30</definedName>
    <definedName name="OSRRefD22_0x_0" localSheetId="47">'Div 3'!$D$58:$D$67</definedName>
    <definedName name="OSRRefD22_0x_0" localSheetId="69">'Div 4'!$D$29:$D$38</definedName>
    <definedName name="OSRRefD22_0x_0" localSheetId="88">'Div 5'!$D$21:$D$30</definedName>
    <definedName name="OSRRefD22_0x_0" localSheetId="61">'Div 6'!$D$35:$D$44</definedName>
    <definedName name="OSRRefD22_0x_0" localSheetId="2">Summary!$D$66:$D$75</definedName>
    <definedName name="OSRRefD22_10x_0" localSheetId="41">'201'!$D$60</definedName>
    <definedName name="OSRRefD22_10x_0" localSheetId="42">'202'!$D$59</definedName>
    <definedName name="OSRRefD22_10x_0" localSheetId="43">'203'!$D$61</definedName>
    <definedName name="OSRRefD22_10x_0" localSheetId="48">'300'!$D$94:$D$95</definedName>
    <definedName name="OSRRefD22_10x_0" localSheetId="49">'300 &amp; 317'!$D$100:$D$101</definedName>
    <definedName name="OSRRefD22_10x_0" localSheetId="50">'301'!$D$61</definedName>
    <definedName name="OSRRefD22_10x_0" localSheetId="52">'307'!$D$72:$D$73</definedName>
    <definedName name="OSRRefD22_10x_0" localSheetId="53">'308'!$D$75:$D$76</definedName>
    <definedName name="OSRRefD22_10x_0" localSheetId="64">'310'!$D$65:$D$67</definedName>
    <definedName name="OSRRefD22_10x_0" localSheetId="70">'310 &amp; 491'!$D$67</definedName>
    <definedName name="OSRRefD22_10x_0" localSheetId="54">'311'!$D$75:$D$76</definedName>
    <definedName name="OSRRefD22_10x_0" localSheetId="57">'315'!$D$82</definedName>
    <definedName name="OSRRefD22_10x_0" localSheetId="60">'316'!$D$70</definedName>
    <definedName name="OSRRefD22_10x_0" localSheetId="66">'321'!$D$66</definedName>
    <definedName name="OSRRefD22_10x_0" localSheetId="67">'325'!$D$63:$D$65</definedName>
    <definedName name="OSRRefD22_10x_0" localSheetId="58">'326'!$D$66</definedName>
    <definedName name="OSRRefD22_10x_0" localSheetId="51">'330'!$D$72:$D$73</definedName>
    <definedName name="OSRRefD22_10x_0" localSheetId="56">'331'!$D$83</definedName>
    <definedName name="OSRRefD22_10x_0" localSheetId="59">'332'!$D$70</definedName>
    <definedName name="OSRRefD22_10x_0" localSheetId="72">'405'!$D$66:$D$69</definedName>
    <definedName name="OSRRefD22_10x_0" localSheetId="74">'411'!$D$62</definedName>
    <definedName name="OSRRefD22_10x_0" localSheetId="78">'415'!$D$65:$D$66</definedName>
    <definedName name="OSRRefD22_10x_0" localSheetId="79">'418'!$D$66</definedName>
    <definedName name="OSRRefD22_10x_0" localSheetId="85">'433'!$D$65</definedName>
    <definedName name="OSRRefD22_10x_0" localSheetId="86">'444'!$D$65</definedName>
    <definedName name="OSRRefD22_10x_0" localSheetId="87">'450'!$D$65</definedName>
    <definedName name="OSRRefD22_10x_0" localSheetId="71">'491'!$D$66</definedName>
    <definedName name="OSRRefD22_10x_0" localSheetId="83">'492'!$D$65</definedName>
    <definedName name="OSRRefD22_10x_0" localSheetId="89">'501'!$D$62</definedName>
    <definedName name="OSRRefD22_10x_0" localSheetId="39">'Div 2'!$D$60</definedName>
    <definedName name="OSRRefD22_10x_0" localSheetId="47">'Div 3'!$D$98:$D$99</definedName>
    <definedName name="OSRRefD22_10x_0" localSheetId="69">'Div 4'!$D$68</definedName>
    <definedName name="OSRRefD22_10x_0" localSheetId="88">'Div 5'!$D$62</definedName>
    <definedName name="OSRRefD22_10x_0" localSheetId="2">Summary!$D$106:$D$107</definedName>
    <definedName name="OSRRefD22_11x_0" localSheetId="41">'201'!$D$62:$D$63</definedName>
    <definedName name="OSRRefD22_11x_0" localSheetId="42">'202'!$D$61</definedName>
    <definedName name="OSRRefD22_11x_0" localSheetId="43">'203'!$D$63:$D$66</definedName>
    <definedName name="OSRRefD22_11x_0" localSheetId="48">'300'!$D$97:$D$98</definedName>
    <definedName name="OSRRefD22_11x_0" localSheetId="49">'300 &amp; 317'!$D$103:$D$104</definedName>
    <definedName name="OSRRefD22_11x_0" localSheetId="50">'301'!$D$63</definedName>
    <definedName name="OSRRefD22_11x_0" localSheetId="52">'307'!$D$75:$D$78</definedName>
    <definedName name="OSRRefD22_11x_0" localSheetId="53">'308'!$D$78:$D$79</definedName>
    <definedName name="OSRRefD22_11x_0" localSheetId="64">'310'!$D$69</definedName>
    <definedName name="OSRRefD22_11x_0" localSheetId="70">'310 &amp; 491'!$D$69</definedName>
    <definedName name="OSRRefD22_11x_0" localSheetId="54">'311'!$D$78:$D$79</definedName>
    <definedName name="OSRRefD22_11x_0" localSheetId="57">'315'!$D$84:$D$85</definedName>
    <definedName name="OSRRefD22_11x_0" localSheetId="66">'321'!$D$68</definedName>
    <definedName name="OSRRefD22_11x_0" localSheetId="67">'325'!$D$67:$D$69</definedName>
    <definedName name="OSRRefD22_11x_0" localSheetId="58">'326'!$D$68:$D$69</definedName>
    <definedName name="OSRRefD22_11x_0" localSheetId="51">'330'!$D$75:$D$78</definedName>
    <definedName name="OSRRefD22_11x_0" localSheetId="56">'331'!$D$85</definedName>
    <definedName name="OSRRefD22_11x_0" localSheetId="72">'405'!$D$71</definedName>
    <definedName name="OSRRefD22_11x_0" localSheetId="74">'411'!$D$64</definedName>
    <definedName name="OSRRefD22_11x_0" localSheetId="78">'415'!$D$68:$D$71</definedName>
    <definedName name="OSRRefD22_11x_0" localSheetId="79">'418'!$D$68:$D$75</definedName>
    <definedName name="OSRRefD22_11x_0" localSheetId="85">'433'!$D$67:$D$69</definedName>
    <definedName name="OSRRefD22_11x_0" localSheetId="86">'444'!$D$67:$D$68</definedName>
    <definedName name="OSRRefD22_11x_0" localSheetId="87">'450'!$D$67:$D$69</definedName>
    <definedName name="OSRRefD22_11x_0" localSheetId="71">'491'!$D$68</definedName>
    <definedName name="OSRRefD22_11x_0" localSheetId="83">'492'!$D$67</definedName>
    <definedName name="OSRRefD22_11x_0" localSheetId="89">'501'!$D$64:$D$66</definedName>
    <definedName name="OSRRefD22_11x_0" localSheetId="39">'Div 2'!$D$62</definedName>
    <definedName name="OSRRefD22_11x_0" localSheetId="47">'Div 3'!$D$101:$D$102</definedName>
    <definedName name="OSRRefD22_11x_0" localSheetId="69">'Div 4'!$D$70</definedName>
    <definedName name="OSRRefD22_11x_0" localSheetId="88">'Div 5'!$D$64:$D$66</definedName>
    <definedName name="OSRRefD22_11x_0" localSheetId="2">Summary!$D$109:$D$110</definedName>
    <definedName name="OSRRefD22_12x_0" localSheetId="41">'201'!$D$65</definedName>
    <definedName name="OSRRefD22_12x_0" localSheetId="43">'203'!$D$68</definedName>
    <definedName name="OSRRefD22_12x_0" localSheetId="48">'300'!$D$100</definedName>
    <definedName name="OSRRefD22_12x_0" localSheetId="49">'300 &amp; 317'!$D$106</definedName>
    <definedName name="OSRRefD22_12x_0" localSheetId="50">'301'!$D$65</definedName>
    <definedName name="OSRRefD22_12x_0" localSheetId="52">'307'!$D$80</definedName>
    <definedName name="OSRRefD22_12x_0" localSheetId="53">'308'!$D$81</definedName>
    <definedName name="OSRRefD22_12x_0" localSheetId="64">'310'!$D$71:$D$73</definedName>
    <definedName name="OSRRefD22_12x_0" localSheetId="70">'310 &amp; 491'!$D$71:$D$73</definedName>
    <definedName name="OSRRefD22_12x_0" localSheetId="54">'311'!$D$81</definedName>
    <definedName name="OSRRefD22_12x_0" localSheetId="57">'315'!$D$87:$D$89</definedName>
    <definedName name="OSRRefD22_12x_0" localSheetId="67">'325'!$D$71:$D$75</definedName>
    <definedName name="OSRRefD22_12x_0" localSheetId="58">'326'!$D$71:$D$72</definedName>
    <definedName name="OSRRefD22_12x_0" localSheetId="51">'330'!$D$80</definedName>
    <definedName name="OSRRefD22_12x_0" localSheetId="56">'331'!$D$87</definedName>
    <definedName name="OSRRefD22_12x_0" localSheetId="72">'405'!$D$73:$D$80</definedName>
    <definedName name="OSRRefD22_12x_0" localSheetId="74">'411'!$D$66</definedName>
    <definedName name="OSRRefD22_12x_0" localSheetId="78">'415'!$D$73</definedName>
    <definedName name="OSRRefD22_12x_0" localSheetId="79">'418'!$D$77:$D$78</definedName>
    <definedName name="OSRRefD22_12x_0" localSheetId="85">'433'!$D$71:$D$74</definedName>
    <definedName name="OSRRefD22_12x_0" localSheetId="86">'444'!$D$70:$D$73</definedName>
    <definedName name="OSRRefD22_12x_0" localSheetId="87">'450'!$D$71:$D$74</definedName>
    <definedName name="OSRRefD22_12x_0" localSheetId="71">'491'!$D$70:$D$72</definedName>
    <definedName name="OSRRefD22_12x_0" localSheetId="83">'492'!$D$69:$D$71</definedName>
    <definedName name="OSRRefD22_12x_0" localSheetId="89">'501'!$D$68</definedName>
    <definedName name="OSRRefD22_12x_0" localSheetId="39">'Div 2'!$D$64:$D$67</definedName>
    <definedName name="OSRRefD22_12x_0" localSheetId="47">'Div 3'!$D$104</definedName>
    <definedName name="OSRRefD22_12x_0" localSheetId="69">'Div 4'!$D$72</definedName>
    <definedName name="OSRRefD22_12x_0" localSheetId="88">'Div 5'!$D$68</definedName>
    <definedName name="OSRRefD22_12x_0" localSheetId="2">Summary!$D$112</definedName>
    <definedName name="OSRRefD22_13x_0" localSheetId="41">'201'!$D$67</definedName>
    <definedName name="OSRRefD22_13x_0" localSheetId="43">'203'!$D$70</definedName>
    <definedName name="OSRRefD22_13x_0" localSheetId="48">'300'!$D$102</definedName>
    <definedName name="OSRRefD22_13x_0" localSheetId="49">'300 &amp; 317'!$D$108</definedName>
    <definedName name="OSRRefD22_13x_0" localSheetId="50">'301'!$D$67</definedName>
    <definedName name="OSRRefD22_13x_0" localSheetId="64">'310'!$D$75:$D$79</definedName>
    <definedName name="OSRRefD22_13x_0" localSheetId="70">'310 &amp; 491'!$D$75:$D$76</definedName>
    <definedName name="OSRRefD22_13x_0" localSheetId="57">'315'!$D$91:$D$92</definedName>
    <definedName name="OSRRefD22_13x_0" localSheetId="67">'325'!$D$77:$D$78</definedName>
    <definedName name="OSRRefD22_13x_0" localSheetId="58">'326'!$D$74:$D$75</definedName>
    <definedName name="OSRRefD22_13x_0" localSheetId="56">'331'!$D$89:$D$90</definedName>
    <definedName name="OSRRefD22_13x_0" localSheetId="72">'405'!$D$82</definedName>
    <definedName name="OSRRefD22_13x_0" localSheetId="74">'411'!$D$68</definedName>
    <definedName name="OSRRefD22_13x_0" localSheetId="78">'415'!$D$75:$D$80</definedName>
    <definedName name="OSRRefD22_13x_0" localSheetId="79">'418'!$D$80</definedName>
    <definedName name="OSRRefD22_13x_0" localSheetId="85">'433'!$D$76:$D$83</definedName>
    <definedName name="OSRRefD22_13x_0" localSheetId="86">'444'!$D$75</definedName>
    <definedName name="OSRRefD22_13x_0" localSheetId="87">'450'!$D$76:$D$82</definedName>
    <definedName name="OSRRefD22_13x_0" localSheetId="71">'491'!$D$74</definedName>
    <definedName name="OSRRefD22_13x_0" localSheetId="83">'492'!$D$73:$D$76</definedName>
    <definedName name="OSRRefD22_13x_0" localSheetId="89">'501'!$D$70</definedName>
    <definedName name="OSRRefD22_13x_0" localSheetId="39">'Div 2'!$D$69:$D$72</definedName>
    <definedName name="OSRRefD22_13x_0" localSheetId="47">'Div 3'!$D$106</definedName>
    <definedName name="OSRRefD22_13x_0" localSheetId="69">'Div 4'!$D$74</definedName>
    <definedName name="OSRRefD22_13x_0" localSheetId="88">'Div 5'!$D$70</definedName>
    <definedName name="OSRRefD22_13x_0" localSheetId="2">Summary!$D$114</definedName>
    <definedName name="OSRRefD22_14x_0" localSheetId="43">'203'!$D$72</definedName>
    <definedName name="OSRRefD22_14x_0" localSheetId="48">'300'!$D$104</definedName>
    <definedName name="OSRRefD22_14x_0" localSheetId="49">'300 &amp; 317'!$D$110</definedName>
    <definedName name="OSRRefD22_14x_0" localSheetId="50">'301'!$D$69</definedName>
    <definedName name="OSRRefD22_14x_0" localSheetId="64">'310'!$D$81:$D$82</definedName>
    <definedName name="OSRRefD22_14x_0" localSheetId="70">'310 &amp; 491'!$D$78:$D$82</definedName>
    <definedName name="OSRRefD22_14x_0" localSheetId="57">'315'!$D$94:$D$96</definedName>
    <definedName name="OSRRefD22_14x_0" localSheetId="67">'325'!$D$80</definedName>
    <definedName name="OSRRefD22_14x_0" localSheetId="58">'326'!$D$77:$D$79</definedName>
    <definedName name="OSRRefD22_14x_0" localSheetId="56">'331'!$D$92:$D$94</definedName>
    <definedName name="OSRRefD22_14x_0" localSheetId="72">'405'!$D$84</definedName>
    <definedName name="OSRRefD22_14x_0" localSheetId="74">'411'!$D$70</definedName>
    <definedName name="OSRRefD22_14x_0" localSheetId="78">'415'!$D$82:$D$83</definedName>
    <definedName name="OSRRefD22_14x_0" localSheetId="79">'418'!$D$82</definedName>
    <definedName name="OSRRefD22_14x_0" localSheetId="85">'433'!$D$85</definedName>
    <definedName name="OSRRefD22_14x_0" localSheetId="86">'444'!$D$77:$D$83</definedName>
    <definedName name="OSRRefD22_14x_0" localSheetId="87">'450'!$D$84</definedName>
    <definedName name="OSRRefD22_14x_0" localSheetId="71">'491'!$D$76:$D$80</definedName>
    <definedName name="OSRRefD22_14x_0" localSheetId="83">'492'!$D$78</definedName>
    <definedName name="OSRRefD22_14x_0" localSheetId="39">'Div 2'!$D$74:$D$75</definedName>
    <definedName name="OSRRefD22_14x_0" localSheetId="47">'Div 3'!$D$108</definedName>
    <definedName name="OSRRefD22_14x_0" localSheetId="69">'Div 4'!$D$76:$D$78</definedName>
    <definedName name="OSRRefD22_14x_0" localSheetId="2">Summary!$D$116</definedName>
    <definedName name="OSRRefD22_15x_0" localSheetId="48">'300'!$D$106</definedName>
    <definedName name="OSRRefD22_15x_0" localSheetId="49">'300 &amp; 317'!$D$112</definedName>
    <definedName name="OSRRefD22_15x_0" localSheetId="50">'301'!$D$71:$D$74</definedName>
    <definedName name="OSRRefD22_15x_0" localSheetId="64">'310'!$D$84</definedName>
    <definedName name="OSRRefD22_15x_0" localSheetId="70">'310 &amp; 491'!$D$84</definedName>
    <definedName name="OSRRefD22_15x_0" localSheetId="57">'315'!$D$98</definedName>
    <definedName name="OSRRefD22_15x_0" localSheetId="58">'326'!$D$81</definedName>
    <definedName name="OSRRefD22_15x_0" localSheetId="56">'331'!$D$96:$D$97</definedName>
    <definedName name="OSRRefD22_15x_0" localSheetId="72">'405'!$D$86</definedName>
    <definedName name="OSRRefD22_15x_0" localSheetId="78">'415'!$D$85</definedName>
    <definedName name="OSRRefD22_15x_0" localSheetId="86">'444'!$D$85</definedName>
    <definedName name="OSRRefD22_15x_0" localSheetId="87">'450'!$D$86</definedName>
    <definedName name="OSRRefD22_15x_0" localSheetId="71">'491'!$D$82</definedName>
    <definedName name="OSRRefD22_15x_0" localSheetId="83">'492'!$D$80:$D$87</definedName>
    <definedName name="OSRRefD22_15x_0" localSheetId="39">'Div 2'!$D$77</definedName>
    <definedName name="OSRRefD22_15x_0" localSheetId="47">'Div 3'!$D$110</definedName>
    <definedName name="OSRRefD22_15x_0" localSheetId="69">'Div 4'!$D$80</definedName>
    <definedName name="OSRRefD22_15x_0" localSheetId="2">Summary!$D$118</definedName>
    <definedName name="OSRRefD22_16x_0" localSheetId="48">'300'!$D$108:$D$111</definedName>
    <definedName name="OSRRefD22_16x_0" localSheetId="49">'300 &amp; 317'!$D$114:$D$117</definedName>
    <definedName name="OSRRefD22_16x_0" localSheetId="50">'301'!$D$76:$D$77</definedName>
    <definedName name="OSRRefD22_16x_0" localSheetId="64">'310'!$D$86</definedName>
    <definedName name="OSRRefD22_16x_0" localSheetId="70">'310 &amp; 491'!$D$86:$D$95</definedName>
    <definedName name="OSRRefD22_16x_0" localSheetId="57">'315'!$D$100</definedName>
    <definedName name="OSRRefD22_16x_0" localSheetId="58">'326'!$D$83:$D$84</definedName>
    <definedName name="OSRRefD22_16x_0" localSheetId="56">'331'!$D$99:$D$100</definedName>
    <definedName name="OSRRefD22_16x_0" localSheetId="78">'415'!$D$87</definedName>
    <definedName name="OSRRefD22_16x_0" localSheetId="86">'444'!$D$87</definedName>
    <definedName name="OSRRefD22_16x_0" localSheetId="87">'450'!$D$88</definedName>
    <definedName name="OSRRefD22_16x_0" localSheetId="71">'491'!$D$84:$D$92</definedName>
    <definedName name="OSRRefD22_16x_0" localSheetId="83">'492'!$D$89:$D$90</definedName>
    <definedName name="OSRRefD22_16x_0" localSheetId="39">'Div 2'!$D$79:$D$84</definedName>
    <definedName name="OSRRefD22_16x_0" localSheetId="47">'Div 3'!$D$112</definedName>
    <definedName name="OSRRefD22_16x_0" localSheetId="69">'Div 4'!$D$82:$D$86</definedName>
    <definedName name="OSRRefD22_16x_0" localSheetId="2">Summary!$D$120</definedName>
    <definedName name="OSRRefD22_17x_0" localSheetId="48">'300'!$D$113:$D$116</definedName>
    <definedName name="OSRRefD22_17x_0" localSheetId="49">'300 &amp; 317'!$D$119:$D$122</definedName>
    <definedName name="OSRRefD22_17x_0" localSheetId="50">'301'!$D$79</definedName>
    <definedName name="OSRRefD22_17x_0" localSheetId="70">'310 &amp; 491'!$D$97:$D$98</definedName>
    <definedName name="OSRRefD22_17x_0" localSheetId="58">'326'!$D$86</definedName>
    <definedName name="OSRRefD22_17x_0" localSheetId="56">'331'!$D$102:$D$105</definedName>
    <definedName name="OSRRefD22_17x_0" localSheetId="71">'491'!$D$94:$D$95</definedName>
    <definedName name="OSRRefD22_17x_0" localSheetId="83">'492'!$D$92</definedName>
    <definedName name="OSRRefD22_17x_0" localSheetId="39">'Div 2'!$D$86:$D$87</definedName>
    <definedName name="OSRRefD22_17x_0" localSheetId="47">'Div 3'!$D$114:$D$117</definedName>
    <definedName name="OSRRefD22_17x_0" localSheetId="69">'Div 4'!$D$88:$D$89</definedName>
    <definedName name="OSRRefD22_17x_0" localSheetId="2">Summary!$D$122</definedName>
    <definedName name="OSRRefD22_18x_0" localSheetId="48">'300'!$D$118:$D$120</definedName>
    <definedName name="OSRRefD22_18x_0" localSheetId="49">'300 &amp; 317'!$D$124:$D$126</definedName>
    <definedName name="OSRRefD22_18x_0" localSheetId="50">'301'!$D$81:$D$86</definedName>
    <definedName name="OSRRefD22_18x_0" localSheetId="70">'310 &amp; 491'!$D$100</definedName>
    <definedName name="OSRRefD22_18x_0" localSheetId="56">'331'!$D$107</definedName>
    <definedName name="OSRRefD22_18x_0" localSheetId="71">'491'!$D$97</definedName>
    <definedName name="OSRRefD22_18x_0" localSheetId="83">'492'!$D$94:$D$95</definedName>
    <definedName name="OSRRefD22_18x_0" localSheetId="39">'Div 2'!$D$89</definedName>
    <definedName name="OSRRefD22_18x_0" localSheetId="47">'Div 3'!$D$119:$D$122</definedName>
    <definedName name="OSRRefD22_18x_0" localSheetId="69">'Div 4'!$D$91:$D$100</definedName>
    <definedName name="OSRRefD22_18x_0" localSheetId="2">Summary!$D$124:$D$127</definedName>
    <definedName name="OSRRefD22_19x_0" localSheetId="48">'300'!$D$122:$D$123</definedName>
    <definedName name="OSRRefD22_19x_0" localSheetId="49">'300 &amp; 317'!$D$128:$D$129</definedName>
    <definedName name="OSRRefD22_19x_0" localSheetId="50">'301'!$D$88</definedName>
    <definedName name="OSRRefD22_19x_0" localSheetId="70">'310 &amp; 491'!$D$102</definedName>
    <definedName name="OSRRefD22_19x_0" localSheetId="56">'331'!$D$109:$D$110</definedName>
    <definedName name="OSRRefD22_19x_0" localSheetId="71">'491'!$D$99</definedName>
    <definedName name="OSRRefD22_19x_0" localSheetId="39">'Div 2'!$D$91:$D$92</definedName>
    <definedName name="OSRRefD22_19x_0" localSheetId="47">'Div 3'!$D$124:$D$127</definedName>
    <definedName name="OSRRefD22_19x_0" localSheetId="69">'Div 4'!$D$102:$D$103</definedName>
    <definedName name="OSRRefD22_19x_0" localSheetId="2">Summary!$D$129:$D$132</definedName>
    <definedName name="OSRRefD22_1x_0" localSheetId="40">'200'!$D$22</definedName>
    <definedName name="OSRRefD22_1x_0" localSheetId="41">'201'!$D$30:$D$39</definedName>
    <definedName name="OSRRefD22_1x_0" localSheetId="42">'202'!$D$30:$D$39</definedName>
    <definedName name="OSRRefD22_1x_0" localSheetId="43">'203'!$D$31:$D$40</definedName>
    <definedName name="OSRRefD22_1x_0" localSheetId="44">'204'!$D$30:$D$39</definedName>
    <definedName name="OSRRefD22_1x_0" localSheetId="45">'205'!$D$30:$D$39</definedName>
    <definedName name="OSRRefD22_1x_0" localSheetId="46">'206'!$D$30:$D$39</definedName>
    <definedName name="OSRRefD22_1x_0" localSheetId="48">'300'!$D$65:$D$74</definedName>
    <definedName name="OSRRefD22_1x_0" localSheetId="49">'300 &amp; 317'!$D$71:$D$80</definedName>
    <definedName name="OSRRefD22_1x_0" localSheetId="50">'301'!$D$32:$D$41</definedName>
    <definedName name="OSRRefD22_1x_0" localSheetId="52">'307'!$D$43:$D$52</definedName>
    <definedName name="OSRRefD22_1x_0" localSheetId="53">'308'!$D$46:$D$55</definedName>
    <definedName name="OSRRefD22_1x_0" localSheetId="65">'309'!$D$22</definedName>
    <definedName name="OSRRefD22_1x_0" localSheetId="64">'310'!$D$37:$D$46</definedName>
    <definedName name="OSRRefD22_1x_0" localSheetId="70">'310 &amp; 491'!$D$39:$D$48</definedName>
    <definedName name="OSRRefD22_1x_0" localSheetId="54">'311'!$D$46:$D$55</definedName>
    <definedName name="OSRRefD22_1x_0" localSheetId="57">'315'!$D$54:$D$63</definedName>
    <definedName name="OSRRefD22_1x_0" localSheetId="60">'316'!$D$37:$D$46</definedName>
    <definedName name="OSRRefD22_1x_0" localSheetId="62">'317'!$D$46:$D$55</definedName>
    <definedName name="OSRRefD22_1x_0" localSheetId="66">'321'!$D$34:$D$43</definedName>
    <definedName name="OSRRefD22_1x_0" localSheetId="67">'325'!$D$35:$D$44</definedName>
    <definedName name="OSRRefD22_1x_0" localSheetId="58">'326'!$D$38:$D$47</definedName>
    <definedName name="OSRRefD22_1x_0" localSheetId="51">'330'!$D$43:$D$52</definedName>
    <definedName name="OSRRefD22_1x_0" localSheetId="56">'331'!$D$54:$D$63</definedName>
    <definedName name="OSRRefD22_1x_0" localSheetId="59">'332'!$D$37:$D$46</definedName>
    <definedName name="OSRRefD22_1x_0" localSheetId="72">'405'!$D$37:$D$46</definedName>
    <definedName name="OSRRefD22_1x_0" localSheetId="73">'406'!$D$22</definedName>
    <definedName name="OSRRefD22_1x_0" localSheetId="74">'411'!$D$30:$D$39</definedName>
    <definedName name="OSRRefD22_1x_0" localSheetId="75">'412'!$D$22</definedName>
    <definedName name="OSRRefD22_1x_0" localSheetId="76">'413'!$D$22</definedName>
    <definedName name="OSRRefD22_1x_0" localSheetId="77">'414'!$D$22</definedName>
    <definedName name="OSRRefD22_1x_0" localSheetId="78">'415'!$D$37:$D$46</definedName>
    <definedName name="OSRRefD22_1x_0" localSheetId="79">'418'!$D$34:$D$43</definedName>
    <definedName name="OSRRefD22_1x_0" localSheetId="80">'423'!$D$29:$D$38</definedName>
    <definedName name="OSRRefD22_1x_0" localSheetId="81">'424'!$D$22</definedName>
    <definedName name="OSRRefD22_1x_0" localSheetId="82">'425'!$D$24</definedName>
    <definedName name="OSRRefD22_1x_0" localSheetId="84">'430'!$D$30:$D$39</definedName>
    <definedName name="OSRRefD22_1x_0" localSheetId="85">'433'!$D$38:$D$47</definedName>
    <definedName name="OSRRefD22_1x_0" localSheetId="86">'444'!$D$38:$D$47</definedName>
    <definedName name="OSRRefD22_1x_0" localSheetId="87">'450'!$D$38:$D$47</definedName>
    <definedName name="OSRRefD22_1x_0" localSheetId="71">'491'!$D$38:$D$47</definedName>
    <definedName name="OSRRefD22_1x_0" localSheetId="83">'492'!$D$38:$D$47</definedName>
    <definedName name="OSRRefD22_1x_0" localSheetId="89">'501'!$D$32:$D$41</definedName>
    <definedName name="OSRRefD22_1x_0" localSheetId="39">'Div 2'!$D$32:$D$41</definedName>
    <definedName name="OSRRefD22_1x_0" localSheetId="47">'Div 3'!$D$69:$D$78</definedName>
    <definedName name="OSRRefD22_1x_0" localSheetId="69">'Div 4'!$D$40:$D$49</definedName>
    <definedName name="OSRRefD22_1x_0" localSheetId="88">'Div 5'!$D$32:$D$41</definedName>
    <definedName name="OSRRefD22_1x_0" localSheetId="61">'Div 6'!$D$46:$D$55</definedName>
    <definedName name="OSRRefD22_1x_0" localSheetId="2">Summary!$D$77:$D$86</definedName>
    <definedName name="OSRRefD22_20x_0" localSheetId="48">'300'!$D$125:$D$131</definedName>
    <definedName name="OSRRefD22_20x_0" localSheetId="49">'300 &amp; 317'!$D$131:$D$137</definedName>
    <definedName name="OSRRefD22_20x_0" localSheetId="50">'301'!$D$90</definedName>
    <definedName name="OSRRefD22_20x_0" localSheetId="70">'310 &amp; 491'!$D$104</definedName>
    <definedName name="OSRRefD22_20x_0" localSheetId="56">'331'!$D$112</definedName>
    <definedName name="OSRRefD22_20x_0" localSheetId="71">'491'!$D$101</definedName>
    <definedName name="OSRRefD22_20x_0" localSheetId="47">'Div 3'!$D$129:$D$130</definedName>
    <definedName name="OSRRefD22_20x_0" localSheetId="69">'Div 4'!$D$105</definedName>
    <definedName name="OSRRefD22_20x_0" localSheetId="2">Summary!$D$134:$D$138</definedName>
    <definedName name="OSRRefD22_21x_0" localSheetId="48">'300'!$D$133:$D$134</definedName>
    <definedName name="OSRRefD22_21x_0" localSheetId="49">'300 &amp; 317'!$D$139:$D$140</definedName>
    <definedName name="OSRRefD22_21x_0" localSheetId="50">'301'!$D$92:$D$93</definedName>
    <definedName name="OSRRefD22_21x_0" localSheetId="47">'Div 3'!$D$132:$D$138</definedName>
    <definedName name="OSRRefD22_21x_0" localSheetId="69">'Div 4'!$D$107:$D$108</definedName>
    <definedName name="OSRRefD22_21x_0" localSheetId="2">Summary!$D$140:$D$141</definedName>
    <definedName name="OSRRefD22_22x_0" localSheetId="48">'300'!$D$136</definedName>
    <definedName name="OSRRefD22_22x_0" localSheetId="49">'300 &amp; 317'!$D$142</definedName>
    <definedName name="OSRRefD22_22x_0" localSheetId="50">'301'!$D$95</definedName>
    <definedName name="OSRRefD22_22x_0" localSheetId="47">'Div 3'!$D$140:$D$141</definedName>
    <definedName name="OSRRefD22_22x_0" localSheetId="69">'Div 4'!$D$110</definedName>
    <definedName name="OSRRefD22_22x_0" localSheetId="2">Summary!$D$143:$D$152</definedName>
    <definedName name="OSRRefD22_23x_0" localSheetId="48">'300'!$D$138:$D$140</definedName>
    <definedName name="OSRRefD22_23x_0" localSheetId="49">'300 &amp; 317'!$D$144:$D$146</definedName>
    <definedName name="OSRRefD22_23x_0" localSheetId="47">'Div 3'!$D$143</definedName>
    <definedName name="OSRRefD22_23x_0" localSheetId="2">Summary!$D$154:$D$155</definedName>
    <definedName name="OSRRefD22_24x_0" localSheetId="48">'300'!$D$142</definedName>
    <definedName name="OSRRefD22_24x_0" localSheetId="49">'300 &amp; 317'!$D$148</definedName>
    <definedName name="OSRRefD22_24x_0" localSheetId="47">'Div 3'!$D$145:$D$147</definedName>
    <definedName name="OSRRefD22_24x_0" localSheetId="2">Summary!$D$157</definedName>
    <definedName name="OSRRefD22_25x_0" localSheetId="47">'Div 3'!$D$149</definedName>
    <definedName name="OSRRefD22_25x_0" localSheetId="2">Summary!$D$159:$D$161</definedName>
    <definedName name="OSRRefD22_26x_0" localSheetId="2">Summary!$D$163</definedName>
    <definedName name="OSRRefD22_2x_0" localSheetId="40">'200'!$D$24</definedName>
    <definedName name="OSRRefD22_2x_0" localSheetId="41">'201'!$D$41</definedName>
    <definedName name="OSRRefD22_2x_0" localSheetId="42">'202'!$D$41</definedName>
    <definedName name="OSRRefD22_2x_0" localSheetId="43">'203'!$D$42</definedName>
    <definedName name="OSRRefD22_2x_0" localSheetId="44">'204'!$D$41</definedName>
    <definedName name="OSRRefD22_2x_0" localSheetId="45">'205'!$D$41</definedName>
    <definedName name="OSRRefD22_2x_0" localSheetId="46">'206'!$D$41</definedName>
    <definedName name="OSRRefD22_2x_0" localSheetId="48">'300'!$D$76</definedName>
    <definedName name="OSRRefD22_2x_0" localSheetId="49">'300 &amp; 317'!$D$82</definedName>
    <definedName name="OSRRefD22_2x_0" localSheetId="50">'301'!$D$43</definedName>
    <definedName name="OSRRefD22_2x_0" localSheetId="52">'307'!$D$54</definedName>
    <definedName name="OSRRefD22_2x_0" localSheetId="53">'308'!$D$57</definedName>
    <definedName name="OSRRefD22_2x_0" localSheetId="65">'309'!$D$24</definedName>
    <definedName name="OSRRefD22_2x_0" localSheetId="64">'310'!$D$48</definedName>
    <definedName name="OSRRefD22_2x_0" localSheetId="70">'310 &amp; 491'!$D$50</definedName>
    <definedName name="OSRRefD22_2x_0" localSheetId="54">'311'!$D$57</definedName>
    <definedName name="OSRRefD22_2x_0" localSheetId="57">'315'!$D$65</definedName>
    <definedName name="OSRRefD22_2x_0" localSheetId="60">'316'!$D$48</definedName>
    <definedName name="OSRRefD22_2x_0" localSheetId="62">'317'!$D$57</definedName>
    <definedName name="OSRRefD22_2x_0" localSheetId="66">'321'!$D$45</definedName>
    <definedName name="OSRRefD22_2x_0" localSheetId="67">'325'!$D$46</definedName>
    <definedName name="OSRRefD22_2x_0" localSheetId="58">'326'!$D$49</definedName>
    <definedName name="OSRRefD22_2x_0" localSheetId="51">'330'!$D$54</definedName>
    <definedName name="OSRRefD22_2x_0" localSheetId="56">'331'!$D$65</definedName>
    <definedName name="OSRRefD22_2x_0" localSheetId="59">'332'!$D$48</definedName>
    <definedName name="OSRRefD22_2x_0" localSheetId="72">'405'!$D$48</definedName>
    <definedName name="OSRRefD22_2x_0" localSheetId="74">'411'!$D$41</definedName>
    <definedName name="OSRRefD22_2x_0" localSheetId="75">'412'!$D$24</definedName>
    <definedName name="OSRRefD22_2x_0" localSheetId="76">'413'!$D$24</definedName>
    <definedName name="OSRRefD22_2x_0" localSheetId="77">'414'!$D$24</definedName>
    <definedName name="OSRRefD22_2x_0" localSheetId="78">'415'!$D$48</definedName>
    <definedName name="OSRRefD22_2x_0" localSheetId="79">'418'!$D$45</definedName>
    <definedName name="OSRRefD22_2x_0" localSheetId="80">'423'!$D$40</definedName>
    <definedName name="OSRRefD22_2x_0" localSheetId="82">'425'!$D$26</definedName>
    <definedName name="OSRRefD22_2x_0" localSheetId="84">'430'!$D$41</definedName>
    <definedName name="OSRRefD22_2x_0" localSheetId="85">'433'!$D$49</definedName>
    <definedName name="OSRRefD22_2x_0" localSheetId="86">'444'!$D$49</definedName>
    <definedName name="OSRRefD22_2x_0" localSheetId="87">'450'!$D$49</definedName>
    <definedName name="OSRRefD22_2x_0" localSheetId="71">'491'!$D$49</definedName>
    <definedName name="OSRRefD22_2x_0" localSheetId="83">'492'!$D$49</definedName>
    <definedName name="OSRRefD22_2x_0" localSheetId="89">'501'!$D$43</definedName>
    <definedName name="OSRRefD22_2x_0" localSheetId="39">'Div 2'!$D$43</definedName>
    <definedName name="OSRRefD22_2x_0" localSheetId="47">'Div 3'!$D$80</definedName>
    <definedName name="OSRRefD22_2x_0" localSheetId="69">'Div 4'!$D$51</definedName>
    <definedName name="OSRRefD22_2x_0" localSheetId="88">'Div 5'!$D$43</definedName>
    <definedName name="OSRRefD22_2x_0" localSheetId="61">'Div 6'!$D$57</definedName>
    <definedName name="OSRRefD22_2x_0" localSheetId="2">Summary!$D$88</definedName>
    <definedName name="OSRRefD22_3x_0" localSheetId="40">'200'!$D$26:$D$27</definedName>
    <definedName name="OSRRefD22_3x_0" localSheetId="41">'201'!$D$43</definedName>
    <definedName name="OSRRefD22_3x_0" localSheetId="42">'202'!$D$43</definedName>
    <definedName name="OSRRefD22_3x_0" localSheetId="43">'203'!$D$44</definedName>
    <definedName name="OSRRefD22_3x_0" localSheetId="44">'204'!$D$43:$D$44</definedName>
    <definedName name="OSRRefD22_3x_0" localSheetId="45">'205'!$D$43</definedName>
    <definedName name="OSRRefD22_3x_0" localSheetId="46">'206'!$D$43</definedName>
    <definedName name="OSRRefD22_3x_0" localSheetId="48">'300'!$D$78</definedName>
    <definedName name="OSRRefD22_3x_0" localSheetId="49">'300 &amp; 317'!$D$84</definedName>
    <definedName name="OSRRefD22_3x_0" localSheetId="50">'301'!$D$45</definedName>
    <definedName name="OSRRefD22_3x_0" localSheetId="52">'307'!$D$56</definedName>
    <definedName name="OSRRefD22_3x_0" localSheetId="53">'308'!$D$59</definedName>
    <definedName name="OSRRefD22_3x_0" localSheetId="65">'309'!$D$26:$D$27</definedName>
    <definedName name="OSRRefD22_3x_0" localSheetId="64">'310'!$D$50</definedName>
    <definedName name="OSRRefD22_3x_0" localSheetId="70">'310 &amp; 491'!$D$52</definedName>
    <definedName name="OSRRefD22_3x_0" localSheetId="54">'311'!$D$59</definedName>
    <definedName name="OSRRefD22_3x_0" localSheetId="57">'315'!$D$67</definedName>
    <definedName name="OSRRefD22_3x_0" localSheetId="60">'316'!$D$50</definedName>
    <definedName name="OSRRefD22_3x_0" localSheetId="62">'317'!$D$59</definedName>
    <definedName name="OSRRefD22_3x_0" localSheetId="66">'321'!$D$47</definedName>
    <definedName name="OSRRefD22_3x_0" localSheetId="67">'325'!$D$48</definedName>
    <definedName name="OSRRefD22_3x_0" localSheetId="58">'326'!$D$51</definedName>
    <definedName name="OSRRefD22_3x_0" localSheetId="51">'330'!$D$56</definedName>
    <definedName name="OSRRefD22_3x_0" localSheetId="56">'331'!$D$67</definedName>
    <definedName name="OSRRefD22_3x_0" localSheetId="59">'332'!$D$50</definedName>
    <definedName name="OSRRefD22_3x_0" localSheetId="72">'405'!$D$50</definedName>
    <definedName name="OSRRefD22_3x_0" localSheetId="74">'411'!$D$43:$D$44</definedName>
    <definedName name="OSRRefD22_3x_0" localSheetId="75">'412'!$D$26</definedName>
    <definedName name="OSRRefD22_3x_0" localSheetId="78">'415'!$D$50</definedName>
    <definedName name="OSRRefD22_3x_0" localSheetId="79">'418'!$D$47</definedName>
    <definedName name="OSRRefD22_3x_0" localSheetId="80">'423'!$D$42</definedName>
    <definedName name="OSRRefD22_3x_0" localSheetId="82">'425'!$D$28</definedName>
    <definedName name="OSRRefD22_3x_0" localSheetId="84">'430'!$D$43</definedName>
    <definedName name="OSRRefD22_3x_0" localSheetId="85">'433'!$D$51</definedName>
    <definedName name="OSRRefD22_3x_0" localSheetId="86">'444'!$D$51</definedName>
    <definedName name="OSRRefD22_3x_0" localSheetId="87">'450'!$D$51</definedName>
    <definedName name="OSRRefD22_3x_0" localSheetId="71">'491'!$D$51</definedName>
    <definedName name="OSRRefD22_3x_0" localSheetId="83">'492'!$D$51</definedName>
    <definedName name="OSRRefD22_3x_0" localSheetId="89">'501'!$D$45</definedName>
    <definedName name="OSRRefD22_3x_0" localSheetId="39">'Div 2'!$D$45</definedName>
    <definedName name="OSRRefD22_3x_0" localSheetId="47">'Div 3'!$D$82</definedName>
    <definedName name="OSRRefD22_3x_0" localSheetId="69">'Div 4'!$D$53</definedName>
    <definedName name="OSRRefD22_3x_0" localSheetId="88">'Div 5'!$D$45</definedName>
    <definedName name="OSRRefD22_3x_0" localSheetId="61">'Div 6'!$D$59</definedName>
    <definedName name="OSRRefD22_3x_0" localSheetId="2">Summary!$D$90</definedName>
    <definedName name="OSRRefD22_4x_0" localSheetId="41">'201'!$D$45</definedName>
    <definedName name="OSRRefD22_4x_0" localSheetId="42">'202'!$D$45</definedName>
    <definedName name="OSRRefD22_4x_0" localSheetId="43">'203'!$D$46</definedName>
    <definedName name="OSRRefD22_4x_0" localSheetId="44">'204'!$D$46</definedName>
    <definedName name="OSRRefD22_4x_0" localSheetId="45">'205'!$D$45:$D$46</definedName>
    <definedName name="OSRRefD22_4x_0" localSheetId="46">'206'!$D$45:$D$46</definedName>
    <definedName name="OSRRefD22_4x_0" localSheetId="48">'300'!$D$80</definedName>
    <definedName name="OSRRefD22_4x_0" localSheetId="49">'300 &amp; 317'!$D$86</definedName>
    <definedName name="OSRRefD22_4x_0" localSheetId="50">'301'!$D$47</definedName>
    <definedName name="OSRRefD22_4x_0" localSheetId="52">'307'!$D$58</definedName>
    <definedName name="OSRRefD22_4x_0" localSheetId="53">'308'!$D$61</definedName>
    <definedName name="OSRRefD22_4x_0" localSheetId="65">'309'!$D$29</definedName>
    <definedName name="OSRRefD22_4x_0" localSheetId="64">'310'!$D$52</definedName>
    <definedName name="OSRRefD22_4x_0" localSheetId="70">'310 &amp; 491'!$D$54</definedName>
    <definedName name="OSRRefD22_4x_0" localSheetId="54">'311'!$D$61</definedName>
    <definedName name="OSRRefD22_4x_0" localSheetId="57">'315'!$D$69</definedName>
    <definedName name="OSRRefD22_4x_0" localSheetId="60">'316'!$D$52</definedName>
    <definedName name="OSRRefD22_4x_0" localSheetId="62">'317'!$D$61</definedName>
    <definedName name="OSRRefD22_4x_0" localSheetId="66">'321'!$D$49</definedName>
    <definedName name="OSRRefD22_4x_0" localSheetId="67">'325'!$D$50</definedName>
    <definedName name="OSRRefD22_4x_0" localSheetId="58">'326'!$D$53</definedName>
    <definedName name="OSRRefD22_4x_0" localSheetId="51">'330'!$D$58</definedName>
    <definedName name="OSRRefD22_4x_0" localSheetId="56">'331'!$D$69</definedName>
    <definedName name="OSRRefD22_4x_0" localSheetId="59">'332'!$D$52</definedName>
    <definedName name="OSRRefD22_4x_0" localSheetId="72">'405'!$D$52</definedName>
    <definedName name="OSRRefD22_4x_0" localSheetId="74">'411'!$D$46</definedName>
    <definedName name="OSRRefD22_4x_0" localSheetId="78">'415'!$D$52</definedName>
    <definedName name="OSRRefD22_4x_0" localSheetId="79">'418'!$D$49:$D$50</definedName>
    <definedName name="OSRRefD22_4x_0" localSheetId="80">'423'!$D$44</definedName>
    <definedName name="OSRRefD22_4x_0" localSheetId="82">'425'!$D$30</definedName>
    <definedName name="OSRRefD22_4x_0" localSheetId="84">'430'!$D$45</definedName>
    <definedName name="OSRRefD22_4x_0" localSheetId="85">'433'!$D$53</definedName>
    <definedName name="OSRRefD22_4x_0" localSheetId="86">'444'!$D$53</definedName>
    <definedName name="OSRRefD22_4x_0" localSheetId="87">'450'!$D$53</definedName>
    <definedName name="OSRRefD22_4x_0" localSheetId="71">'491'!$D$53</definedName>
    <definedName name="OSRRefD22_4x_0" localSheetId="83">'492'!$D$53</definedName>
    <definedName name="OSRRefD22_4x_0" localSheetId="89">'501'!$D$47</definedName>
    <definedName name="OSRRefD22_4x_0" localSheetId="39">'Div 2'!$D$47</definedName>
    <definedName name="OSRRefD22_4x_0" localSheetId="47">'Div 3'!$D$84</definedName>
    <definedName name="OSRRefD22_4x_0" localSheetId="69">'Div 4'!$D$55</definedName>
    <definedName name="OSRRefD22_4x_0" localSheetId="88">'Div 5'!$D$47</definedName>
    <definedName name="OSRRefD22_4x_0" localSheetId="61">'Div 6'!$D$61</definedName>
    <definedName name="OSRRefD22_4x_0" localSheetId="2">Summary!$D$92</definedName>
    <definedName name="OSRRefD22_5x_0" localSheetId="41">'201'!$D$47</definedName>
    <definedName name="OSRRefD22_5x_0" localSheetId="42">'202'!$D$47</definedName>
    <definedName name="OSRRefD22_5x_0" localSheetId="43">'203'!$D$48</definedName>
    <definedName name="OSRRefD22_5x_0" localSheetId="44">'204'!$D$48:$D$51</definedName>
    <definedName name="OSRRefD22_5x_0" localSheetId="45">'205'!$D$48</definedName>
    <definedName name="OSRRefD22_5x_0" localSheetId="46">'206'!$D$48</definedName>
    <definedName name="OSRRefD22_5x_0" localSheetId="48">'300'!$D$82:$D$83</definedName>
    <definedName name="OSRRefD22_5x_0" localSheetId="49">'300 &amp; 317'!$D$88:$D$89</definedName>
    <definedName name="OSRRefD22_5x_0" localSheetId="50">'301'!$D$49:$D$50</definedName>
    <definedName name="OSRRefD22_5x_0" localSheetId="52">'307'!$D$60:$D$61</definedName>
    <definedName name="OSRRefD22_5x_0" localSheetId="53">'308'!$D$63</definedName>
    <definedName name="OSRRefD22_5x_0" localSheetId="64">'310'!$D$54:$D$55</definedName>
    <definedName name="OSRRefD22_5x_0" localSheetId="70">'310 &amp; 491'!$D$56:$D$57</definedName>
    <definedName name="OSRRefD22_5x_0" localSheetId="54">'311'!$D$63</definedName>
    <definedName name="OSRRefD22_5x_0" localSheetId="57">'315'!$D$71</definedName>
    <definedName name="OSRRefD22_5x_0" localSheetId="60">'316'!$D$54:$D$55</definedName>
    <definedName name="OSRRefD22_5x_0" localSheetId="62">'317'!$D$63</definedName>
    <definedName name="OSRRefD22_5x_0" localSheetId="66">'321'!$D$51</definedName>
    <definedName name="OSRRefD22_5x_0" localSheetId="67">'325'!$D$52:$D$53</definedName>
    <definedName name="OSRRefD22_5x_0" localSheetId="58">'326'!$D$55</definedName>
    <definedName name="OSRRefD22_5x_0" localSheetId="51">'330'!$D$60:$D$61</definedName>
    <definedName name="OSRRefD22_5x_0" localSheetId="56">'331'!$D$71</definedName>
    <definedName name="OSRRefD22_5x_0" localSheetId="59">'332'!$D$54:$D$55</definedName>
    <definedName name="OSRRefD22_5x_0" localSheetId="72">'405'!$D$54:$D$55</definedName>
    <definedName name="OSRRefD22_5x_0" localSheetId="74">'411'!$D$48</definedName>
    <definedName name="OSRRefD22_5x_0" localSheetId="78">'415'!$D$54:$D$55</definedName>
    <definedName name="OSRRefD22_5x_0" localSheetId="79">'418'!$D$52</definedName>
    <definedName name="OSRRefD22_5x_0" localSheetId="80">'423'!$D$46</definedName>
    <definedName name="OSRRefD22_5x_0" localSheetId="82">'425'!$D$32</definedName>
    <definedName name="OSRRefD22_5x_0" localSheetId="84">'430'!$D$47:$D$48</definedName>
    <definedName name="OSRRefD22_5x_0" localSheetId="85">'433'!$D$55</definedName>
    <definedName name="OSRRefD22_5x_0" localSheetId="86">'444'!$D$55</definedName>
    <definedName name="OSRRefD22_5x_0" localSheetId="87">'450'!$D$55</definedName>
    <definedName name="OSRRefD22_5x_0" localSheetId="71">'491'!$D$55:$D$56</definedName>
    <definedName name="OSRRefD22_5x_0" localSheetId="83">'492'!$D$55</definedName>
    <definedName name="OSRRefD22_5x_0" localSheetId="89">'501'!$D$49:$D$50</definedName>
    <definedName name="OSRRefD22_5x_0" localSheetId="39">'Div 2'!$D$49:$D$50</definedName>
    <definedName name="OSRRefD22_5x_0" localSheetId="47">'Div 3'!$D$86:$D$87</definedName>
    <definedName name="OSRRefD22_5x_0" localSheetId="69">'Div 4'!$D$57:$D$58</definedName>
    <definedName name="OSRRefD22_5x_0" localSheetId="88">'Div 5'!$D$49:$D$50</definedName>
    <definedName name="OSRRefD22_5x_0" localSheetId="61">'Div 6'!$D$63</definedName>
    <definedName name="OSRRefD22_5x_0" localSheetId="2">Summary!$D$94:$D$95</definedName>
    <definedName name="OSRRefD22_6x_0" localSheetId="41">'201'!$D$49</definedName>
    <definedName name="OSRRefD22_6x_0" localSheetId="42">'202'!$D$49:$D$51</definedName>
    <definedName name="OSRRefD22_6x_0" localSheetId="43">'203'!$D$50</definedName>
    <definedName name="OSRRefD22_6x_0" localSheetId="44">'204'!$D$53</definedName>
    <definedName name="OSRRefD22_6x_0" localSheetId="45">'205'!$D$50:$D$52</definedName>
    <definedName name="OSRRefD22_6x_0" localSheetId="46">'206'!$D$50:$D$51</definedName>
    <definedName name="OSRRefD22_6x_0" localSheetId="48">'300'!$D$85:$D$86</definedName>
    <definedName name="OSRRefD22_6x_0" localSheetId="49">'300 &amp; 317'!$D$91:$D$92</definedName>
    <definedName name="OSRRefD22_6x_0" localSheetId="50">'301'!$D$52:$D$53</definedName>
    <definedName name="OSRRefD22_6x_0" localSheetId="52">'307'!$D$63</definedName>
    <definedName name="OSRRefD22_6x_0" localSheetId="53">'308'!$D$65</definedName>
    <definedName name="OSRRefD22_6x_0" localSheetId="64">'310'!$D$57</definedName>
    <definedName name="OSRRefD22_6x_0" localSheetId="70">'310 &amp; 491'!$D$59</definedName>
    <definedName name="OSRRefD22_6x_0" localSheetId="54">'311'!$D$65</definedName>
    <definedName name="OSRRefD22_6x_0" localSheetId="57">'315'!$D$73</definedName>
    <definedName name="OSRRefD22_6x_0" localSheetId="60">'316'!$D$57</definedName>
    <definedName name="OSRRefD22_6x_0" localSheetId="62">'317'!$D$65</definedName>
    <definedName name="OSRRefD22_6x_0" localSheetId="66">'321'!$D$53:$D$54</definedName>
    <definedName name="OSRRefD22_6x_0" localSheetId="67">'325'!$D$55</definedName>
    <definedName name="OSRRefD22_6x_0" localSheetId="58">'326'!$D$57:$D$58</definedName>
    <definedName name="OSRRefD22_6x_0" localSheetId="51">'330'!$D$63</definedName>
    <definedName name="OSRRefD22_6x_0" localSheetId="56">'331'!$D$73</definedName>
    <definedName name="OSRRefD22_6x_0" localSheetId="59">'332'!$D$57</definedName>
    <definedName name="OSRRefD22_6x_0" localSheetId="72">'405'!$D$57</definedName>
    <definedName name="OSRRefD22_6x_0" localSheetId="74">'411'!$D$50</definedName>
    <definedName name="OSRRefD22_6x_0" localSheetId="78">'415'!$D$57</definedName>
    <definedName name="OSRRefD22_6x_0" localSheetId="79">'418'!$D$54</definedName>
    <definedName name="OSRRefD22_6x_0" localSheetId="84">'430'!$D$50:$D$51</definedName>
    <definedName name="OSRRefD22_6x_0" localSheetId="85">'433'!$D$57</definedName>
    <definedName name="OSRRefD22_6x_0" localSheetId="86">'444'!$D$57</definedName>
    <definedName name="OSRRefD22_6x_0" localSheetId="87">'450'!$D$57</definedName>
    <definedName name="OSRRefD22_6x_0" localSheetId="71">'491'!$D$58</definedName>
    <definedName name="OSRRefD22_6x_0" localSheetId="83">'492'!$D$57</definedName>
    <definedName name="OSRRefD22_6x_0" localSheetId="89">'501'!$D$52</definedName>
    <definedName name="OSRRefD22_6x_0" localSheetId="39">'Div 2'!$D$52</definedName>
    <definedName name="OSRRefD22_6x_0" localSheetId="47">'Div 3'!$D$89:$D$90</definedName>
    <definedName name="OSRRefD22_6x_0" localSheetId="69">'Div 4'!$D$60</definedName>
    <definedName name="OSRRefD22_6x_0" localSheetId="88">'Div 5'!$D$52</definedName>
    <definedName name="OSRRefD22_6x_0" localSheetId="61">'Div 6'!$D$65</definedName>
    <definedName name="OSRRefD22_6x_0" localSheetId="2">Summary!$D$97:$D$98</definedName>
    <definedName name="OSRRefD22_7x_0" localSheetId="41">'201'!$D$51</definedName>
    <definedName name="OSRRefD22_7x_0" localSheetId="42">'202'!$D$53</definedName>
    <definedName name="OSRRefD22_7x_0" localSheetId="43">'203'!$D$52</definedName>
    <definedName name="OSRRefD22_7x_0" localSheetId="44">'204'!$D$55:$D$56</definedName>
    <definedName name="OSRRefD22_7x_0" localSheetId="45">'205'!$D$54</definedName>
    <definedName name="OSRRefD22_7x_0" localSheetId="46">'206'!$D$53</definedName>
    <definedName name="OSRRefD22_7x_0" localSheetId="48">'300'!$D$88</definedName>
    <definedName name="OSRRefD22_7x_0" localSheetId="49">'300 &amp; 317'!$D$94</definedName>
    <definedName name="OSRRefD22_7x_0" localSheetId="50">'301'!$D$55</definedName>
    <definedName name="OSRRefD22_7x_0" localSheetId="52">'307'!$D$65</definedName>
    <definedName name="OSRRefD22_7x_0" localSheetId="53">'308'!$D$67</definedName>
    <definedName name="OSRRefD22_7x_0" localSheetId="64">'310'!$D$59</definedName>
    <definedName name="OSRRefD22_7x_0" localSheetId="70">'310 &amp; 491'!$D$61</definedName>
    <definedName name="OSRRefD22_7x_0" localSheetId="54">'311'!$D$67</definedName>
    <definedName name="OSRRefD22_7x_0" localSheetId="57">'315'!$D$75:$D$76</definedName>
    <definedName name="OSRRefD22_7x_0" localSheetId="60">'316'!$D$59:$D$61</definedName>
    <definedName name="OSRRefD22_7x_0" localSheetId="62">'317'!$D$67</definedName>
    <definedName name="OSRRefD22_7x_0" localSheetId="66">'321'!$D$56</definedName>
    <definedName name="OSRRefD22_7x_0" localSheetId="67">'325'!$D$57</definedName>
    <definedName name="OSRRefD22_7x_0" localSheetId="58">'326'!$D$60</definedName>
    <definedName name="OSRRefD22_7x_0" localSheetId="51">'330'!$D$65</definedName>
    <definedName name="OSRRefD22_7x_0" localSheetId="56">'331'!$D$75:$D$76</definedName>
    <definedName name="OSRRefD22_7x_0" localSheetId="59">'332'!$D$59:$D$61</definedName>
    <definedName name="OSRRefD22_7x_0" localSheetId="72">'405'!$D$59</definedName>
    <definedName name="OSRRefD22_7x_0" localSheetId="74">'411'!$D$52</definedName>
    <definedName name="OSRRefD22_7x_0" localSheetId="78">'415'!$D$59</definedName>
    <definedName name="OSRRefD22_7x_0" localSheetId="79">'418'!$D$56</definedName>
    <definedName name="OSRRefD22_7x_0" localSheetId="84">'430'!$D$53</definedName>
    <definedName name="OSRRefD22_7x_0" localSheetId="85">'433'!$D$59</definedName>
    <definedName name="OSRRefD22_7x_0" localSheetId="86">'444'!$D$59</definedName>
    <definedName name="OSRRefD22_7x_0" localSheetId="87">'450'!$D$59</definedName>
    <definedName name="OSRRefD22_7x_0" localSheetId="71">'491'!$D$60</definedName>
    <definedName name="OSRRefD22_7x_0" localSheetId="83">'492'!$D$59</definedName>
    <definedName name="OSRRefD22_7x_0" localSheetId="89">'501'!$D$54</definedName>
    <definedName name="OSRRefD22_7x_0" localSheetId="39">'Div 2'!$D$54</definedName>
    <definedName name="OSRRefD22_7x_0" localSheetId="47">'Div 3'!$D$92</definedName>
    <definedName name="OSRRefD22_7x_0" localSheetId="69">'Div 4'!$D$62</definedName>
    <definedName name="OSRRefD22_7x_0" localSheetId="88">'Div 5'!$D$54</definedName>
    <definedName name="OSRRefD22_7x_0" localSheetId="61">'Div 6'!$D$67</definedName>
    <definedName name="OSRRefD22_7x_0" localSheetId="2">Summary!$D$100</definedName>
    <definedName name="OSRRefD22_8x_0" localSheetId="41">'201'!$D$53:$D$55</definedName>
    <definedName name="OSRRefD22_8x_0" localSheetId="42">'202'!$D$55</definedName>
    <definedName name="OSRRefD22_8x_0" localSheetId="43">'203'!$D$54:$D$56</definedName>
    <definedName name="OSRRefD22_8x_0" localSheetId="48">'300'!$D$90</definedName>
    <definedName name="OSRRefD22_8x_0" localSheetId="49">'300 &amp; 317'!$D$96</definedName>
    <definedName name="OSRRefD22_8x_0" localSheetId="50">'301'!$D$57</definedName>
    <definedName name="OSRRefD22_8x_0" localSheetId="52">'307'!$D$67</definedName>
    <definedName name="OSRRefD22_8x_0" localSheetId="53">'308'!$D$69:$D$71</definedName>
    <definedName name="OSRRefD22_8x_0" localSheetId="64">'310'!$D$61</definedName>
    <definedName name="OSRRefD22_8x_0" localSheetId="70">'310 &amp; 491'!$D$63</definedName>
    <definedName name="OSRRefD22_8x_0" localSheetId="54">'311'!$D$69:$D$71</definedName>
    <definedName name="OSRRefD22_8x_0" localSheetId="57">'315'!$D$78</definedName>
    <definedName name="OSRRefD22_8x_0" localSheetId="60">'316'!$D$63</definedName>
    <definedName name="OSRRefD22_8x_0" localSheetId="62">'317'!$D$69:$D$70</definedName>
    <definedName name="OSRRefD22_8x_0" localSheetId="66">'321'!$D$58:$D$59</definedName>
    <definedName name="OSRRefD22_8x_0" localSheetId="67">'325'!$D$59</definedName>
    <definedName name="OSRRefD22_8x_0" localSheetId="58">'326'!$D$62</definedName>
    <definedName name="OSRRefD22_8x_0" localSheetId="51">'330'!$D$67</definedName>
    <definedName name="OSRRefD22_8x_0" localSheetId="56">'331'!$D$78:$D$79</definedName>
    <definedName name="OSRRefD22_8x_0" localSheetId="59">'332'!$D$63</definedName>
    <definedName name="OSRRefD22_8x_0" localSheetId="72">'405'!$D$61</definedName>
    <definedName name="OSRRefD22_8x_0" localSheetId="74">'411'!$D$54:$D$56</definedName>
    <definedName name="OSRRefD22_8x_0" localSheetId="78">'415'!$D$61</definedName>
    <definedName name="OSRRefD22_8x_0" localSheetId="79">'418'!$D$58:$D$59</definedName>
    <definedName name="OSRRefD22_8x_0" localSheetId="84">'430'!$D$55</definedName>
    <definedName name="OSRRefD22_8x_0" localSheetId="85">'433'!$D$61</definedName>
    <definedName name="OSRRefD22_8x_0" localSheetId="86">'444'!$D$61</definedName>
    <definedName name="OSRRefD22_8x_0" localSheetId="87">'450'!$D$61</definedName>
    <definedName name="OSRRefD22_8x_0" localSheetId="71">'491'!$D$62</definedName>
    <definedName name="OSRRefD22_8x_0" localSheetId="83">'492'!$D$61</definedName>
    <definedName name="OSRRefD22_8x_0" localSheetId="89">'501'!$D$56</definedName>
    <definedName name="OSRRefD22_8x_0" localSheetId="39">'Div 2'!$D$56</definedName>
    <definedName name="OSRRefD22_8x_0" localSheetId="47">'Div 3'!$D$94</definedName>
    <definedName name="OSRRefD22_8x_0" localSheetId="69">'Div 4'!$D$64</definedName>
    <definedName name="OSRRefD22_8x_0" localSheetId="88">'Div 5'!$D$56</definedName>
    <definedName name="OSRRefD22_8x_0" localSheetId="61">'Div 6'!$D$69:$D$70</definedName>
    <definedName name="OSRRefD22_8x_0" localSheetId="2">Summary!$D$102</definedName>
    <definedName name="OSRRefD22_9x_0" localSheetId="41">'201'!$D$57:$D$58</definedName>
    <definedName name="OSRRefD22_9x_0" localSheetId="42">'202'!$D$57</definedName>
    <definedName name="OSRRefD22_9x_0" localSheetId="43">'203'!$D$58:$D$59</definedName>
    <definedName name="OSRRefD22_9x_0" localSheetId="48">'300'!$D$92</definedName>
    <definedName name="OSRRefD22_9x_0" localSheetId="49">'300 &amp; 317'!$D$98</definedName>
    <definedName name="OSRRefD22_9x_0" localSheetId="50">'301'!$D$59</definedName>
    <definedName name="OSRRefD22_9x_0" localSheetId="52">'307'!$D$69:$D$70</definedName>
    <definedName name="OSRRefD22_9x_0" localSheetId="53">'308'!$D$73</definedName>
    <definedName name="OSRRefD22_9x_0" localSheetId="64">'310'!$D$63</definedName>
    <definedName name="OSRRefD22_9x_0" localSheetId="70">'310 &amp; 491'!$D$65</definedName>
    <definedName name="OSRRefD22_9x_0" localSheetId="54">'311'!$D$73</definedName>
    <definedName name="OSRRefD22_9x_0" localSheetId="57">'315'!$D$80</definedName>
    <definedName name="OSRRefD22_9x_0" localSheetId="60">'316'!$D$65:$D$68</definedName>
    <definedName name="OSRRefD22_9x_0" localSheetId="62">'317'!$D$72</definedName>
    <definedName name="OSRRefD22_9x_0" localSheetId="66">'321'!$D$61:$D$64</definedName>
    <definedName name="OSRRefD22_9x_0" localSheetId="67">'325'!$D$61</definedName>
    <definedName name="OSRRefD22_9x_0" localSheetId="58">'326'!$D$64</definedName>
    <definedName name="OSRRefD22_9x_0" localSheetId="51">'330'!$D$69:$D$70</definedName>
    <definedName name="OSRRefD22_9x_0" localSheetId="56">'331'!$D$81</definedName>
    <definedName name="OSRRefD22_9x_0" localSheetId="59">'332'!$D$65:$D$68</definedName>
    <definedName name="OSRRefD22_9x_0" localSheetId="72">'405'!$D$63:$D$64</definedName>
    <definedName name="OSRRefD22_9x_0" localSheetId="74">'411'!$D$58:$D$60</definedName>
    <definedName name="OSRRefD22_9x_0" localSheetId="78">'415'!$D$63</definedName>
    <definedName name="OSRRefD22_9x_0" localSheetId="79">'418'!$D$61:$D$64</definedName>
    <definedName name="OSRRefD22_9x_0" localSheetId="85">'433'!$D$63</definedName>
    <definedName name="OSRRefD22_9x_0" localSheetId="86">'444'!$D$63</definedName>
    <definedName name="OSRRefD22_9x_0" localSheetId="87">'450'!$D$63</definedName>
    <definedName name="OSRRefD22_9x_0" localSheetId="71">'491'!$D$64</definedName>
    <definedName name="OSRRefD22_9x_0" localSheetId="83">'492'!$D$63</definedName>
    <definedName name="OSRRefD22_9x_0" localSheetId="89">'501'!$D$58:$D$60</definedName>
    <definedName name="OSRRefD22_9x_0" localSheetId="39">'Div 2'!$D$58</definedName>
    <definedName name="OSRRefD22_9x_0" localSheetId="47">'Div 3'!$D$96</definedName>
    <definedName name="OSRRefD22_9x_0" localSheetId="69">'Div 4'!$D$66</definedName>
    <definedName name="OSRRefD22_9x_0" localSheetId="88">'Div 5'!$D$58:$D$60</definedName>
    <definedName name="OSRRefD22_9x_0" localSheetId="61">'Div 6'!$D$72</definedName>
    <definedName name="OSRRefD22_9x_0" localSheetId="2">Summary!$D$104</definedName>
    <definedName name="OSRRefD22x_0" localSheetId="40">'200'!$D$20,'200'!$D$22,'200'!$D$24,'200'!$D$26:$D$27</definedName>
    <definedName name="OSRRefD22x_0" localSheetId="41">'201'!$D$20:$D$28,'201'!$D$30:$D$39,'201'!$D$41,'201'!$D$43,'201'!$D$45,'201'!$D$47,'201'!$D$49,'201'!$D$51,'201'!$D$53:$D$55,'201'!$D$57:$D$58,'201'!$D$60,'201'!$D$62:$D$63,'201'!$D$65,'201'!$D$67</definedName>
    <definedName name="OSRRefD22x_0" localSheetId="42">'202'!$D$20:$D$28,'202'!$D$30:$D$39,'202'!$D$41,'202'!$D$43,'202'!$D$45,'202'!$D$47,'202'!$D$49:$D$51,'202'!$D$53,'202'!$D$55,'202'!$D$57,'202'!$D$59,'202'!$D$61</definedName>
    <definedName name="OSRRefD22x_0" localSheetId="43">'203'!$D$20:$D$29,'203'!$D$31:$D$40,'203'!$D$42,'203'!$D$44,'203'!$D$46,'203'!$D$48,'203'!$D$50,'203'!$D$52,'203'!$D$54:$D$56,'203'!$D$58:$D$59,'203'!$D$61,'203'!$D$63:$D$66,'203'!$D$68,'203'!$D$70,'203'!$D$72</definedName>
    <definedName name="OSRRefD22x_0" localSheetId="44">'204'!$D$20:$D$28,'204'!$D$30:$D$39,'204'!$D$41,'204'!$D$43:$D$44,'204'!$D$46,'204'!$D$48:$D$51,'204'!$D$53,'204'!$D$55:$D$56</definedName>
    <definedName name="OSRRefD22x_0" localSheetId="45">'205'!$D$20:$D$28,'205'!$D$30:$D$39,'205'!$D$41,'205'!$D$43,'205'!$D$45:$D$46,'205'!$D$48,'205'!$D$50:$D$52,'205'!$D$54</definedName>
    <definedName name="OSRRefD22x_0" localSheetId="46">'206'!$D$20:$D$28,'206'!$D$30:$D$39,'206'!$D$41,'206'!$D$43,'206'!$D$45:$D$46,'206'!$D$48,'206'!$D$50:$D$51,'206'!$D$53</definedName>
    <definedName name="OSRRefD22x_0" localSheetId="48">'300'!$D$54:$D$63,'300'!$D$65:$D$74,'300'!$D$76,'300'!$D$78,'300'!$D$80,'300'!$D$82:$D$83,'300'!$D$85:$D$86,'300'!$D$88,'300'!$D$90,'300'!$D$92,'300'!$D$94:$D$95,'300'!$D$97:$D$98,'300'!$D$100,'300'!$D$102,'300'!$D$104,'300'!$D$106,'300'!$D$108:$D$111,'300'!$D$113:$D$116,'300'!$D$118:$D$120,'300'!$D$122:$D$123,'300'!$D$125:$D$131,'300'!$D$133:$D$134,'300'!$D$136,'300'!$D$138:$D$140,'300'!$D$142</definedName>
    <definedName name="OSRRefD22x_0" localSheetId="49">'300 &amp; 317'!$D$60:$D$69,'300 &amp; 317'!$D$71:$D$80,'300 &amp; 317'!$D$82,'300 &amp; 317'!$D$84,'300 &amp; 317'!$D$86,'300 &amp; 317'!$D$88:$D$89,'300 &amp; 317'!$D$91:$D$92,'300 &amp; 317'!$D$94,'300 &amp; 317'!$D$96,'300 &amp; 317'!$D$98,'300 &amp; 317'!$D$100:$D$101,'300 &amp; 317'!$D$103:$D$104,'300 &amp; 317'!$D$106,'300 &amp; 317'!$D$108,'300 &amp; 317'!$D$110,'300 &amp; 317'!$D$112,'300 &amp; 317'!$D$114:$D$117,'300 &amp; 317'!$D$119:$D$122,'300 &amp; 317'!$D$124:$D$126,'300 &amp; 317'!$D$128:$D$129,'300 &amp; 317'!$D$131:$D$137,'300 &amp; 317'!$D$139:$D$140,'300 &amp; 317'!$D$142,'300 &amp; 317'!$D$144:$D$146,'300 &amp; 317'!$D$148</definedName>
    <definedName name="OSRRefD22x_0" localSheetId="50">'301'!$D$21:$D$30,'301'!$D$32:$D$41,'301'!$D$43,'301'!$D$45,'301'!$D$47,'301'!$D$49:$D$50,'301'!$D$52:$D$53,'301'!$D$55,'301'!$D$57,'301'!$D$59,'301'!$D$61,'301'!$D$63,'301'!$D$65,'301'!$D$67,'301'!$D$69,'301'!$D$71:$D$74,'301'!$D$76:$D$77,'301'!$D$79,'301'!$D$81:$D$86,'301'!$D$88,'301'!$D$90,'301'!$D$92:$D$93,'301'!$D$95</definedName>
    <definedName name="OSRRefD22x_0" localSheetId="52">'307'!$D$34:$D$41,'307'!$D$43:$D$52,'307'!$D$54,'307'!$D$56,'307'!$D$58,'307'!$D$60:$D$61,'307'!$D$63,'307'!$D$65,'307'!$D$67,'307'!$D$69:$D$70,'307'!$D$72:$D$73,'307'!$D$75:$D$78,'307'!$D$80</definedName>
    <definedName name="OSRRefD22x_0" localSheetId="53">'308'!$D$35:$D$44,'308'!$D$46:$D$55,'308'!$D$57,'308'!$D$59,'308'!$D$61,'308'!$D$63,'308'!$D$65,'308'!$D$67,'308'!$D$69:$D$71,'308'!$D$73,'308'!$D$75:$D$76,'308'!$D$78:$D$79,'308'!$D$81</definedName>
    <definedName name="OSRRefD22x_0" localSheetId="65">'309'!$D$20,'309'!$D$22,'309'!$D$24,'309'!$D$26:$D$27,'309'!$D$29</definedName>
    <definedName name="OSRRefD22x_0" localSheetId="64">'310'!$D$27:$D$35,'310'!$D$37:$D$46,'310'!$D$48,'310'!$D$50,'310'!$D$52,'310'!$D$54:$D$55,'310'!$D$57,'310'!$D$59,'310'!$D$61,'310'!$D$63,'310'!$D$65:$D$67,'310'!$D$69,'310'!$D$71:$D$73,'310'!$D$75:$D$79,'310'!$D$81:$D$82,'310'!$D$84,'310'!$D$86</definedName>
    <definedName name="OSRRefD22x_0" localSheetId="70">'310 &amp; 491'!$D$29:$D$37,'310 &amp; 491'!$D$39:$D$48,'310 &amp; 491'!$D$50,'310 &amp; 491'!$D$52,'310 &amp; 491'!$D$54,'310 &amp; 491'!$D$56:$D$57,'310 &amp; 491'!$D$59,'310 &amp; 491'!$D$61,'310 &amp; 491'!$D$63,'310 &amp; 491'!$D$65,'310 &amp; 491'!$D$67,'310 &amp; 491'!$D$69,'310 &amp; 491'!$D$71:$D$73,'310 &amp; 491'!$D$75:$D$76,'310 &amp; 491'!$D$78:$D$82,'310 &amp; 491'!$D$84,'310 &amp; 491'!$D$86:$D$95,'310 &amp; 491'!$D$97:$D$98,'310 &amp; 491'!$D$100,'310 &amp; 491'!$D$102,'310 &amp; 491'!$D$104</definedName>
    <definedName name="OSRRefD22x_0" localSheetId="54">'311'!$D$35:$D$44,'311'!$D$46:$D$55,'311'!$D$57,'311'!$D$59,'311'!$D$61,'311'!$D$63,'311'!$D$65,'311'!$D$67,'311'!$D$69:$D$71,'311'!$D$73,'311'!$D$75:$D$76,'311'!$D$78:$D$79,'311'!$D$81</definedName>
    <definedName name="OSRRefD22x_0" localSheetId="57">'315'!$D$44:$D$52,'315'!$D$54:$D$63,'315'!$D$65,'315'!$D$67,'315'!$D$69,'315'!$D$71,'315'!$D$73,'315'!$D$75:$D$76,'315'!$D$78,'315'!$D$80,'315'!$D$82,'315'!$D$84:$D$85,'315'!$D$87:$D$89,'315'!$D$91:$D$92,'315'!$D$94:$D$96,'315'!$D$98,'315'!$D$100</definedName>
    <definedName name="OSRRefD22x_0" localSheetId="60">'316'!$D$27:$D$35,'316'!$D$37:$D$46,'316'!$D$48,'316'!$D$50,'316'!$D$52,'316'!$D$54:$D$55,'316'!$D$57,'316'!$D$59:$D$61,'316'!$D$63,'316'!$D$65:$D$68,'316'!$D$70</definedName>
    <definedName name="OSRRefD22x_0" localSheetId="62">'317'!$D$35:$D$44,'317'!$D$46:$D$55,'317'!$D$57,'317'!$D$59,'317'!$D$61,'317'!$D$63,'317'!$D$65,'317'!$D$67,'317'!$D$69:$D$70,'317'!$D$72</definedName>
    <definedName name="OSRRefD22x_0" localSheetId="66">'321'!$D$24:$D$32,'321'!$D$34:$D$43,'321'!$D$45,'321'!$D$47,'321'!$D$49,'321'!$D$51,'321'!$D$53:$D$54,'321'!$D$56,'321'!$D$58:$D$59,'321'!$D$61:$D$64,'321'!$D$66,'321'!$D$68</definedName>
    <definedName name="OSRRefD22x_0" localSheetId="67">'325'!$D$25:$D$33,'325'!$D$35:$D$44,'325'!$D$46,'325'!$D$48,'325'!$D$50,'325'!$D$52:$D$53,'325'!$D$55,'325'!$D$57,'325'!$D$59,'325'!$D$61,'325'!$D$63:$D$65,'325'!$D$67:$D$69,'325'!$D$71:$D$75,'325'!$D$77:$D$78,'325'!$D$80</definedName>
    <definedName name="OSRRefD22x_0" localSheetId="58">'326'!$D$28:$D$36,'326'!$D$38:$D$47,'326'!$D$49,'326'!$D$51,'326'!$D$53,'326'!$D$55,'326'!$D$57:$D$58,'326'!$D$60,'326'!$D$62,'326'!$D$64,'326'!$D$66,'326'!$D$68:$D$69,'326'!$D$71:$D$72,'326'!$D$74:$D$75,'326'!$D$77:$D$79,'326'!$D$81,'326'!$D$83:$D$84,'326'!$D$86</definedName>
    <definedName name="OSRRefD22x_0" localSheetId="68">'327'!$D$26</definedName>
    <definedName name="OSRRefD22x_0" localSheetId="51">'330'!$D$34:$D$41,'330'!$D$43:$D$52,'330'!$D$54,'330'!$D$56,'330'!$D$58,'330'!$D$60:$D$61,'330'!$D$63,'330'!$D$65,'330'!$D$67,'330'!$D$69:$D$70,'330'!$D$72:$D$73,'330'!$D$75:$D$78,'330'!$D$80</definedName>
    <definedName name="OSRRefD22x_0" localSheetId="56">'331'!$D$44:$D$52,'331'!$D$54:$D$63,'331'!$D$65,'331'!$D$67,'331'!$D$69,'331'!$D$71,'331'!$D$73,'331'!$D$75:$D$76,'331'!$D$78:$D$79,'331'!$D$81,'331'!$D$83,'331'!$D$85,'331'!$D$87,'331'!$D$89:$D$90,'331'!$D$92:$D$94,'331'!$D$96:$D$97,'331'!$D$99:$D$100,'331'!$D$102:$D$105,'331'!$D$107,'331'!$D$109:$D$110,'331'!$D$112</definedName>
    <definedName name="OSRRefD22x_0" localSheetId="59">'332'!$D$27:$D$35,'332'!$D$37:$D$46,'332'!$D$48,'332'!$D$50,'332'!$D$52,'332'!$D$54:$D$55,'332'!$D$57,'332'!$D$59:$D$61,'332'!$D$63,'332'!$D$65:$D$68,'332'!$D$70</definedName>
    <definedName name="OSRRefD22x_0" localSheetId="72">'405'!$D$27:$D$35,'405'!$D$37:$D$46,'405'!$D$48,'405'!$D$50,'405'!$D$52,'405'!$D$54:$D$55,'405'!$D$57,'405'!$D$59,'405'!$D$61,'405'!$D$63:$D$64,'405'!$D$66:$D$69,'405'!$D$71,'405'!$D$73:$D$80,'405'!$D$82,'405'!$D$84,'405'!$D$86</definedName>
    <definedName name="OSRRefD22x_0" localSheetId="73">'406'!$D$20,'406'!$D$22</definedName>
    <definedName name="OSRRefD22x_0" localSheetId="74">'411'!$D$20:$D$28,'411'!$D$30:$D$39,'411'!$D$41,'411'!$D$43:$D$44,'411'!$D$46,'411'!$D$48,'411'!$D$50,'411'!$D$52,'411'!$D$54:$D$56,'411'!$D$58:$D$60,'411'!$D$62,'411'!$D$64,'411'!$D$66,'411'!$D$68,'411'!$D$70</definedName>
    <definedName name="OSRRefD22x_0" localSheetId="75">'412'!$D$20,'412'!$D$22,'412'!$D$24,'412'!$D$26</definedName>
    <definedName name="OSRRefD22x_0" localSheetId="76">'413'!$D$20,'413'!$D$22,'413'!$D$24</definedName>
    <definedName name="OSRRefD22x_0" localSheetId="77">'414'!$D$20,'414'!$D$22,'414'!$D$24</definedName>
    <definedName name="OSRRefD22x_0" localSheetId="78">'415'!$D$27:$D$35,'415'!$D$37:$D$46,'415'!$D$48,'415'!$D$50,'415'!$D$52,'415'!$D$54:$D$55,'415'!$D$57,'415'!$D$59,'415'!$D$61,'415'!$D$63,'415'!$D$65:$D$66,'415'!$D$68:$D$71,'415'!$D$73,'415'!$D$75:$D$80,'415'!$D$82:$D$83,'415'!$D$85,'415'!$D$87</definedName>
    <definedName name="OSRRefD22x_0" localSheetId="79">'418'!$D$24:$D$32,'418'!$D$34:$D$43,'418'!$D$45,'418'!$D$47,'418'!$D$49:$D$50,'418'!$D$52,'418'!$D$54,'418'!$D$56,'418'!$D$58:$D$59,'418'!$D$61:$D$64,'418'!$D$66,'418'!$D$68:$D$75,'418'!$D$77:$D$78,'418'!$D$80,'418'!$D$82</definedName>
    <definedName name="OSRRefD22x_0" localSheetId="80">'423'!$D$20:$D$27,'423'!$D$29:$D$38,'423'!$D$40,'423'!$D$42,'423'!$D$44,'423'!$D$46</definedName>
    <definedName name="OSRRefD22x_0" localSheetId="81">'424'!$D$20,'424'!$D$22</definedName>
    <definedName name="OSRRefD22x_0" localSheetId="82">'425'!$D$22,'425'!$D$24,'425'!$D$26,'425'!$D$28,'425'!$D$30,'425'!$D$32</definedName>
    <definedName name="OSRRefD22x_0" localSheetId="84">'430'!$D$20:$D$28,'430'!$D$30:$D$39,'430'!$D$41,'430'!$D$43,'430'!$D$45,'430'!$D$47:$D$48,'430'!$D$50:$D$51,'430'!$D$53,'430'!$D$55</definedName>
    <definedName name="OSRRefD22x_0" localSheetId="85">'433'!$D$27:$D$36,'433'!$D$38:$D$47,'433'!$D$49,'433'!$D$51,'433'!$D$53,'433'!$D$55,'433'!$D$57,'433'!$D$59,'433'!$D$61,'433'!$D$63,'433'!$D$65,'433'!$D$67:$D$69,'433'!$D$71:$D$74,'433'!$D$76:$D$83,'433'!$D$85</definedName>
    <definedName name="OSRRefD22x_0" localSheetId="86">'444'!$D$27:$D$36,'444'!$D$38:$D$47,'444'!$D$49,'444'!$D$51,'444'!$D$53,'444'!$D$55,'444'!$D$57,'444'!$D$59,'444'!$D$61,'444'!$D$63,'444'!$D$65,'444'!$D$67:$D$68,'444'!$D$70:$D$73,'444'!$D$75,'444'!$D$77:$D$83,'444'!$D$85,'444'!$D$87</definedName>
    <definedName name="OSRRefD22x_0" localSheetId="87">'450'!$D$27:$D$36,'450'!$D$38:$D$47,'450'!$D$49,'450'!$D$51,'450'!$D$53,'450'!$D$55,'450'!$D$57,'450'!$D$59,'450'!$D$61,'450'!$D$63,'450'!$D$65,'450'!$D$67:$D$69,'450'!$D$71:$D$74,'450'!$D$76:$D$82,'450'!$D$84,'450'!$D$86,'450'!$D$88</definedName>
    <definedName name="OSRRefD22x_0" localSheetId="71">'491'!$D$28:$D$36,'491'!$D$38:$D$47,'491'!$D$49,'491'!$D$51,'491'!$D$53,'491'!$D$55:$D$56,'491'!$D$58,'491'!$D$60,'491'!$D$62,'491'!$D$64,'491'!$D$66,'491'!$D$68,'491'!$D$70:$D$72,'491'!$D$74,'491'!$D$76:$D$80,'491'!$D$82,'491'!$D$84:$D$92,'491'!$D$94:$D$95,'491'!$D$97,'491'!$D$99,'491'!$D$101</definedName>
    <definedName name="OSRRefD22x_0" localSheetId="83">'492'!$D$27:$D$36,'492'!$D$38:$D$47,'492'!$D$49,'492'!$D$51,'492'!$D$53,'492'!$D$55,'492'!$D$57,'492'!$D$59,'492'!$D$61,'492'!$D$63,'492'!$D$65,'492'!$D$67,'492'!$D$69:$D$71,'492'!$D$73:$D$76,'492'!$D$78,'492'!$D$80:$D$87,'492'!$D$89:$D$90,'492'!$D$92,'492'!$D$94:$D$95</definedName>
    <definedName name="OSRRefD22x_0" localSheetId="89">'501'!$D$21:$D$30,'501'!$D$32:$D$41,'501'!$D$43,'501'!$D$45,'501'!$D$47,'501'!$D$49:$D$50,'501'!$D$52,'501'!$D$54,'501'!$D$56,'501'!$D$58:$D$60,'501'!$D$62,'501'!$D$64:$D$66,'501'!$D$68,'501'!$D$70</definedName>
    <definedName name="OSRRefD22x_0" localSheetId="39">'Div 2'!$D$20:$D$30,'Div 2'!$D$32:$D$41,'Div 2'!$D$43,'Div 2'!$D$45,'Div 2'!$D$47,'Div 2'!$D$49:$D$50,'Div 2'!$D$52,'Div 2'!$D$54,'Div 2'!$D$56,'Div 2'!$D$58,'Div 2'!$D$60,'Div 2'!$D$62,'Div 2'!$D$64:$D$67,'Div 2'!$D$69:$D$72,'Div 2'!$D$74:$D$75,'Div 2'!$D$77,'Div 2'!$D$79:$D$84,'Div 2'!$D$86:$D$87,'Div 2'!$D$89,'Div 2'!$D$91:$D$92</definedName>
    <definedName name="OSRRefD22x_0" localSheetId="47">'Div 3'!$D$58:$D$67,'Div 3'!$D$69:$D$78,'Div 3'!$D$80,'Div 3'!$D$82,'Div 3'!$D$84,'Div 3'!$D$86:$D$87,'Div 3'!$D$89:$D$90,'Div 3'!$D$92,'Div 3'!$D$94,'Div 3'!$D$96,'Div 3'!$D$98:$D$99,'Div 3'!$D$101:$D$102,'Div 3'!$D$104,'Div 3'!$D$106,'Div 3'!$D$108,'Div 3'!$D$110,'Div 3'!$D$112,'Div 3'!$D$114:$D$117,'Div 3'!$D$119:$D$122,'Div 3'!$D$124:$D$127,'Div 3'!$D$129:$D$130,'Div 3'!$D$132:$D$138,'Div 3'!$D$140:$D$141,'Div 3'!$D$143,'Div 3'!$D$145:$D$147,'Div 3'!$D$149</definedName>
    <definedName name="OSRRefD22x_0" localSheetId="69">'Div 4'!$D$29:$D$38,'Div 4'!$D$40:$D$49,'Div 4'!$D$51,'Div 4'!$D$53,'Div 4'!$D$55,'Div 4'!$D$57:$D$58,'Div 4'!$D$60,'Div 4'!$D$62,'Div 4'!$D$64,'Div 4'!$D$66,'Div 4'!$D$68,'Div 4'!$D$70,'Div 4'!$D$72,'Div 4'!$D$74,'Div 4'!$D$76:$D$78,'Div 4'!$D$80,'Div 4'!$D$82:$D$86,'Div 4'!$D$88:$D$89,'Div 4'!$D$91:$D$100,'Div 4'!$D$102:$D$103,'Div 4'!$D$105,'Div 4'!$D$107:$D$108,'Div 4'!$D$110</definedName>
    <definedName name="OSRRefD22x_0" localSheetId="88">'Div 5'!$D$21:$D$30,'Div 5'!$D$32:$D$41,'Div 5'!$D$43,'Div 5'!$D$45,'Div 5'!$D$47,'Div 5'!$D$49:$D$50,'Div 5'!$D$52,'Div 5'!$D$54,'Div 5'!$D$56,'Div 5'!$D$58:$D$60,'Div 5'!$D$62,'Div 5'!$D$64:$D$66,'Div 5'!$D$68,'Div 5'!$D$70</definedName>
    <definedName name="OSRRefD22x_0" localSheetId="61">'Div 6'!$D$35:$D$44,'Div 6'!$D$46:$D$55,'Div 6'!$D$57,'Div 6'!$D$59,'Div 6'!$D$61,'Div 6'!$D$63,'Div 6'!$D$65,'Div 6'!$D$67,'Div 6'!$D$69:$D$70,'Div 6'!$D$72</definedName>
    <definedName name="OSRRefD22x_0" localSheetId="2">Summary!$D$66:$D$75,Summary!$D$77:$D$86,Summary!$D$88,Summary!$D$90,Summary!$D$92,Summary!$D$94:$D$95,Summary!$D$97:$D$98,Summary!$D$100,Summary!$D$102,Summary!$D$104,Summary!$D$106:$D$107,Summary!$D$109:$D$110,Summary!$D$112,Summary!$D$114,Summary!$D$116,Summary!$D$118,Summary!$D$120,Summary!$D$122,Summary!$D$124:$D$127,Summary!$D$129:$D$132,Summary!$D$134:$D$138,Summary!$D$140:$D$141,Summary!$D$143:$D$152,Summary!$D$154:$D$155,Summary!$D$157,Summary!$D$159:$D$161,Summary!$D$163</definedName>
    <definedName name="OSRRefD25x_0" localSheetId="48">'300'!$D$145:$D$149</definedName>
    <definedName name="OSRRefD25x_0" localSheetId="49">'300 &amp; 317'!$D$151:$D$157</definedName>
    <definedName name="OSRRefD25x_0" localSheetId="50">'301'!$D$98:$D$99</definedName>
    <definedName name="OSRRefD25x_0" localSheetId="53">'308'!$D$84:$D$87</definedName>
    <definedName name="OSRRefD25x_0" localSheetId="70">'310 &amp; 491'!$D$107:$D$109</definedName>
    <definedName name="OSRRefD25x_0" localSheetId="54">'311'!$D$84:$D$87</definedName>
    <definedName name="OSRRefD25x_0" localSheetId="57">'315'!$D$103:$D$105</definedName>
    <definedName name="OSRRefD25x_0" localSheetId="60">'316'!$D$73</definedName>
    <definedName name="OSRRefD25x_0" localSheetId="62">'317'!$D$75:$D$77</definedName>
    <definedName name="OSRRefD25x_0" localSheetId="56">'331'!$D$115:$D$117</definedName>
    <definedName name="OSRRefD25x_0" localSheetId="59">'332'!$D$73</definedName>
    <definedName name="OSRRefD25x_0" localSheetId="72">'405'!$D$89</definedName>
    <definedName name="OSRRefD25x_0" localSheetId="74">'411'!$D$73</definedName>
    <definedName name="OSRRefD25x_0" localSheetId="78">'415'!$D$90</definedName>
    <definedName name="OSRRefD25x_0" localSheetId="79">'418'!$D$85</definedName>
    <definedName name="OSRRefD25x_0" localSheetId="80">'423'!$D$49</definedName>
    <definedName name="OSRRefD25x_0" localSheetId="71">'491'!$D$104:$D$106</definedName>
    <definedName name="OSRRefD25x_0" localSheetId="89">'501'!$D$73</definedName>
    <definedName name="OSRRefD25x_0" localSheetId="47">'Div 3'!$D$152:$D$156</definedName>
    <definedName name="OSRRefD25x_0" localSheetId="69">'Div 4'!$D$113:$D$115</definedName>
    <definedName name="OSRRefD25x_0" localSheetId="88">'Div 5'!$D$73</definedName>
    <definedName name="OSRRefD25x_0" localSheetId="61">'Div 6'!$D$75:$D$77</definedName>
    <definedName name="OSRRefD25x_0" localSheetId="2">Summary!$D$166:$D$173</definedName>
    <definedName name="OSRRefH13x_0" localSheetId="48">'300'!$H$13:$H$19</definedName>
    <definedName name="OSRRefH13x_0" localSheetId="49">'300 &amp; 317'!$H$13:$H$19</definedName>
    <definedName name="OSRRefH13x_0" localSheetId="52">'307'!$H$13:$H$16</definedName>
    <definedName name="OSRRefH13x_0" localSheetId="53">'308'!$H$13:$H$17</definedName>
    <definedName name="OSRRefH13x_0" localSheetId="64">'310'!$H$13:$H$16</definedName>
    <definedName name="OSRRefH13x_0" localSheetId="70">'310 &amp; 491'!$H$13:$H$18</definedName>
    <definedName name="OSRRefH13x_0" localSheetId="54">'311'!$H$13:$H$17</definedName>
    <definedName name="OSRRefH13x_0" localSheetId="57">'315'!$H$13:$H$17</definedName>
    <definedName name="OSRRefH13x_0" localSheetId="60">'316'!$H$13:$H$17</definedName>
    <definedName name="OSRRefH13x_0" localSheetId="62">'317'!$H$13:$H$17</definedName>
    <definedName name="OSRRefH13x_0" localSheetId="66">'321'!$H$13:$H$14</definedName>
    <definedName name="OSRRefH13x_0" localSheetId="55">'324'!$H$13:$H$14</definedName>
    <definedName name="OSRRefH13x_0" localSheetId="67">'325'!$H$13:$H$14</definedName>
    <definedName name="OSRRefH13x_0" localSheetId="58">'326'!$H$13:$H$16</definedName>
    <definedName name="OSRRefH13x_0" localSheetId="68">'327'!$H$13:$H$15</definedName>
    <definedName name="OSRRefH13x_0" localSheetId="51">'330'!$H$13:$H$16</definedName>
    <definedName name="OSRRefH13x_0" localSheetId="56">'331'!$H$13:$H$17</definedName>
    <definedName name="OSRRefH13x_0" localSheetId="59">'332'!$H$13:$H$17</definedName>
    <definedName name="OSRRefH13x_0" localSheetId="72">'405'!$H$13:$H$16</definedName>
    <definedName name="OSRRefH13x_0" localSheetId="78">'415'!$H$13:$H$16</definedName>
    <definedName name="OSRRefH13x_0" localSheetId="79">'418'!$H$13:$H$14</definedName>
    <definedName name="OSRRefH13x_0" localSheetId="82">'425'!$H$13</definedName>
    <definedName name="OSRRefH13x_0" localSheetId="85">'433'!$H$13:$H$16</definedName>
    <definedName name="OSRRefH13x_0" localSheetId="86">'444'!$H$13:$H$16</definedName>
    <definedName name="OSRRefH13x_0" localSheetId="87">'450'!$H$13:$H$16</definedName>
    <definedName name="OSRRefH13x_0" localSheetId="71">'491'!$H$13:$H$17</definedName>
    <definedName name="OSRRefH13x_0" localSheetId="83">'492'!$H$13:$H$16</definedName>
    <definedName name="OSRRefH13x_0" localSheetId="89">'501'!$H$13</definedName>
    <definedName name="OSRRefH13x_0" localSheetId="47">'Div 3'!$H$13:$H$21</definedName>
    <definedName name="OSRRefH13x_0" localSheetId="69">'Div 4'!$H$13:$H$18</definedName>
    <definedName name="OSRRefH13x_0" localSheetId="88">'Div 5'!$H$13</definedName>
    <definedName name="OSRRefH13x_0" localSheetId="61">'Div 6'!$H$13:$H$17</definedName>
    <definedName name="OSRRefH13x_0" localSheetId="2">Summary!$H$13:$H$23</definedName>
    <definedName name="OSRRefH16x_0" localSheetId="48">'300'!$H$22:$H$48</definedName>
    <definedName name="OSRRefH16x_0" localSheetId="49">'300 &amp; 317'!$H$22:$H$54</definedName>
    <definedName name="OSRRefH16x_0" localSheetId="50">'301'!$H$15</definedName>
    <definedName name="OSRRefH16x_0" localSheetId="52">'307'!$H$19:$H$28</definedName>
    <definedName name="OSRRefH16x_0" localSheetId="53">'308'!$H$20:$H$29</definedName>
    <definedName name="OSRRefH16x_0" localSheetId="64">'310'!$H$19:$H$21</definedName>
    <definedName name="OSRRefH16x_0" localSheetId="70">'310 &amp; 491'!$H$21:$H$23</definedName>
    <definedName name="OSRRefH16x_0" localSheetId="54">'311'!$H$20:$H$29</definedName>
    <definedName name="OSRRefH16x_0" localSheetId="57">'315'!$H$20:$H$38</definedName>
    <definedName name="OSRRefH16x_0" localSheetId="60">'316'!$H$20:$H$21</definedName>
    <definedName name="OSRRefH16x_0" localSheetId="62">'317'!$H$20:$H$29</definedName>
    <definedName name="OSRRefH16x_0" localSheetId="66">'321'!$H$17:$H$18</definedName>
    <definedName name="OSRRefH16x_0" localSheetId="55">'324'!$H$17</definedName>
    <definedName name="OSRRefH16x_0" localSheetId="67">'325'!$H$17:$H$19</definedName>
    <definedName name="OSRRefH16x_0" localSheetId="58">'326'!$H$19:$H$22</definedName>
    <definedName name="OSRRefH16x_0" localSheetId="68">'327'!$H$18:$H$20</definedName>
    <definedName name="OSRRefH16x_0" localSheetId="51">'330'!$H$19:$H$28</definedName>
    <definedName name="OSRRefH16x_0" localSheetId="56">'331'!$H$20:$H$38</definedName>
    <definedName name="OSRRefH16x_0" localSheetId="59">'332'!$H$20:$H$21</definedName>
    <definedName name="OSRRefH16x_0" localSheetId="72">'405'!$H$19:$H$21</definedName>
    <definedName name="OSRRefH16x_0" localSheetId="78">'415'!$H$19:$H$21</definedName>
    <definedName name="OSRRefH16x_0" localSheetId="79">'418'!$H$17:$H$18</definedName>
    <definedName name="OSRRefH16x_0" localSheetId="82">'425'!$H$16</definedName>
    <definedName name="OSRRefH16x_0" localSheetId="85">'433'!$H$19:$H$21</definedName>
    <definedName name="OSRRefH16x_0" localSheetId="86">'444'!$H$19:$H$21</definedName>
    <definedName name="OSRRefH16x_0" localSheetId="87">'450'!$H$19:$H$21</definedName>
    <definedName name="OSRRefH16x_0" localSheetId="71">'491'!$H$20:$H$22</definedName>
    <definedName name="OSRRefH16x_0" localSheetId="83">'492'!$H$19:$H$21</definedName>
    <definedName name="OSRRefH16x_0" localSheetId="47">'Div 3'!$H$24:$H$52</definedName>
    <definedName name="OSRRefH16x_0" localSheetId="69">'Div 4'!$H$21:$H$23</definedName>
    <definedName name="OSRRefH16x_0" localSheetId="61">'Div 6'!$H$20:$H$29</definedName>
    <definedName name="OSRRefH16x_0" localSheetId="2">Summary!$H$26:$H$60</definedName>
    <definedName name="OSRRefH22_0x_0" localSheetId="40">'200'!$H$20</definedName>
    <definedName name="OSRRefH22_0x_0" localSheetId="41">'201'!$H$20:$H$28</definedName>
    <definedName name="OSRRefH22_0x_0" localSheetId="42">'202'!$H$20:$H$28</definedName>
    <definedName name="OSRRefH22_0x_0" localSheetId="43">'203'!$H$20:$H$29</definedName>
    <definedName name="OSRRefH22_0x_0" localSheetId="44">'204'!$H$20:$H$28</definedName>
    <definedName name="OSRRefH22_0x_0" localSheetId="45">'205'!$H$20:$H$28</definedName>
    <definedName name="OSRRefH22_0x_0" localSheetId="46">'206'!$H$20:$H$28</definedName>
    <definedName name="OSRRefH22_0x_0" localSheetId="48">'300'!$H$54:$H$63</definedName>
    <definedName name="OSRRefH22_0x_0" localSheetId="49">'300 &amp; 317'!$H$60:$H$69</definedName>
    <definedName name="OSRRefH22_0x_0" localSheetId="50">'301'!$H$21:$H$30</definedName>
    <definedName name="OSRRefH22_0x_0" localSheetId="52">'307'!$H$34:$H$41</definedName>
    <definedName name="OSRRefH22_0x_0" localSheetId="53">'308'!$H$35:$H$44</definedName>
    <definedName name="OSRRefH22_0x_0" localSheetId="65">'309'!$H$20</definedName>
    <definedName name="OSRRefH22_0x_0" localSheetId="64">'310'!$H$27:$H$35</definedName>
    <definedName name="OSRRefH22_0x_0" localSheetId="70">'310 &amp; 491'!$H$29:$H$37</definedName>
    <definedName name="OSRRefH22_0x_0" localSheetId="54">'311'!$H$35:$H$44</definedName>
    <definedName name="OSRRefH22_0x_0" localSheetId="57">'315'!$H$44:$H$52</definedName>
    <definedName name="OSRRefH22_0x_0" localSheetId="60">'316'!$H$27:$H$35</definedName>
    <definedName name="OSRRefH22_0x_0" localSheetId="62">'317'!$H$35:$H$44</definedName>
    <definedName name="OSRRefH22_0x_0" localSheetId="66">'321'!$H$24:$H$32</definedName>
    <definedName name="OSRRefH22_0x_0" localSheetId="67">'325'!$H$25:$H$33</definedName>
    <definedName name="OSRRefH22_0x_0" localSheetId="58">'326'!$H$28:$H$36</definedName>
    <definedName name="OSRRefH22_0x_0" localSheetId="68">'327'!$H$26</definedName>
    <definedName name="OSRRefH22_0x_0" localSheetId="51">'330'!$H$34:$H$41</definedName>
    <definedName name="OSRRefH22_0x_0" localSheetId="56">'331'!$H$44:$H$52</definedName>
    <definedName name="OSRRefH22_0x_0" localSheetId="59">'332'!$H$27:$H$35</definedName>
    <definedName name="OSRRefH22_0x_0" localSheetId="72">'405'!$H$27:$H$35</definedName>
    <definedName name="OSRRefH22_0x_0" localSheetId="73">'406'!$H$20</definedName>
    <definedName name="OSRRefH22_0x_0" localSheetId="74">'411'!$H$20:$H$28</definedName>
    <definedName name="OSRRefH22_0x_0" localSheetId="75">'412'!$H$20</definedName>
    <definedName name="OSRRefH22_0x_0" localSheetId="76">'413'!$H$20</definedName>
    <definedName name="OSRRefH22_0x_0" localSheetId="77">'414'!$H$20</definedName>
    <definedName name="OSRRefH22_0x_0" localSheetId="78">'415'!$H$27:$H$35</definedName>
    <definedName name="OSRRefH22_0x_0" localSheetId="79">'418'!$H$24:$H$32</definedName>
    <definedName name="OSRRefH22_0x_0" localSheetId="80">'423'!$H$20:$H$27</definedName>
    <definedName name="OSRRefH22_0x_0" localSheetId="81">'424'!$H$20</definedName>
    <definedName name="OSRRefH22_0x_0" localSheetId="82">'425'!$H$22</definedName>
    <definedName name="OSRRefH22_0x_0" localSheetId="84">'430'!$H$20:$H$28</definedName>
    <definedName name="OSRRefH22_0x_0" localSheetId="85">'433'!$H$27:$H$36</definedName>
    <definedName name="OSRRefH22_0x_0" localSheetId="86">'444'!$H$27:$H$36</definedName>
    <definedName name="OSRRefH22_0x_0" localSheetId="87">'450'!$H$27:$H$36</definedName>
    <definedName name="OSRRefH22_0x_0" localSheetId="71">'491'!$H$28:$H$36</definedName>
    <definedName name="OSRRefH22_0x_0" localSheetId="83">'492'!$H$27:$H$36</definedName>
    <definedName name="OSRRefH22_0x_0" localSheetId="89">'501'!$H$21:$H$30</definedName>
    <definedName name="OSRRefH22_0x_0" localSheetId="39">'Div 2'!$H$20:$H$30</definedName>
    <definedName name="OSRRefH22_0x_0" localSheetId="47">'Div 3'!$H$58:$H$67</definedName>
    <definedName name="OSRRefH22_0x_0" localSheetId="69">'Div 4'!$H$29:$H$38</definedName>
    <definedName name="OSRRefH22_0x_0" localSheetId="88">'Div 5'!$H$21:$H$30</definedName>
    <definedName name="OSRRefH22_0x_0" localSheetId="61">'Div 6'!$H$35:$H$44</definedName>
    <definedName name="OSRRefH22_0x_0" localSheetId="2">Summary!$H$66:$H$75</definedName>
    <definedName name="OSRRefH22_10x_0" localSheetId="41">'201'!$H$60</definedName>
    <definedName name="OSRRefH22_10x_0" localSheetId="42">'202'!$H$59</definedName>
    <definedName name="OSRRefH22_10x_0" localSheetId="43">'203'!$H$61</definedName>
    <definedName name="OSRRefH22_10x_0" localSheetId="48">'300'!$H$94:$H$95</definedName>
    <definedName name="OSRRefH22_10x_0" localSheetId="49">'300 &amp; 317'!$H$100:$H$101</definedName>
    <definedName name="OSRRefH22_10x_0" localSheetId="50">'301'!$H$61</definedName>
    <definedName name="OSRRefH22_10x_0" localSheetId="52">'307'!$H$72:$H$73</definedName>
    <definedName name="OSRRefH22_10x_0" localSheetId="53">'308'!$H$75:$H$76</definedName>
    <definedName name="OSRRefH22_10x_0" localSheetId="64">'310'!$H$65:$H$67</definedName>
    <definedName name="OSRRefH22_10x_0" localSheetId="70">'310 &amp; 491'!$H$67</definedName>
    <definedName name="OSRRefH22_10x_0" localSheetId="54">'311'!$H$75:$H$76</definedName>
    <definedName name="OSRRefH22_10x_0" localSheetId="57">'315'!$H$82</definedName>
    <definedName name="OSRRefH22_10x_0" localSheetId="60">'316'!$H$70</definedName>
    <definedName name="OSRRefH22_10x_0" localSheetId="66">'321'!$H$66</definedName>
    <definedName name="OSRRefH22_10x_0" localSheetId="67">'325'!$H$63:$H$65</definedName>
    <definedName name="OSRRefH22_10x_0" localSheetId="58">'326'!$H$66</definedName>
    <definedName name="OSRRefH22_10x_0" localSheetId="51">'330'!$H$72:$H$73</definedName>
    <definedName name="OSRRefH22_10x_0" localSheetId="56">'331'!$H$83</definedName>
    <definedName name="OSRRefH22_10x_0" localSheetId="59">'332'!$H$70</definedName>
    <definedName name="OSRRefH22_10x_0" localSheetId="72">'405'!$H$66:$H$69</definedName>
    <definedName name="OSRRefH22_10x_0" localSheetId="74">'411'!$H$62</definedName>
    <definedName name="OSRRefH22_10x_0" localSheetId="78">'415'!$H$65:$H$66</definedName>
    <definedName name="OSRRefH22_10x_0" localSheetId="79">'418'!$H$66</definedName>
    <definedName name="OSRRefH22_10x_0" localSheetId="85">'433'!$H$65</definedName>
    <definedName name="OSRRefH22_10x_0" localSheetId="86">'444'!$H$65</definedName>
    <definedName name="OSRRefH22_10x_0" localSheetId="87">'450'!$H$65</definedName>
    <definedName name="OSRRefH22_10x_0" localSheetId="71">'491'!$H$66</definedName>
    <definedName name="OSRRefH22_10x_0" localSheetId="83">'492'!$H$65</definedName>
    <definedName name="OSRRefH22_10x_0" localSheetId="89">'501'!$H$62</definedName>
    <definedName name="OSRRefH22_10x_0" localSheetId="39">'Div 2'!$H$60</definedName>
    <definedName name="OSRRefH22_10x_0" localSheetId="47">'Div 3'!$H$98:$H$99</definedName>
    <definedName name="OSRRefH22_10x_0" localSheetId="69">'Div 4'!$H$68</definedName>
    <definedName name="OSRRefH22_10x_0" localSheetId="88">'Div 5'!$H$62</definedName>
    <definedName name="OSRRefH22_10x_0" localSheetId="2">Summary!$H$106:$H$107</definedName>
    <definedName name="OSRRefH22_11x_0" localSheetId="41">'201'!$H$62:$H$63</definedName>
    <definedName name="OSRRefH22_11x_0" localSheetId="42">'202'!$H$61</definedName>
    <definedName name="OSRRefH22_11x_0" localSheetId="43">'203'!$H$63:$H$66</definedName>
    <definedName name="OSRRefH22_11x_0" localSheetId="48">'300'!$H$97:$H$98</definedName>
    <definedName name="OSRRefH22_11x_0" localSheetId="49">'300 &amp; 317'!$H$103:$H$104</definedName>
    <definedName name="OSRRefH22_11x_0" localSheetId="50">'301'!$H$63</definedName>
    <definedName name="OSRRefH22_11x_0" localSheetId="52">'307'!$H$75:$H$78</definedName>
    <definedName name="OSRRefH22_11x_0" localSheetId="53">'308'!$H$78:$H$79</definedName>
    <definedName name="OSRRefH22_11x_0" localSheetId="64">'310'!$H$69</definedName>
    <definedName name="OSRRefH22_11x_0" localSheetId="70">'310 &amp; 491'!$H$69</definedName>
    <definedName name="OSRRefH22_11x_0" localSheetId="54">'311'!$H$78:$H$79</definedName>
    <definedName name="OSRRefH22_11x_0" localSheetId="57">'315'!$H$84:$H$85</definedName>
    <definedName name="OSRRefH22_11x_0" localSheetId="66">'321'!$H$68</definedName>
    <definedName name="OSRRefH22_11x_0" localSheetId="67">'325'!$H$67:$H$69</definedName>
    <definedName name="OSRRefH22_11x_0" localSheetId="58">'326'!$H$68:$H$69</definedName>
    <definedName name="OSRRefH22_11x_0" localSheetId="51">'330'!$H$75:$H$78</definedName>
    <definedName name="OSRRefH22_11x_0" localSheetId="56">'331'!$H$85</definedName>
    <definedName name="OSRRefH22_11x_0" localSheetId="72">'405'!$H$71</definedName>
    <definedName name="OSRRefH22_11x_0" localSheetId="74">'411'!$H$64</definedName>
    <definedName name="OSRRefH22_11x_0" localSheetId="78">'415'!$H$68:$H$71</definedName>
    <definedName name="OSRRefH22_11x_0" localSheetId="79">'418'!$H$68:$H$75</definedName>
    <definedName name="OSRRefH22_11x_0" localSheetId="85">'433'!$H$67:$H$69</definedName>
    <definedName name="OSRRefH22_11x_0" localSheetId="86">'444'!$H$67:$H$68</definedName>
    <definedName name="OSRRefH22_11x_0" localSheetId="87">'450'!$H$67:$H$69</definedName>
    <definedName name="OSRRefH22_11x_0" localSheetId="71">'491'!$H$68</definedName>
    <definedName name="OSRRefH22_11x_0" localSheetId="83">'492'!$H$67</definedName>
    <definedName name="OSRRefH22_11x_0" localSheetId="89">'501'!$H$64:$H$66</definedName>
    <definedName name="OSRRefH22_11x_0" localSheetId="39">'Div 2'!$H$62</definedName>
    <definedName name="OSRRefH22_11x_0" localSheetId="47">'Div 3'!$H$101:$H$102</definedName>
    <definedName name="OSRRefH22_11x_0" localSheetId="69">'Div 4'!$H$70</definedName>
    <definedName name="OSRRefH22_11x_0" localSheetId="88">'Div 5'!$H$64:$H$66</definedName>
    <definedName name="OSRRefH22_11x_0" localSheetId="2">Summary!$H$109:$H$110</definedName>
    <definedName name="OSRRefH22_12x_0" localSheetId="41">'201'!$H$65</definedName>
    <definedName name="OSRRefH22_12x_0" localSheetId="43">'203'!$H$68</definedName>
    <definedName name="OSRRefH22_12x_0" localSheetId="48">'300'!$H$100</definedName>
    <definedName name="OSRRefH22_12x_0" localSheetId="49">'300 &amp; 317'!$H$106</definedName>
    <definedName name="OSRRefH22_12x_0" localSheetId="50">'301'!$H$65</definedName>
    <definedName name="OSRRefH22_12x_0" localSheetId="52">'307'!$H$80</definedName>
    <definedName name="OSRRefH22_12x_0" localSheetId="53">'308'!$H$81</definedName>
    <definedName name="OSRRefH22_12x_0" localSheetId="64">'310'!$H$71:$H$73</definedName>
    <definedName name="OSRRefH22_12x_0" localSheetId="70">'310 &amp; 491'!$H$71:$H$73</definedName>
    <definedName name="OSRRefH22_12x_0" localSheetId="54">'311'!$H$81</definedName>
    <definedName name="OSRRefH22_12x_0" localSheetId="57">'315'!$H$87:$H$89</definedName>
    <definedName name="OSRRefH22_12x_0" localSheetId="67">'325'!$H$71:$H$75</definedName>
    <definedName name="OSRRefH22_12x_0" localSheetId="58">'326'!$H$71:$H$72</definedName>
    <definedName name="OSRRefH22_12x_0" localSheetId="51">'330'!$H$80</definedName>
    <definedName name="OSRRefH22_12x_0" localSheetId="56">'331'!$H$87</definedName>
    <definedName name="OSRRefH22_12x_0" localSheetId="72">'405'!$H$73:$H$80</definedName>
    <definedName name="OSRRefH22_12x_0" localSheetId="74">'411'!$H$66</definedName>
    <definedName name="OSRRefH22_12x_0" localSheetId="78">'415'!$H$73</definedName>
    <definedName name="OSRRefH22_12x_0" localSheetId="79">'418'!$H$77:$H$78</definedName>
    <definedName name="OSRRefH22_12x_0" localSheetId="85">'433'!$H$71:$H$74</definedName>
    <definedName name="OSRRefH22_12x_0" localSheetId="86">'444'!$H$70:$H$73</definedName>
    <definedName name="OSRRefH22_12x_0" localSheetId="87">'450'!$H$71:$H$74</definedName>
    <definedName name="OSRRefH22_12x_0" localSheetId="71">'491'!$H$70:$H$72</definedName>
    <definedName name="OSRRefH22_12x_0" localSheetId="83">'492'!$H$69:$H$71</definedName>
    <definedName name="OSRRefH22_12x_0" localSheetId="89">'501'!$H$68</definedName>
    <definedName name="OSRRefH22_12x_0" localSheetId="39">'Div 2'!$H$64:$H$67</definedName>
    <definedName name="OSRRefH22_12x_0" localSheetId="47">'Div 3'!$H$104</definedName>
    <definedName name="OSRRefH22_12x_0" localSheetId="69">'Div 4'!$H$72</definedName>
    <definedName name="OSRRefH22_12x_0" localSheetId="88">'Div 5'!$H$68</definedName>
    <definedName name="OSRRefH22_12x_0" localSheetId="2">Summary!$H$112</definedName>
    <definedName name="OSRRefH22_13x_0" localSheetId="41">'201'!$H$67</definedName>
    <definedName name="OSRRefH22_13x_0" localSheetId="43">'203'!$H$70</definedName>
    <definedName name="OSRRefH22_13x_0" localSheetId="48">'300'!$H$102</definedName>
    <definedName name="OSRRefH22_13x_0" localSheetId="49">'300 &amp; 317'!$H$108</definedName>
    <definedName name="OSRRefH22_13x_0" localSheetId="50">'301'!$H$67</definedName>
    <definedName name="OSRRefH22_13x_0" localSheetId="64">'310'!$H$75:$H$79</definedName>
    <definedName name="OSRRefH22_13x_0" localSheetId="70">'310 &amp; 491'!$H$75:$H$76</definedName>
    <definedName name="OSRRefH22_13x_0" localSheetId="57">'315'!$H$91:$H$92</definedName>
    <definedName name="OSRRefH22_13x_0" localSheetId="67">'325'!$H$77:$H$78</definedName>
    <definedName name="OSRRefH22_13x_0" localSheetId="58">'326'!$H$74:$H$75</definedName>
    <definedName name="OSRRefH22_13x_0" localSheetId="56">'331'!$H$89:$H$90</definedName>
    <definedName name="OSRRefH22_13x_0" localSheetId="72">'405'!$H$82</definedName>
    <definedName name="OSRRefH22_13x_0" localSheetId="74">'411'!$H$68</definedName>
    <definedName name="OSRRefH22_13x_0" localSheetId="78">'415'!$H$75:$H$80</definedName>
    <definedName name="OSRRefH22_13x_0" localSheetId="79">'418'!$H$80</definedName>
    <definedName name="OSRRefH22_13x_0" localSheetId="85">'433'!$H$76:$H$83</definedName>
    <definedName name="OSRRefH22_13x_0" localSheetId="86">'444'!$H$75</definedName>
    <definedName name="OSRRefH22_13x_0" localSheetId="87">'450'!$H$76:$H$82</definedName>
    <definedName name="OSRRefH22_13x_0" localSheetId="71">'491'!$H$74</definedName>
    <definedName name="OSRRefH22_13x_0" localSheetId="83">'492'!$H$73:$H$76</definedName>
    <definedName name="OSRRefH22_13x_0" localSheetId="89">'501'!$H$70</definedName>
    <definedName name="OSRRefH22_13x_0" localSheetId="39">'Div 2'!$H$69:$H$72</definedName>
    <definedName name="OSRRefH22_13x_0" localSheetId="47">'Div 3'!$H$106</definedName>
    <definedName name="OSRRefH22_13x_0" localSheetId="69">'Div 4'!$H$74</definedName>
    <definedName name="OSRRefH22_13x_0" localSheetId="88">'Div 5'!$H$70</definedName>
    <definedName name="OSRRefH22_13x_0" localSheetId="2">Summary!$H$114</definedName>
    <definedName name="OSRRefH22_14x_0" localSheetId="43">'203'!$H$72</definedName>
    <definedName name="OSRRefH22_14x_0" localSheetId="48">'300'!$H$104</definedName>
    <definedName name="OSRRefH22_14x_0" localSheetId="49">'300 &amp; 317'!$H$110</definedName>
    <definedName name="OSRRefH22_14x_0" localSheetId="50">'301'!$H$69</definedName>
    <definedName name="OSRRefH22_14x_0" localSheetId="64">'310'!$H$81:$H$82</definedName>
    <definedName name="OSRRefH22_14x_0" localSheetId="70">'310 &amp; 491'!$H$78:$H$82</definedName>
    <definedName name="OSRRefH22_14x_0" localSheetId="57">'315'!$H$94:$H$96</definedName>
    <definedName name="OSRRefH22_14x_0" localSheetId="67">'325'!$H$80</definedName>
    <definedName name="OSRRefH22_14x_0" localSheetId="58">'326'!$H$77:$H$79</definedName>
    <definedName name="OSRRefH22_14x_0" localSheetId="56">'331'!$H$92:$H$94</definedName>
    <definedName name="OSRRefH22_14x_0" localSheetId="72">'405'!$H$84</definedName>
    <definedName name="OSRRefH22_14x_0" localSheetId="74">'411'!$H$70</definedName>
    <definedName name="OSRRefH22_14x_0" localSheetId="78">'415'!$H$82:$H$83</definedName>
    <definedName name="OSRRefH22_14x_0" localSheetId="79">'418'!$H$82</definedName>
    <definedName name="OSRRefH22_14x_0" localSheetId="85">'433'!$H$85</definedName>
    <definedName name="OSRRefH22_14x_0" localSheetId="86">'444'!$H$77:$H$83</definedName>
    <definedName name="OSRRefH22_14x_0" localSheetId="87">'450'!$H$84</definedName>
    <definedName name="OSRRefH22_14x_0" localSheetId="71">'491'!$H$76:$H$80</definedName>
    <definedName name="OSRRefH22_14x_0" localSheetId="83">'492'!$H$78</definedName>
    <definedName name="OSRRefH22_14x_0" localSheetId="39">'Div 2'!$H$74:$H$75</definedName>
    <definedName name="OSRRefH22_14x_0" localSheetId="47">'Div 3'!$H$108</definedName>
    <definedName name="OSRRefH22_14x_0" localSheetId="69">'Div 4'!$H$76:$H$78</definedName>
    <definedName name="OSRRefH22_14x_0" localSheetId="2">Summary!$H$116</definedName>
    <definedName name="OSRRefH22_15x_0" localSheetId="48">'300'!$H$106</definedName>
    <definedName name="OSRRefH22_15x_0" localSheetId="49">'300 &amp; 317'!$H$112</definedName>
    <definedName name="OSRRefH22_15x_0" localSheetId="50">'301'!$H$71:$H$74</definedName>
    <definedName name="OSRRefH22_15x_0" localSheetId="64">'310'!$H$84</definedName>
    <definedName name="OSRRefH22_15x_0" localSheetId="70">'310 &amp; 491'!$H$84</definedName>
    <definedName name="OSRRefH22_15x_0" localSheetId="57">'315'!$H$98</definedName>
    <definedName name="OSRRefH22_15x_0" localSheetId="58">'326'!$H$81</definedName>
    <definedName name="OSRRefH22_15x_0" localSheetId="56">'331'!$H$96:$H$97</definedName>
    <definedName name="OSRRefH22_15x_0" localSheetId="72">'405'!$H$86</definedName>
    <definedName name="OSRRefH22_15x_0" localSheetId="78">'415'!$H$85</definedName>
    <definedName name="OSRRefH22_15x_0" localSheetId="86">'444'!$H$85</definedName>
    <definedName name="OSRRefH22_15x_0" localSheetId="87">'450'!$H$86</definedName>
    <definedName name="OSRRefH22_15x_0" localSheetId="71">'491'!$H$82</definedName>
    <definedName name="OSRRefH22_15x_0" localSheetId="83">'492'!$H$80:$H$87</definedName>
    <definedName name="OSRRefH22_15x_0" localSheetId="39">'Div 2'!$H$77</definedName>
    <definedName name="OSRRefH22_15x_0" localSheetId="47">'Div 3'!$H$110</definedName>
    <definedName name="OSRRefH22_15x_0" localSheetId="69">'Div 4'!$H$80</definedName>
    <definedName name="OSRRefH22_15x_0" localSheetId="2">Summary!$H$118</definedName>
    <definedName name="OSRRefH22_16x_0" localSheetId="48">'300'!$H$108:$H$111</definedName>
    <definedName name="OSRRefH22_16x_0" localSheetId="49">'300 &amp; 317'!$H$114:$H$117</definedName>
    <definedName name="OSRRefH22_16x_0" localSheetId="50">'301'!$H$76:$H$77</definedName>
    <definedName name="OSRRefH22_16x_0" localSheetId="64">'310'!$H$86</definedName>
    <definedName name="OSRRefH22_16x_0" localSheetId="70">'310 &amp; 491'!$H$86:$H$95</definedName>
    <definedName name="OSRRefH22_16x_0" localSheetId="57">'315'!$H$100</definedName>
    <definedName name="OSRRefH22_16x_0" localSheetId="58">'326'!$H$83:$H$84</definedName>
    <definedName name="OSRRefH22_16x_0" localSheetId="56">'331'!$H$99:$H$100</definedName>
    <definedName name="OSRRefH22_16x_0" localSheetId="78">'415'!$H$87</definedName>
    <definedName name="OSRRefH22_16x_0" localSheetId="86">'444'!$H$87</definedName>
    <definedName name="OSRRefH22_16x_0" localSheetId="87">'450'!$H$88</definedName>
    <definedName name="OSRRefH22_16x_0" localSheetId="71">'491'!$H$84:$H$92</definedName>
    <definedName name="OSRRefH22_16x_0" localSheetId="83">'492'!$H$89:$H$90</definedName>
    <definedName name="OSRRefH22_16x_0" localSheetId="39">'Div 2'!$H$79:$H$84</definedName>
    <definedName name="OSRRefH22_16x_0" localSheetId="47">'Div 3'!$H$112</definedName>
    <definedName name="OSRRefH22_16x_0" localSheetId="69">'Div 4'!$H$82:$H$86</definedName>
    <definedName name="OSRRefH22_16x_0" localSheetId="2">Summary!$H$120</definedName>
    <definedName name="OSRRefH22_17x_0" localSheetId="48">'300'!$H$113:$H$116</definedName>
    <definedName name="OSRRefH22_17x_0" localSheetId="49">'300 &amp; 317'!$H$119:$H$122</definedName>
    <definedName name="OSRRefH22_17x_0" localSheetId="50">'301'!$H$79</definedName>
    <definedName name="OSRRefH22_17x_0" localSheetId="70">'310 &amp; 491'!$H$97:$H$98</definedName>
    <definedName name="OSRRefH22_17x_0" localSheetId="58">'326'!$H$86</definedName>
    <definedName name="OSRRefH22_17x_0" localSheetId="56">'331'!$H$102:$H$105</definedName>
    <definedName name="OSRRefH22_17x_0" localSheetId="71">'491'!$H$94:$H$95</definedName>
    <definedName name="OSRRefH22_17x_0" localSheetId="83">'492'!$H$92</definedName>
    <definedName name="OSRRefH22_17x_0" localSheetId="39">'Div 2'!$H$86:$H$87</definedName>
    <definedName name="OSRRefH22_17x_0" localSheetId="47">'Div 3'!$H$114:$H$117</definedName>
    <definedName name="OSRRefH22_17x_0" localSheetId="69">'Div 4'!$H$88:$H$89</definedName>
    <definedName name="OSRRefH22_17x_0" localSheetId="2">Summary!$H$122</definedName>
    <definedName name="OSRRefH22_18x_0" localSheetId="48">'300'!$H$118:$H$120</definedName>
    <definedName name="OSRRefH22_18x_0" localSheetId="49">'300 &amp; 317'!$H$124:$H$126</definedName>
    <definedName name="OSRRefH22_18x_0" localSheetId="50">'301'!$H$81:$H$86</definedName>
    <definedName name="OSRRefH22_18x_0" localSheetId="70">'310 &amp; 491'!$H$100</definedName>
    <definedName name="OSRRefH22_18x_0" localSheetId="56">'331'!$H$107</definedName>
    <definedName name="OSRRefH22_18x_0" localSheetId="71">'491'!$H$97</definedName>
    <definedName name="OSRRefH22_18x_0" localSheetId="83">'492'!$H$94:$H$95</definedName>
    <definedName name="OSRRefH22_18x_0" localSheetId="39">'Div 2'!$H$89</definedName>
    <definedName name="OSRRefH22_18x_0" localSheetId="47">'Div 3'!$H$119:$H$122</definedName>
    <definedName name="OSRRefH22_18x_0" localSheetId="69">'Div 4'!$H$91:$H$100</definedName>
    <definedName name="OSRRefH22_18x_0" localSheetId="2">Summary!$H$124:$H$127</definedName>
    <definedName name="OSRRefH22_19x_0" localSheetId="48">'300'!$H$122:$H$123</definedName>
    <definedName name="OSRRefH22_19x_0" localSheetId="49">'300 &amp; 317'!$H$128:$H$129</definedName>
    <definedName name="OSRRefH22_19x_0" localSheetId="50">'301'!$H$88</definedName>
    <definedName name="OSRRefH22_19x_0" localSheetId="70">'310 &amp; 491'!$H$102</definedName>
    <definedName name="OSRRefH22_19x_0" localSheetId="56">'331'!$H$109:$H$110</definedName>
    <definedName name="OSRRefH22_19x_0" localSheetId="71">'491'!$H$99</definedName>
    <definedName name="OSRRefH22_19x_0" localSheetId="39">'Div 2'!$H$91:$H$92</definedName>
    <definedName name="OSRRefH22_19x_0" localSheetId="47">'Div 3'!$H$124:$H$127</definedName>
    <definedName name="OSRRefH22_19x_0" localSheetId="69">'Div 4'!$H$102:$H$103</definedName>
    <definedName name="OSRRefH22_19x_0" localSheetId="2">Summary!$H$129:$H$132</definedName>
    <definedName name="OSRRefH22_1x_0" localSheetId="40">'200'!$H$22</definedName>
    <definedName name="OSRRefH22_1x_0" localSheetId="41">'201'!$H$30:$H$39</definedName>
    <definedName name="OSRRefH22_1x_0" localSheetId="42">'202'!$H$30:$H$39</definedName>
    <definedName name="OSRRefH22_1x_0" localSheetId="43">'203'!$H$31:$H$40</definedName>
    <definedName name="OSRRefH22_1x_0" localSheetId="44">'204'!$H$30:$H$39</definedName>
    <definedName name="OSRRefH22_1x_0" localSheetId="45">'205'!$H$30:$H$39</definedName>
    <definedName name="OSRRefH22_1x_0" localSheetId="46">'206'!$H$30:$H$39</definedName>
    <definedName name="OSRRefH22_1x_0" localSheetId="48">'300'!$H$65:$H$74</definedName>
    <definedName name="OSRRefH22_1x_0" localSheetId="49">'300 &amp; 317'!$H$71:$H$80</definedName>
    <definedName name="OSRRefH22_1x_0" localSheetId="50">'301'!$H$32:$H$41</definedName>
    <definedName name="OSRRefH22_1x_0" localSheetId="52">'307'!$H$43:$H$52</definedName>
    <definedName name="OSRRefH22_1x_0" localSheetId="53">'308'!$H$46:$H$55</definedName>
    <definedName name="OSRRefH22_1x_0" localSheetId="65">'309'!$H$22</definedName>
    <definedName name="OSRRefH22_1x_0" localSheetId="64">'310'!$H$37:$H$46</definedName>
    <definedName name="OSRRefH22_1x_0" localSheetId="70">'310 &amp; 491'!$H$39:$H$48</definedName>
    <definedName name="OSRRefH22_1x_0" localSheetId="54">'311'!$H$46:$H$55</definedName>
    <definedName name="OSRRefH22_1x_0" localSheetId="57">'315'!$H$54:$H$63</definedName>
    <definedName name="OSRRefH22_1x_0" localSheetId="60">'316'!$H$37:$H$46</definedName>
    <definedName name="OSRRefH22_1x_0" localSheetId="62">'317'!$H$46:$H$55</definedName>
    <definedName name="OSRRefH22_1x_0" localSheetId="66">'321'!$H$34:$H$43</definedName>
    <definedName name="OSRRefH22_1x_0" localSheetId="67">'325'!$H$35:$H$44</definedName>
    <definedName name="OSRRefH22_1x_0" localSheetId="58">'326'!$H$38:$H$47</definedName>
    <definedName name="OSRRefH22_1x_0" localSheetId="51">'330'!$H$43:$H$52</definedName>
    <definedName name="OSRRefH22_1x_0" localSheetId="56">'331'!$H$54:$H$63</definedName>
    <definedName name="OSRRefH22_1x_0" localSheetId="59">'332'!$H$37:$H$46</definedName>
    <definedName name="OSRRefH22_1x_0" localSheetId="72">'405'!$H$37:$H$46</definedName>
    <definedName name="OSRRefH22_1x_0" localSheetId="73">'406'!$H$22</definedName>
    <definedName name="OSRRefH22_1x_0" localSheetId="74">'411'!$H$30:$H$39</definedName>
    <definedName name="OSRRefH22_1x_0" localSheetId="75">'412'!$H$22</definedName>
    <definedName name="OSRRefH22_1x_0" localSheetId="76">'413'!$H$22</definedName>
    <definedName name="OSRRefH22_1x_0" localSheetId="77">'414'!$H$22</definedName>
    <definedName name="OSRRefH22_1x_0" localSheetId="78">'415'!$H$37:$H$46</definedName>
    <definedName name="OSRRefH22_1x_0" localSheetId="79">'418'!$H$34:$H$43</definedName>
    <definedName name="OSRRefH22_1x_0" localSheetId="80">'423'!$H$29:$H$38</definedName>
    <definedName name="OSRRefH22_1x_0" localSheetId="81">'424'!$H$22</definedName>
    <definedName name="OSRRefH22_1x_0" localSheetId="82">'425'!$H$24</definedName>
    <definedName name="OSRRefH22_1x_0" localSheetId="84">'430'!$H$30:$H$39</definedName>
    <definedName name="OSRRefH22_1x_0" localSheetId="85">'433'!$H$38:$H$47</definedName>
    <definedName name="OSRRefH22_1x_0" localSheetId="86">'444'!$H$38:$H$47</definedName>
    <definedName name="OSRRefH22_1x_0" localSheetId="87">'450'!$H$38:$H$47</definedName>
    <definedName name="OSRRefH22_1x_0" localSheetId="71">'491'!$H$38:$H$47</definedName>
    <definedName name="OSRRefH22_1x_0" localSheetId="83">'492'!$H$38:$H$47</definedName>
    <definedName name="OSRRefH22_1x_0" localSheetId="89">'501'!$H$32:$H$41</definedName>
    <definedName name="OSRRefH22_1x_0" localSheetId="39">'Div 2'!$H$32:$H$41</definedName>
    <definedName name="OSRRefH22_1x_0" localSheetId="47">'Div 3'!$H$69:$H$78</definedName>
    <definedName name="OSRRefH22_1x_0" localSheetId="69">'Div 4'!$H$40:$H$49</definedName>
    <definedName name="OSRRefH22_1x_0" localSheetId="88">'Div 5'!$H$32:$H$41</definedName>
    <definedName name="OSRRefH22_1x_0" localSheetId="61">'Div 6'!$H$46:$H$55</definedName>
    <definedName name="OSRRefH22_1x_0" localSheetId="2">Summary!$H$77:$H$86</definedName>
    <definedName name="OSRRefH22_20x_0" localSheetId="48">'300'!$H$125:$H$131</definedName>
    <definedName name="OSRRefH22_20x_0" localSheetId="49">'300 &amp; 317'!$H$131:$H$137</definedName>
    <definedName name="OSRRefH22_20x_0" localSheetId="50">'301'!$H$90</definedName>
    <definedName name="OSRRefH22_20x_0" localSheetId="70">'310 &amp; 491'!$H$104</definedName>
    <definedName name="OSRRefH22_20x_0" localSheetId="56">'331'!$H$112</definedName>
    <definedName name="OSRRefH22_20x_0" localSheetId="71">'491'!$H$101</definedName>
    <definedName name="OSRRefH22_20x_0" localSheetId="47">'Div 3'!$H$129:$H$130</definedName>
    <definedName name="OSRRefH22_20x_0" localSheetId="69">'Div 4'!$H$105</definedName>
    <definedName name="OSRRefH22_20x_0" localSheetId="2">Summary!$H$134:$H$138</definedName>
    <definedName name="OSRRefH22_21x_0" localSheetId="48">'300'!$H$133:$H$134</definedName>
    <definedName name="OSRRefH22_21x_0" localSheetId="49">'300 &amp; 317'!$H$139:$H$140</definedName>
    <definedName name="OSRRefH22_21x_0" localSheetId="50">'301'!$H$92:$H$93</definedName>
    <definedName name="OSRRefH22_21x_0" localSheetId="47">'Div 3'!$H$132:$H$138</definedName>
    <definedName name="OSRRefH22_21x_0" localSheetId="69">'Div 4'!$H$107:$H$108</definedName>
    <definedName name="OSRRefH22_21x_0" localSheetId="2">Summary!$H$140:$H$141</definedName>
    <definedName name="OSRRefH22_22x_0" localSheetId="48">'300'!$H$136</definedName>
    <definedName name="OSRRefH22_22x_0" localSheetId="49">'300 &amp; 317'!$H$142</definedName>
    <definedName name="OSRRefH22_22x_0" localSheetId="50">'301'!$H$95</definedName>
    <definedName name="OSRRefH22_22x_0" localSheetId="47">'Div 3'!$H$140:$H$141</definedName>
    <definedName name="OSRRefH22_22x_0" localSheetId="69">'Div 4'!$H$110</definedName>
    <definedName name="OSRRefH22_22x_0" localSheetId="2">Summary!$H$143:$H$152</definedName>
    <definedName name="OSRRefH22_23x_0" localSheetId="48">'300'!$H$138:$H$140</definedName>
    <definedName name="OSRRefH22_23x_0" localSheetId="49">'300 &amp; 317'!$H$144:$H$146</definedName>
    <definedName name="OSRRefH22_23x_0" localSheetId="47">'Div 3'!$H$143</definedName>
    <definedName name="OSRRefH22_23x_0" localSheetId="2">Summary!$H$154:$H$155</definedName>
    <definedName name="OSRRefH22_24x_0" localSheetId="48">'300'!$H$142</definedName>
    <definedName name="OSRRefH22_24x_0" localSheetId="49">'300 &amp; 317'!$H$148</definedName>
    <definedName name="OSRRefH22_24x_0" localSheetId="47">'Div 3'!$H$145:$H$147</definedName>
    <definedName name="OSRRefH22_24x_0" localSheetId="2">Summary!$H$157</definedName>
    <definedName name="OSRRefH22_25x_0" localSheetId="47">'Div 3'!$H$149</definedName>
    <definedName name="OSRRefH22_25x_0" localSheetId="2">Summary!$H$159:$H$161</definedName>
    <definedName name="OSRRefH22_26x_0" localSheetId="2">Summary!$H$163</definedName>
    <definedName name="OSRRefH22_2x_0" localSheetId="40">'200'!$H$24</definedName>
    <definedName name="OSRRefH22_2x_0" localSheetId="41">'201'!$H$41</definedName>
    <definedName name="OSRRefH22_2x_0" localSheetId="42">'202'!$H$41</definedName>
    <definedName name="OSRRefH22_2x_0" localSheetId="43">'203'!$H$42</definedName>
    <definedName name="OSRRefH22_2x_0" localSheetId="44">'204'!$H$41</definedName>
    <definedName name="OSRRefH22_2x_0" localSheetId="45">'205'!$H$41</definedName>
    <definedName name="OSRRefH22_2x_0" localSheetId="46">'206'!$H$41</definedName>
    <definedName name="OSRRefH22_2x_0" localSheetId="48">'300'!$H$76</definedName>
    <definedName name="OSRRefH22_2x_0" localSheetId="49">'300 &amp; 317'!$H$82</definedName>
    <definedName name="OSRRefH22_2x_0" localSheetId="50">'301'!$H$43</definedName>
    <definedName name="OSRRefH22_2x_0" localSheetId="52">'307'!$H$54</definedName>
    <definedName name="OSRRefH22_2x_0" localSheetId="53">'308'!$H$57</definedName>
    <definedName name="OSRRefH22_2x_0" localSheetId="65">'309'!$H$24</definedName>
    <definedName name="OSRRefH22_2x_0" localSheetId="64">'310'!$H$48</definedName>
    <definedName name="OSRRefH22_2x_0" localSheetId="70">'310 &amp; 491'!$H$50</definedName>
    <definedName name="OSRRefH22_2x_0" localSheetId="54">'311'!$H$57</definedName>
    <definedName name="OSRRefH22_2x_0" localSheetId="57">'315'!$H$65</definedName>
    <definedName name="OSRRefH22_2x_0" localSheetId="60">'316'!$H$48</definedName>
    <definedName name="OSRRefH22_2x_0" localSheetId="62">'317'!$H$57</definedName>
    <definedName name="OSRRefH22_2x_0" localSheetId="66">'321'!$H$45</definedName>
    <definedName name="OSRRefH22_2x_0" localSheetId="67">'325'!$H$46</definedName>
    <definedName name="OSRRefH22_2x_0" localSheetId="58">'326'!$H$49</definedName>
    <definedName name="OSRRefH22_2x_0" localSheetId="51">'330'!$H$54</definedName>
    <definedName name="OSRRefH22_2x_0" localSheetId="56">'331'!$H$65</definedName>
    <definedName name="OSRRefH22_2x_0" localSheetId="59">'332'!$H$48</definedName>
    <definedName name="OSRRefH22_2x_0" localSheetId="72">'405'!$H$48</definedName>
    <definedName name="OSRRefH22_2x_0" localSheetId="74">'411'!$H$41</definedName>
    <definedName name="OSRRefH22_2x_0" localSheetId="75">'412'!$H$24</definedName>
    <definedName name="OSRRefH22_2x_0" localSheetId="76">'413'!$H$24</definedName>
    <definedName name="OSRRefH22_2x_0" localSheetId="77">'414'!$H$24</definedName>
    <definedName name="OSRRefH22_2x_0" localSheetId="78">'415'!$H$48</definedName>
    <definedName name="OSRRefH22_2x_0" localSheetId="79">'418'!$H$45</definedName>
    <definedName name="OSRRefH22_2x_0" localSheetId="80">'423'!$H$40</definedName>
    <definedName name="OSRRefH22_2x_0" localSheetId="82">'425'!$H$26</definedName>
    <definedName name="OSRRefH22_2x_0" localSheetId="84">'430'!$H$41</definedName>
    <definedName name="OSRRefH22_2x_0" localSheetId="85">'433'!$H$49</definedName>
    <definedName name="OSRRefH22_2x_0" localSheetId="86">'444'!$H$49</definedName>
    <definedName name="OSRRefH22_2x_0" localSheetId="87">'450'!$H$49</definedName>
    <definedName name="OSRRefH22_2x_0" localSheetId="71">'491'!$H$49</definedName>
    <definedName name="OSRRefH22_2x_0" localSheetId="83">'492'!$H$49</definedName>
    <definedName name="OSRRefH22_2x_0" localSheetId="89">'501'!$H$43</definedName>
    <definedName name="OSRRefH22_2x_0" localSheetId="39">'Div 2'!$H$43</definedName>
    <definedName name="OSRRefH22_2x_0" localSheetId="47">'Div 3'!$H$80</definedName>
    <definedName name="OSRRefH22_2x_0" localSheetId="69">'Div 4'!$H$51</definedName>
    <definedName name="OSRRefH22_2x_0" localSheetId="88">'Div 5'!$H$43</definedName>
    <definedName name="OSRRefH22_2x_0" localSheetId="61">'Div 6'!$H$57</definedName>
    <definedName name="OSRRefH22_2x_0" localSheetId="2">Summary!$H$88</definedName>
    <definedName name="OSRRefH22_3x_0" localSheetId="40">'200'!$H$26:$H$27</definedName>
    <definedName name="OSRRefH22_3x_0" localSheetId="41">'201'!$H$43</definedName>
    <definedName name="OSRRefH22_3x_0" localSheetId="42">'202'!$H$43</definedName>
    <definedName name="OSRRefH22_3x_0" localSheetId="43">'203'!$H$44</definedName>
    <definedName name="OSRRefH22_3x_0" localSheetId="44">'204'!$H$43:$H$44</definedName>
    <definedName name="OSRRefH22_3x_0" localSheetId="45">'205'!$H$43</definedName>
    <definedName name="OSRRefH22_3x_0" localSheetId="46">'206'!$H$43</definedName>
    <definedName name="OSRRefH22_3x_0" localSheetId="48">'300'!$H$78</definedName>
    <definedName name="OSRRefH22_3x_0" localSheetId="49">'300 &amp; 317'!$H$84</definedName>
    <definedName name="OSRRefH22_3x_0" localSheetId="50">'301'!$H$45</definedName>
    <definedName name="OSRRefH22_3x_0" localSheetId="52">'307'!$H$56</definedName>
    <definedName name="OSRRefH22_3x_0" localSheetId="53">'308'!$H$59</definedName>
    <definedName name="OSRRefH22_3x_0" localSheetId="65">'309'!$H$26:$H$27</definedName>
    <definedName name="OSRRefH22_3x_0" localSheetId="64">'310'!$H$50</definedName>
    <definedName name="OSRRefH22_3x_0" localSheetId="70">'310 &amp; 491'!$H$52</definedName>
    <definedName name="OSRRefH22_3x_0" localSheetId="54">'311'!$H$59</definedName>
    <definedName name="OSRRefH22_3x_0" localSheetId="57">'315'!$H$67</definedName>
    <definedName name="OSRRefH22_3x_0" localSheetId="60">'316'!$H$50</definedName>
    <definedName name="OSRRefH22_3x_0" localSheetId="62">'317'!$H$59</definedName>
    <definedName name="OSRRefH22_3x_0" localSheetId="66">'321'!$H$47</definedName>
    <definedName name="OSRRefH22_3x_0" localSheetId="67">'325'!$H$48</definedName>
    <definedName name="OSRRefH22_3x_0" localSheetId="58">'326'!$H$51</definedName>
    <definedName name="OSRRefH22_3x_0" localSheetId="51">'330'!$H$56</definedName>
    <definedName name="OSRRefH22_3x_0" localSheetId="56">'331'!$H$67</definedName>
    <definedName name="OSRRefH22_3x_0" localSheetId="59">'332'!$H$50</definedName>
    <definedName name="OSRRefH22_3x_0" localSheetId="72">'405'!$H$50</definedName>
    <definedName name="OSRRefH22_3x_0" localSheetId="74">'411'!$H$43:$H$44</definedName>
    <definedName name="OSRRefH22_3x_0" localSheetId="75">'412'!$H$26</definedName>
    <definedName name="OSRRefH22_3x_0" localSheetId="78">'415'!$H$50</definedName>
    <definedName name="OSRRefH22_3x_0" localSheetId="79">'418'!$H$47</definedName>
    <definedName name="OSRRefH22_3x_0" localSheetId="80">'423'!$H$42</definedName>
    <definedName name="OSRRefH22_3x_0" localSheetId="82">'425'!$H$28</definedName>
    <definedName name="OSRRefH22_3x_0" localSheetId="84">'430'!$H$43</definedName>
    <definedName name="OSRRefH22_3x_0" localSheetId="85">'433'!$H$51</definedName>
    <definedName name="OSRRefH22_3x_0" localSheetId="86">'444'!$H$51</definedName>
    <definedName name="OSRRefH22_3x_0" localSheetId="87">'450'!$H$51</definedName>
    <definedName name="OSRRefH22_3x_0" localSheetId="71">'491'!$H$51</definedName>
    <definedName name="OSRRefH22_3x_0" localSheetId="83">'492'!$H$51</definedName>
    <definedName name="OSRRefH22_3x_0" localSheetId="89">'501'!$H$45</definedName>
    <definedName name="OSRRefH22_3x_0" localSheetId="39">'Div 2'!$H$45</definedName>
    <definedName name="OSRRefH22_3x_0" localSheetId="47">'Div 3'!$H$82</definedName>
    <definedName name="OSRRefH22_3x_0" localSheetId="69">'Div 4'!$H$53</definedName>
    <definedName name="OSRRefH22_3x_0" localSheetId="88">'Div 5'!$H$45</definedName>
    <definedName name="OSRRefH22_3x_0" localSheetId="61">'Div 6'!$H$59</definedName>
    <definedName name="OSRRefH22_3x_0" localSheetId="2">Summary!$H$90</definedName>
    <definedName name="OSRRefH22_4x_0" localSheetId="41">'201'!$H$45</definedName>
    <definedName name="OSRRefH22_4x_0" localSheetId="42">'202'!$H$45</definedName>
    <definedName name="OSRRefH22_4x_0" localSheetId="43">'203'!$H$46</definedName>
    <definedName name="OSRRefH22_4x_0" localSheetId="44">'204'!$H$46</definedName>
    <definedName name="OSRRefH22_4x_0" localSheetId="45">'205'!$H$45:$H$46</definedName>
    <definedName name="OSRRefH22_4x_0" localSheetId="46">'206'!$H$45:$H$46</definedName>
    <definedName name="OSRRefH22_4x_0" localSheetId="48">'300'!$H$80</definedName>
    <definedName name="OSRRefH22_4x_0" localSheetId="49">'300 &amp; 317'!$H$86</definedName>
    <definedName name="OSRRefH22_4x_0" localSheetId="50">'301'!$H$47</definedName>
    <definedName name="OSRRefH22_4x_0" localSheetId="52">'307'!$H$58</definedName>
    <definedName name="OSRRefH22_4x_0" localSheetId="53">'308'!$H$61</definedName>
    <definedName name="OSRRefH22_4x_0" localSheetId="65">'309'!$H$29</definedName>
    <definedName name="OSRRefH22_4x_0" localSheetId="64">'310'!$H$52</definedName>
    <definedName name="OSRRefH22_4x_0" localSheetId="70">'310 &amp; 491'!$H$54</definedName>
    <definedName name="OSRRefH22_4x_0" localSheetId="54">'311'!$H$61</definedName>
    <definedName name="OSRRefH22_4x_0" localSheetId="57">'315'!$H$69</definedName>
    <definedName name="OSRRefH22_4x_0" localSheetId="60">'316'!$H$52</definedName>
    <definedName name="OSRRefH22_4x_0" localSheetId="62">'317'!$H$61</definedName>
    <definedName name="OSRRefH22_4x_0" localSheetId="66">'321'!$H$49</definedName>
    <definedName name="OSRRefH22_4x_0" localSheetId="67">'325'!$H$50</definedName>
    <definedName name="OSRRefH22_4x_0" localSheetId="58">'326'!$H$53</definedName>
    <definedName name="OSRRefH22_4x_0" localSheetId="51">'330'!$H$58</definedName>
    <definedName name="OSRRefH22_4x_0" localSheetId="56">'331'!$H$69</definedName>
    <definedName name="OSRRefH22_4x_0" localSheetId="59">'332'!$H$52</definedName>
    <definedName name="OSRRefH22_4x_0" localSheetId="72">'405'!$H$52</definedName>
    <definedName name="OSRRefH22_4x_0" localSheetId="74">'411'!$H$46</definedName>
    <definedName name="OSRRefH22_4x_0" localSheetId="78">'415'!$H$52</definedName>
    <definedName name="OSRRefH22_4x_0" localSheetId="79">'418'!$H$49:$H$50</definedName>
    <definedName name="OSRRefH22_4x_0" localSheetId="80">'423'!$H$44</definedName>
    <definedName name="OSRRefH22_4x_0" localSheetId="82">'425'!$H$30</definedName>
    <definedName name="OSRRefH22_4x_0" localSheetId="84">'430'!$H$45</definedName>
    <definedName name="OSRRefH22_4x_0" localSheetId="85">'433'!$H$53</definedName>
    <definedName name="OSRRefH22_4x_0" localSheetId="86">'444'!$H$53</definedName>
    <definedName name="OSRRefH22_4x_0" localSheetId="87">'450'!$H$53</definedName>
    <definedName name="OSRRefH22_4x_0" localSheetId="71">'491'!$H$53</definedName>
    <definedName name="OSRRefH22_4x_0" localSheetId="83">'492'!$H$53</definedName>
    <definedName name="OSRRefH22_4x_0" localSheetId="89">'501'!$H$47</definedName>
    <definedName name="OSRRefH22_4x_0" localSheetId="39">'Div 2'!$H$47</definedName>
    <definedName name="OSRRefH22_4x_0" localSheetId="47">'Div 3'!$H$84</definedName>
    <definedName name="OSRRefH22_4x_0" localSheetId="69">'Div 4'!$H$55</definedName>
    <definedName name="OSRRefH22_4x_0" localSheetId="88">'Div 5'!$H$47</definedName>
    <definedName name="OSRRefH22_4x_0" localSheetId="61">'Div 6'!$H$61</definedName>
    <definedName name="OSRRefH22_4x_0" localSheetId="2">Summary!$H$92</definedName>
    <definedName name="OSRRefH22_5x_0" localSheetId="41">'201'!$H$47</definedName>
    <definedName name="OSRRefH22_5x_0" localSheetId="42">'202'!$H$47</definedName>
    <definedName name="OSRRefH22_5x_0" localSheetId="43">'203'!$H$48</definedName>
    <definedName name="OSRRefH22_5x_0" localSheetId="44">'204'!$H$48:$H$51</definedName>
    <definedName name="OSRRefH22_5x_0" localSheetId="45">'205'!$H$48</definedName>
    <definedName name="OSRRefH22_5x_0" localSheetId="46">'206'!$H$48</definedName>
    <definedName name="OSRRefH22_5x_0" localSheetId="48">'300'!$H$82:$H$83</definedName>
    <definedName name="OSRRefH22_5x_0" localSheetId="49">'300 &amp; 317'!$H$88:$H$89</definedName>
    <definedName name="OSRRefH22_5x_0" localSheetId="50">'301'!$H$49:$H$50</definedName>
    <definedName name="OSRRefH22_5x_0" localSheetId="52">'307'!$H$60:$H$61</definedName>
    <definedName name="OSRRefH22_5x_0" localSheetId="53">'308'!$H$63</definedName>
    <definedName name="OSRRefH22_5x_0" localSheetId="64">'310'!$H$54:$H$55</definedName>
    <definedName name="OSRRefH22_5x_0" localSheetId="70">'310 &amp; 491'!$H$56:$H$57</definedName>
    <definedName name="OSRRefH22_5x_0" localSheetId="54">'311'!$H$63</definedName>
    <definedName name="OSRRefH22_5x_0" localSheetId="57">'315'!$H$71</definedName>
    <definedName name="OSRRefH22_5x_0" localSheetId="60">'316'!$H$54:$H$55</definedName>
    <definedName name="OSRRefH22_5x_0" localSheetId="62">'317'!$H$63</definedName>
    <definedName name="OSRRefH22_5x_0" localSheetId="66">'321'!$H$51</definedName>
    <definedName name="OSRRefH22_5x_0" localSheetId="67">'325'!$H$52:$H$53</definedName>
    <definedName name="OSRRefH22_5x_0" localSheetId="58">'326'!$H$55</definedName>
    <definedName name="OSRRefH22_5x_0" localSheetId="51">'330'!$H$60:$H$61</definedName>
    <definedName name="OSRRefH22_5x_0" localSheetId="56">'331'!$H$71</definedName>
    <definedName name="OSRRefH22_5x_0" localSheetId="59">'332'!$H$54:$H$55</definedName>
    <definedName name="OSRRefH22_5x_0" localSheetId="72">'405'!$H$54:$H$55</definedName>
    <definedName name="OSRRefH22_5x_0" localSheetId="74">'411'!$H$48</definedName>
    <definedName name="OSRRefH22_5x_0" localSheetId="78">'415'!$H$54:$H$55</definedName>
    <definedName name="OSRRefH22_5x_0" localSheetId="79">'418'!$H$52</definedName>
    <definedName name="OSRRefH22_5x_0" localSheetId="80">'423'!$H$46</definedName>
    <definedName name="OSRRefH22_5x_0" localSheetId="82">'425'!$H$32</definedName>
    <definedName name="OSRRefH22_5x_0" localSheetId="84">'430'!$H$47:$H$48</definedName>
    <definedName name="OSRRefH22_5x_0" localSheetId="85">'433'!$H$55</definedName>
    <definedName name="OSRRefH22_5x_0" localSheetId="86">'444'!$H$55</definedName>
    <definedName name="OSRRefH22_5x_0" localSheetId="87">'450'!$H$55</definedName>
    <definedName name="OSRRefH22_5x_0" localSheetId="71">'491'!$H$55:$H$56</definedName>
    <definedName name="OSRRefH22_5x_0" localSheetId="83">'492'!$H$55</definedName>
    <definedName name="OSRRefH22_5x_0" localSheetId="89">'501'!$H$49:$H$50</definedName>
    <definedName name="OSRRefH22_5x_0" localSheetId="39">'Div 2'!$H$49:$H$50</definedName>
    <definedName name="OSRRefH22_5x_0" localSheetId="47">'Div 3'!$H$86:$H$87</definedName>
    <definedName name="OSRRefH22_5x_0" localSheetId="69">'Div 4'!$H$57:$H$58</definedName>
    <definedName name="OSRRefH22_5x_0" localSheetId="88">'Div 5'!$H$49:$H$50</definedName>
    <definedName name="OSRRefH22_5x_0" localSheetId="61">'Div 6'!$H$63</definedName>
    <definedName name="OSRRefH22_5x_0" localSheetId="2">Summary!$H$94:$H$95</definedName>
    <definedName name="OSRRefH22_6x_0" localSheetId="41">'201'!$H$49</definedName>
    <definedName name="OSRRefH22_6x_0" localSheetId="42">'202'!$H$49:$H$51</definedName>
    <definedName name="OSRRefH22_6x_0" localSheetId="43">'203'!$H$50</definedName>
    <definedName name="OSRRefH22_6x_0" localSheetId="44">'204'!$H$53</definedName>
    <definedName name="OSRRefH22_6x_0" localSheetId="45">'205'!$H$50:$H$52</definedName>
    <definedName name="OSRRefH22_6x_0" localSheetId="46">'206'!$H$50:$H$51</definedName>
    <definedName name="OSRRefH22_6x_0" localSheetId="48">'300'!$H$85:$H$86</definedName>
    <definedName name="OSRRefH22_6x_0" localSheetId="49">'300 &amp; 317'!$H$91:$H$92</definedName>
    <definedName name="OSRRefH22_6x_0" localSheetId="50">'301'!$H$52:$H$53</definedName>
    <definedName name="OSRRefH22_6x_0" localSheetId="52">'307'!$H$63</definedName>
    <definedName name="OSRRefH22_6x_0" localSheetId="53">'308'!$H$65</definedName>
    <definedName name="OSRRefH22_6x_0" localSheetId="64">'310'!$H$57</definedName>
    <definedName name="OSRRefH22_6x_0" localSheetId="70">'310 &amp; 491'!$H$59</definedName>
    <definedName name="OSRRefH22_6x_0" localSheetId="54">'311'!$H$65</definedName>
    <definedName name="OSRRefH22_6x_0" localSheetId="57">'315'!$H$73</definedName>
    <definedName name="OSRRefH22_6x_0" localSheetId="60">'316'!$H$57</definedName>
    <definedName name="OSRRefH22_6x_0" localSheetId="62">'317'!$H$65</definedName>
    <definedName name="OSRRefH22_6x_0" localSheetId="66">'321'!$H$53:$H$54</definedName>
    <definedName name="OSRRefH22_6x_0" localSheetId="67">'325'!$H$55</definedName>
    <definedName name="OSRRefH22_6x_0" localSheetId="58">'326'!$H$57:$H$58</definedName>
    <definedName name="OSRRefH22_6x_0" localSheetId="51">'330'!$H$63</definedName>
    <definedName name="OSRRefH22_6x_0" localSheetId="56">'331'!$H$73</definedName>
    <definedName name="OSRRefH22_6x_0" localSheetId="59">'332'!$H$57</definedName>
    <definedName name="OSRRefH22_6x_0" localSheetId="72">'405'!$H$57</definedName>
    <definedName name="OSRRefH22_6x_0" localSheetId="74">'411'!$H$50</definedName>
    <definedName name="OSRRefH22_6x_0" localSheetId="78">'415'!$H$57</definedName>
    <definedName name="OSRRefH22_6x_0" localSheetId="79">'418'!$H$54</definedName>
    <definedName name="OSRRefH22_6x_0" localSheetId="84">'430'!$H$50:$H$51</definedName>
    <definedName name="OSRRefH22_6x_0" localSheetId="85">'433'!$H$57</definedName>
    <definedName name="OSRRefH22_6x_0" localSheetId="86">'444'!$H$57</definedName>
    <definedName name="OSRRefH22_6x_0" localSheetId="87">'450'!$H$57</definedName>
    <definedName name="OSRRefH22_6x_0" localSheetId="71">'491'!$H$58</definedName>
    <definedName name="OSRRefH22_6x_0" localSheetId="83">'492'!$H$57</definedName>
    <definedName name="OSRRefH22_6x_0" localSheetId="89">'501'!$H$52</definedName>
    <definedName name="OSRRefH22_6x_0" localSheetId="39">'Div 2'!$H$52</definedName>
    <definedName name="OSRRefH22_6x_0" localSheetId="47">'Div 3'!$H$89:$H$90</definedName>
    <definedName name="OSRRefH22_6x_0" localSheetId="69">'Div 4'!$H$60</definedName>
    <definedName name="OSRRefH22_6x_0" localSheetId="88">'Div 5'!$H$52</definedName>
    <definedName name="OSRRefH22_6x_0" localSheetId="61">'Div 6'!$H$65</definedName>
    <definedName name="OSRRefH22_6x_0" localSheetId="2">Summary!$H$97:$H$98</definedName>
    <definedName name="OSRRefH22_7x_0" localSheetId="41">'201'!$H$51</definedName>
    <definedName name="OSRRefH22_7x_0" localSheetId="42">'202'!$H$53</definedName>
    <definedName name="OSRRefH22_7x_0" localSheetId="43">'203'!$H$52</definedName>
    <definedName name="OSRRefH22_7x_0" localSheetId="44">'204'!$H$55:$H$56</definedName>
    <definedName name="OSRRefH22_7x_0" localSheetId="45">'205'!$H$54</definedName>
    <definedName name="OSRRefH22_7x_0" localSheetId="46">'206'!$H$53</definedName>
    <definedName name="OSRRefH22_7x_0" localSheetId="48">'300'!$H$88</definedName>
    <definedName name="OSRRefH22_7x_0" localSheetId="49">'300 &amp; 317'!$H$94</definedName>
    <definedName name="OSRRefH22_7x_0" localSheetId="50">'301'!$H$55</definedName>
    <definedName name="OSRRefH22_7x_0" localSheetId="52">'307'!$H$65</definedName>
    <definedName name="OSRRefH22_7x_0" localSheetId="53">'308'!$H$67</definedName>
    <definedName name="OSRRefH22_7x_0" localSheetId="64">'310'!$H$59</definedName>
    <definedName name="OSRRefH22_7x_0" localSheetId="70">'310 &amp; 491'!$H$61</definedName>
    <definedName name="OSRRefH22_7x_0" localSheetId="54">'311'!$H$67</definedName>
    <definedName name="OSRRefH22_7x_0" localSheetId="57">'315'!$H$75:$H$76</definedName>
    <definedName name="OSRRefH22_7x_0" localSheetId="60">'316'!$H$59:$H$61</definedName>
    <definedName name="OSRRefH22_7x_0" localSheetId="62">'317'!$H$67</definedName>
    <definedName name="OSRRefH22_7x_0" localSheetId="66">'321'!$H$56</definedName>
    <definedName name="OSRRefH22_7x_0" localSheetId="67">'325'!$H$57</definedName>
    <definedName name="OSRRefH22_7x_0" localSheetId="58">'326'!$H$60</definedName>
    <definedName name="OSRRefH22_7x_0" localSheetId="51">'330'!$H$65</definedName>
    <definedName name="OSRRefH22_7x_0" localSheetId="56">'331'!$H$75:$H$76</definedName>
    <definedName name="OSRRefH22_7x_0" localSheetId="59">'332'!$H$59:$H$61</definedName>
    <definedName name="OSRRefH22_7x_0" localSheetId="72">'405'!$H$59</definedName>
    <definedName name="OSRRefH22_7x_0" localSheetId="74">'411'!$H$52</definedName>
    <definedName name="OSRRefH22_7x_0" localSheetId="78">'415'!$H$59</definedName>
    <definedName name="OSRRefH22_7x_0" localSheetId="79">'418'!$H$56</definedName>
    <definedName name="OSRRefH22_7x_0" localSheetId="84">'430'!$H$53</definedName>
    <definedName name="OSRRefH22_7x_0" localSheetId="85">'433'!$H$59</definedName>
    <definedName name="OSRRefH22_7x_0" localSheetId="86">'444'!$H$59</definedName>
    <definedName name="OSRRefH22_7x_0" localSheetId="87">'450'!$H$59</definedName>
    <definedName name="OSRRefH22_7x_0" localSheetId="71">'491'!$H$60</definedName>
    <definedName name="OSRRefH22_7x_0" localSheetId="83">'492'!$H$59</definedName>
    <definedName name="OSRRefH22_7x_0" localSheetId="89">'501'!$H$54</definedName>
    <definedName name="OSRRefH22_7x_0" localSheetId="39">'Div 2'!$H$54</definedName>
    <definedName name="OSRRefH22_7x_0" localSheetId="47">'Div 3'!$H$92</definedName>
    <definedName name="OSRRefH22_7x_0" localSheetId="69">'Div 4'!$H$62</definedName>
    <definedName name="OSRRefH22_7x_0" localSheetId="88">'Div 5'!$H$54</definedName>
    <definedName name="OSRRefH22_7x_0" localSheetId="61">'Div 6'!$H$67</definedName>
    <definedName name="OSRRefH22_7x_0" localSheetId="2">Summary!$H$100</definedName>
    <definedName name="OSRRefH22_8x_0" localSheetId="41">'201'!$H$53:$H$55</definedName>
    <definedName name="OSRRefH22_8x_0" localSheetId="42">'202'!$H$55</definedName>
    <definedName name="OSRRefH22_8x_0" localSheetId="43">'203'!$H$54:$H$56</definedName>
    <definedName name="OSRRefH22_8x_0" localSheetId="48">'300'!$H$90</definedName>
    <definedName name="OSRRefH22_8x_0" localSheetId="49">'300 &amp; 317'!$H$96</definedName>
    <definedName name="OSRRefH22_8x_0" localSheetId="50">'301'!$H$57</definedName>
    <definedName name="OSRRefH22_8x_0" localSheetId="52">'307'!$H$67</definedName>
    <definedName name="OSRRefH22_8x_0" localSheetId="53">'308'!$H$69:$H$71</definedName>
    <definedName name="OSRRefH22_8x_0" localSheetId="64">'310'!$H$61</definedName>
    <definedName name="OSRRefH22_8x_0" localSheetId="70">'310 &amp; 491'!$H$63</definedName>
    <definedName name="OSRRefH22_8x_0" localSheetId="54">'311'!$H$69:$H$71</definedName>
    <definedName name="OSRRefH22_8x_0" localSheetId="57">'315'!$H$78</definedName>
    <definedName name="OSRRefH22_8x_0" localSheetId="60">'316'!$H$63</definedName>
    <definedName name="OSRRefH22_8x_0" localSheetId="62">'317'!$H$69:$H$70</definedName>
    <definedName name="OSRRefH22_8x_0" localSheetId="66">'321'!$H$58:$H$59</definedName>
    <definedName name="OSRRefH22_8x_0" localSheetId="67">'325'!$H$59</definedName>
    <definedName name="OSRRefH22_8x_0" localSheetId="58">'326'!$H$62</definedName>
    <definedName name="OSRRefH22_8x_0" localSheetId="51">'330'!$H$67</definedName>
    <definedName name="OSRRefH22_8x_0" localSheetId="56">'331'!$H$78:$H$79</definedName>
    <definedName name="OSRRefH22_8x_0" localSheetId="59">'332'!$H$63</definedName>
    <definedName name="OSRRefH22_8x_0" localSheetId="72">'405'!$H$61</definedName>
    <definedName name="OSRRefH22_8x_0" localSheetId="74">'411'!$H$54:$H$56</definedName>
    <definedName name="OSRRefH22_8x_0" localSheetId="78">'415'!$H$61</definedName>
    <definedName name="OSRRefH22_8x_0" localSheetId="79">'418'!$H$58:$H$59</definedName>
    <definedName name="OSRRefH22_8x_0" localSheetId="84">'430'!$H$55</definedName>
    <definedName name="OSRRefH22_8x_0" localSheetId="85">'433'!$H$61</definedName>
    <definedName name="OSRRefH22_8x_0" localSheetId="86">'444'!$H$61</definedName>
    <definedName name="OSRRefH22_8x_0" localSheetId="87">'450'!$H$61</definedName>
    <definedName name="OSRRefH22_8x_0" localSheetId="71">'491'!$H$62</definedName>
    <definedName name="OSRRefH22_8x_0" localSheetId="83">'492'!$H$61</definedName>
    <definedName name="OSRRefH22_8x_0" localSheetId="89">'501'!$H$56</definedName>
    <definedName name="OSRRefH22_8x_0" localSheetId="39">'Div 2'!$H$56</definedName>
    <definedName name="OSRRefH22_8x_0" localSheetId="47">'Div 3'!$H$94</definedName>
    <definedName name="OSRRefH22_8x_0" localSheetId="69">'Div 4'!$H$64</definedName>
    <definedName name="OSRRefH22_8x_0" localSheetId="88">'Div 5'!$H$56</definedName>
    <definedName name="OSRRefH22_8x_0" localSheetId="61">'Div 6'!$H$69:$H$70</definedName>
    <definedName name="OSRRefH22_8x_0" localSheetId="2">Summary!$H$102</definedName>
    <definedName name="OSRRefH22_9x_0" localSheetId="41">'201'!$H$57:$H$58</definedName>
    <definedName name="OSRRefH22_9x_0" localSheetId="42">'202'!$H$57</definedName>
    <definedName name="OSRRefH22_9x_0" localSheetId="43">'203'!$H$58:$H$59</definedName>
    <definedName name="OSRRefH22_9x_0" localSheetId="48">'300'!$H$92</definedName>
    <definedName name="OSRRefH22_9x_0" localSheetId="49">'300 &amp; 317'!$H$98</definedName>
    <definedName name="OSRRefH22_9x_0" localSheetId="50">'301'!$H$59</definedName>
    <definedName name="OSRRefH22_9x_0" localSheetId="52">'307'!$H$69:$H$70</definedName>
    <definedName name="OSRRefH22_9x_0" localSheetId="53">'308'!$H$73</definedName>
    <definedName name="OSRRefH22_9x_0" localSheetId="64">'310'!$H$63</definedName>
    <definedName name="OSRRefH22_9x_0" localSheetId="70">'310 &amp; 491'!$H$65</definedName>
    <definedName name="OSRRefH22_9x_0" localSheetId="54">'311'!$H$73</definedName>
    <definedName name="OSRRefH22_9x_0" localSheetId="57">'315'!$H$80</definedName>
    <definedName name="OSRRefH22_9x_0" localSheetId="60">'316'!$H$65:$H$68</definedName>
    <definedName name="OSRRefH22_9x_0" localSheetId="62">'317'!$H$72</definedName>
    <definedName name="OSRRefH22_9x_0" localSheetId="66">'321'!$H$61:$H$64</definedName>
    <definedName name="OSRRefH22_9x_0" localSheetId="67">'325'!$H$61</definedName>
    <definedName name="OSRRefH22_9x_0" localSheetId="58">'326'!$H$64</definedName>
    <definedName name="OSRRefH22_9x_0" localSheetId="51">'330'!$H$69:$H$70</definedName>
    <definedName name="OSRRefH22_9x_0" localSheetId="56">'331'!$H$81</definedName>
    <definedName name="OSRRefH22_9x_0" localSheetId="59">'332'!$H$65:$H$68</definedName>
    <definedName name="OSRRefH22_9x_0" localSheetId="72">'405'!$H$63:$H$64</definedName>
    <definedName name="OSRRefH22_9x_0" localSheetId="74">'411'!$H$58:$H$60</definedName>
    <definedName name="OSRRefH22_9x_0" localSheetId="78">'415'!$H$63</definedName>
    <definedName name="OSRRefH22_9x_0" localSheetId="79">'418'!$H$61:$H$64</definedName>
    <definedName name="OSRRefH22_9x_0" localSheetId="85">'433'!$H$63</definedName>
    <definedName name="OSRRefH22_9x_0" localSheetId="86">'444'!$H$63</definedName>
    <definedName name="OSRRefH22_9x_0" localSheetId="87">'450'!$H$63</definedName>
    <definedName name="OSRRefH22_9x_0" localSheetId="71">'491'!$H$64</definedName>
    <definedName name="OSRRefH22_9x_0" localSheetId="83">'492'!$H$63</definedName>
    <definedName name="OSRRefH22_9x_0" localSheetId="89">'501'!$H$58:$H$60</definedName>
    <definedName name="OSRRefH22_9x_0" localSheetId="39">'Div 2'!$H$58</definedName>
    <definedName name="OSRRefH22_9x_0" localSheetId="47">'Div 3'!$H$96</definedName>
    <definedName name="OSRRefH22_9x_0" localSheetId="69">'Div 4'!$H$66</definedName>
    <definedName name="OSRRefH22_9x_0" localSheetId="88">'Div 5'!$H$58:$H$60</definedName>
    <definedName name="OSRRefH22_9x_0" localSheetId="61">'Div 6'!$H$72</definedName>
    <definedName name="OSRRefH22_9x_0" localSheetId="2">Summary!$H$104</definedName>
    <definedName name="OSRRefH22x_0" localSheetId="40">'200'!$H$20,'200'!$H$22,'200'!$H$24,'200'!$H$26:$H$27</definedName>
    <definedName name="OSRRefH22x_0" localSheetId="41">'201'!$H$20:$H$28,'201'!$H$30:$H$39,'201'!$H$41,'201'!$H$43,'201'!$H$45,'201'!$H$47,'201'!$H$49,'201'!$H$51,'201'!$H$53:$H$55,'201'!$H$57:$H$58,'201'!$H$60,'201'!$H$62:$H$63,'201'!$H$65,'201'!$H$67</definedName>
    <definedName name="OSRRefH22x_0" localSheetId="42">'202'!$H$20:$H$28,'202'!$H$30:$H$39,'202'!$H$41,'202'!$H$43,'202'!$H$45,'202'!$H$47,'202'!$H$49:$H$51,'202'!$H$53,'202'!$H$55,'202'!$H$57,'202'!$H$59,'202'!$H$61</definedName>
    <definedName name="OSRRefH22x_0" localSheetId="43">'203'!$H$20:$H$29,'203'!$H$31:$H$40,'203'!$H$42,'203'!$H$44,'203'!$H$46,'203'!$H$48,'203'!$H$50,'203'!$H$52,'203'!$H$54:$H$56,'203'!$H$58:$H$59,'203'!$H$61,'203'!$H$63:$H$66,'203'!$H$68,'203'!$H$70,'203'!$H$72</definedName>
    <definedName name="OSRRefH22x_0" localSheetId="44">'204'!$H$20:$H$28,'204'!$H$30:$H$39,'204'!$H$41,'204'!$H$43:$H$44,'204'!$H$46,'204'!$H$48:$H$51,'204'!$H$53,'204'!$H$55:$H$56</definedName>
    <definedName name="OSRRefH22x_0" localSheetId="45">'205'!$H$20:$H$28,'205'!$H$30:$H$39,'205'!$H$41,'205'!$H$43,'205'!$H$45:$H$46,'205'!$H$48,'205'!$H$50:$H$52,'205'!$H$54</definedName>
    <definedName name="OSRRefH22x_0" localSheetId="46">'206'!$H$20:$H$28,'206'!$H$30:$H$39,'206'!$H$41,'206'!$H$43,'206'!$H$45:$H$46,'206'!$H$48,'206'!$H$50:$H$51,'206'!$H$53</definedName>
    <definedName name="OSRRefH22x_0" localSheetId="48">'300'!$H$54:$H$63,'300'!$H$65:$H$74,'300'!$H$76,'300'!$H$78,'300'!$H$80,'300'!$H$82:$H$83,'300'!$H$85:$H$86,'300'!$H$88,'300'!$H$90,'300'!$H$92,'300'!$H$94:$H$95,'300'!$H$97:$H$98,'300'!$H$100,'300'!$H$102,'300'!$H$104,'300'!$H$106,'300'!$H$108:$H$111,'300'!$H$113:$H$116,'300'!$H$118:$H$120,'300'!$H$122:$H$123,'300'!$H$125:$H$131,'300'!$H$133:$H$134,'300'!$H$136,'300'!$H$138:$H$140,'300'!$H$142</definedName>
    <definedName name="OSRRefH22x_0" localSheetId="49">'300 &amp; 317'!$H$60:$H$69,'300 &amp; 317'!$H$71:$H$80,'300 &amp; 317'!$H$82,'300 &amp; 317'!$H$84,'300 &amp; 317'!$H$86,'300 &amp; 317'!$H$88:$H$89,'300 &amp; 317'!$H$91:$H$92,'300 &amp; 317'!$H$94,'300 &amp; 317'!$H$96,'300 &amp; 317'!$H$98,'300 &amp; 317'!$H$100:$H$101,'300 &amp; 317'!$H$103:$H$104,'300 &amp; 317'!$H$106,'300 &amp; 317'!$H$108,'300 &amp; 317'!$H$110,'300 &amp; 317'!$H$112,'300 &amp; 317'!$H$114:$H$117,'300 &amp; 317'!$H$119:$H$122,'300 &amp; 317'!$H$124:$H$126,'300 &amp; 317'!$H$128:$H$129,'300 &amp; 317'!$H$131:$H$137,'300 &amp; 317'!$H$139:$H$140,'300 &amp; 317'!$H$142,'300 &amp; 317'!$H$144:$H$146,'300 &amp; 317'!$H$148</definedName>
    <definedName name="OSRRefH22x_0" localSheetId="50">'301'!$H$21:$H$30,'301'!$H$32:$H$41,'301'!$H$43,'301'!$H$45,'301'!$H$47,'301'!$H$49:$H$50,'301'!$H$52:$H$53,'301'!$H$55,'301'!$H$57,'301'!$H$59,'301'!$H$61,'301'!$H$63,'301'!$H$65,'301'!$H$67,'301'!$H$69,'301'!$H$71:$H$74,'301'!$H$76:$H$77,'301'!$H$79,'301'!$H$81:$H$86,'301'!$H$88,'301'!$H$90,'301'!$H$92:$H$93,'301'!$H$95</definedName>
    <definedName name="OSRRefH22x_0" localSheetId="52">'307'!$H$34:$H$41,'307'!$H$43:$H$52,'307'!$H$54,'307'!$H$56,'307'!$H$58,'307'!$H$60:$H$61,'307'!$H$63,'307'!$H$65,'307'!$H$67,'307'!$H$69:$H$70,'307'!$H$72:$H$73,'307'!$H$75:$H$78,'307'!$H$80</definedName>
    <definedName name="OSRRefH22x_0" localSheetId="53">'308'!$H$35:$H$44,'308'!$H$46:$H$55,'308'!$H$57,'308'!$H$59,'308'!$H$61,'308'!$H$63,'308'!$H$65,'308'!$H$67,'308'!$H$69:$H$71,'308'!$H$73,'308'!$H$75:$H$76,'308'!$H$78:$H$79,'308'!$H$81</definedName>
    <definedName name="OSRRefH22x_0" localSheetId="65">'309'!$H$20,'309'!$H$22,'309'!$H$24,'309'!$H$26:$H$27,'309'!$H$29</definedName>
    <definedName name="OSRRefH22x_0" localSheetId="64">'310'!$H$27:$H$35,'310'!$H$37:$H$46,'310'!$H$48,'310'!$H$50,'310'!$H$52,'310'!$H$54:$H$55,'310'!$H$57,'310'!$H$59,'310'!$H$61,'310'!$H$63,'310'!$H$65:$H$67,'310'!$H$69,'310'!$H$71:$H$73,'310'!$H$75:$H$79,'310'!$H$81:$H$82,'310'!$H$84,'310'!$H$86</definedName>
    <definedName name="OSRRefH22x_0" localSheetId="70">'310 &amp; 491'!$H$29:$H$37,'310 &amp; 491'!$H$39:$H$48,'310 &amp; 491'!$H$50,'310 &amp; 491'!$H$52,'310 &amp; 491'!$H$54,'310 &amp; 491'!$H$56:$H$57,'310 &amp; 491'!$H$59,'310 &amp; 491'!$H$61,'310 &amp; 491'!$H$63,'310 &amp; 491'!$H$65,'310 &amp; 491'!$H$67,'310 &amp; 491'!$H$69,'310 &amp; 491'!$H$71:$H$73,'310 &amp; 491'!$H$75:$H$76,'310 &amp; 491'!$H$78:$H$82,'310 &amp; 491'!$H$84,'310 &amp; 491'!$H$86:$H$95,'310 &amp; 491'!$H$97:$H$98,'310 &amp; 491'!$H$100,'310 &amp; 491'!$H$102,'310 &amp; 491'!$H$104</definedName>
    <definedName name="OSRRefH22x_0" localSheetId="54">'311'!$H$35:$H$44,'311'!$H$46:$H$55,'311'!$H$57,'311'!$H$59,'311'!$H$61,'311'!$H$63,'311'!$H$65,'311'!$H$67,'311'!$H$69:$H$71,'311'!$H$73,'311'!$H$75:$H$76,'311'!$H$78:$H$79,'311'!$H$81</definedName>
    <definedName name="OSRRefH22x_0" localSheetId="57">'315'!$H$44:$H$52,'315'!$H$54:$H$63,'315'!$H$65,'315'!$H$67,'315'!$H$69,'315'!$H$71,'315'!$H$73,'315'!$H$75:$H$76,'315'!$H$78,'315'!$H$80,'315'!$H$82,'315'!$H$84:$H$85,'315'!$H$87:$H$89,'315'!$H$91:$H$92,'315'!$H$94:$H$96,'315'!$H$98,'315'!$H$100</definedName>
    <definedName name="OSRRefH22x_0" localSheetId="60">'316'!$H$27:$H$35,'316'!$H$37:$H$46,'316'!$H$48,'316'!$H$50,'316'!$H$52,'316'!$H$54:$H$55,'316'!$H$57,'316'!$H$59:$H$61,'316'!$H$63,'316'!$H$65:$H$68,'316'!$H$70</definedName>
    <definedName name="OSRRefH22x_0" localSheetId="62">'317'!$H$35:$H$44,'317'!$H$46:$H$55,'317'!$H$57,'317'!$H$59,'317'!$H$61,'317'!$H$63,'317'!$H$65,'317'!$H$67,'317'!$H$69:$H$70,'317'!$H$72</definedName>
    <definedName name="OSRRefH22x_0" localSheetId="66">'321'!$H$24:$H$32,'321'!$H$34:$H$43,'321'!$H$45,'321'!$H$47,'321'!$H$49,'321'!$H$51,'321'!$H$53:$H$54,'321'!$H$56,'321'!$H$58:$H$59,'321'!$H$61:$H$64,'321'!$H$66,'321'!$H$68</definedName>
    <definedName name="OSRRefH22x_0" localSheetId="67">'325'!$H$25:$H$33,'325'!$H$35:$H$44,'325'!$H$46,'325'!$H$48,'325'!$H$50,'325'!$H$52:$H$53,'325'!$H$55,'325'!$H$57,'325'!$H$59,'325'!$H$61,'325'!$H$63:$H$65,'325'!$H$67:$H$69,'325'!$H$71:$H$75,'325'!$H$77:$H$78,'325'!$H$80</definedName>
    <definedName name="OSRRefH22x_0" localSheetId="58">'326'!$H$28:$H$36,'326'!$H$38:$H$47,'326'!$H$49,'326'!$H$51,'326'!$H$53,'326'!$H$55,'326'!$H$57:$H$58,'326'!$H$60,'326'!$H$62,'326'!$H$64,'326'!$H$66,'326'!$H$68:$H$69,'326'!$H$71:$H$72,'326'!$H$74:$H$75,'326'!$H$77:$H$79,'326'!$H$81,'326'!$H$83:$H$84,'326'!$H$86</definedName>
    <definedName name="OSRRefH22x_0" localSheetId="68">'327'!$H$26</definedName>
    <definedName name="OSRRefH22x_0" localSheetId="51">'330'!$H$34:$H$41,'330'!$H$43:$H$52,'330'!$H$54,'330'!$H$56,'330'!$H$58,'330'!$H$60:$H$61,'330'!$H$63,'330'!$H$65,'330'!$H$67,'330'!$H$69:$H$70,'330'!$H$72:$H$73,'330'!$H$75:$H$78,'330'!$H$80</definedName>
    <definedName name="OSRRefH22x_0" localSheetId="56">'331'!$H$44:$H$52,'331'!$H$54:$H$63,'331'!$H$65,'331'!$H$67,'331'!$H$69,'331'!$H$71,'331'!$H$73,'331'!$H$75:$H$76,'331'!$H$78:$H$79,'331'!$H$81,'331'!$H$83,'331'!$H$85,'331'!$H$87,'331'!$H$89:$H$90,'331'!$H$92:$H$94,'331'!$H$96:$H$97,'331'!$H$99:$H$100,'331'!$H$102:$H$105,'331'!$H$107,'331'!$H$109:$H$110,'331'!$H$112</definedName>
    <definedName name="OSRRefH22x_0" localSheetId="59">'332'!$H$27:$H$35,'332'!$H$37:$H$46,'332'!$H$48,'332'!$H$50,'332'!$H$52,'332'!$H$54:$H$55,'332'!$H$57,'332'!$H$59:$H$61,'332'!$H$63,'332'!$H$65:$H$68,'332'!$H$70</definedName>
    <definedName name="OSRRefH22x_0" localSheetId="72">'405'!$H$27:$H$35,'405'!$H$37:$H$46,'405'!$H$48,'405'!$H$50,'405'!$H$52,'405'!$H$54:$H$55,'405'!$H$57,'405'!$H$59,'405'!$H$61,'405'!$H$63:$H$64,'405'!$H$66:$H$69,'405'!$H$71,'405'!$H$73:$H$80,'405'!$H$82,'405'!$H$84,'405'!$H$86</definedName>
    <definedName name="OSRRefH22x_0" localSheetId="73">'406'!$H$20,'406'!$H$22</definedName>
    <definedName name="OSRRefH22x_0" localSheetId="74">'411'!$H$20:$H$28,'411'!$H$30:$H$39,'411'!$H$41,'411'!$H$43:$H$44,'411'!$H$46,'411'!$H$48,'411'!$H$50,'411'!$H$52,'411'!$H$54:$H$56,'411'!$H$58:$H$60,'411'!$H$62,'411'!$H$64,'411'!$H$66,'411'!$H$68,'411'!$H$70</definedName>
    <definedName name="OSRRefH22x_0" localSheetId="75">'412'!$H$20,'412'!$H$22,'412'!$H$24,'412'!$H$26</definedName>
    <definedName name="OSRRefH22x_0" localSheetId="76">'413'!$H$20,'413'!$H$22,'413'!$H$24</definedName>
    <definedName name="OSRRefH22x_0" localSheetId="77">'414'!$H$20,'414'!$H$22,'414'!$H$24</definedName>
    <definedName name="OSRRefH22x_0" localSheetId="78">'415'!$H$27:$H$35,'415'!$H$37:$H$46,'415'!$H$48,'415'!$H$50,'415'!$H$52,'415'!$H$54:$H$55,'415'!$H$57,'415'!$H$59,'415'!$H$61,'415'!$H$63,'415'!$H$65:$H$66,'415'!$H$68:$H$71,'415'!$H$73,'415'!$H$75:$H$80,'415'!$H$82:$H$83,'415'!$H$85,'415'!$H$87</definedName>
    <definedName name="OSRRefH22x_0" localSheetId="79">'418'!$H$24:$H$32,'418'!$H$34:$H$43,'418'!$H$45,'418'!$H$47,'418'!$H$49:$H$50,'418'!$H$52,'418'!$H$54,'418'!$H$56,'418'!$H$58:$H$59,'418'!$H$61:$H$64,'418'!$H$66,'418'!$H$68:$H$75,'418'!$H$77:$H$78,'418'!$H$80,'418'!$H$82</definedName>
    <definedName name="OSRRefH22x_0" localSheetId="80">'423'!$H$20:$H$27,'423'!$H$29:$H$38,'423'!$H$40,'423'!$H$42,'423'!$H$44,'423'!$H$46</definedName>
    <definedName name="OSRRefH22x_0" localSheetId="81">'424'!$H$20,'424'!$H$22</definedName>
    <definedName name="OSRRefH22x_0" localSheetId="82">'425'!$H$22,'425'!$H$24,'425'!$H$26,'425'!$H$28,'425'!$H$30,'425'!$H$32</definedName>
    <definedName name="OSRRefH22x_0" localSheetId="84">'430'!$H$20:$H$28,'430'!$H$30:$H$39,'430'!$H$41,'430'!$H$43,'430'!$H$45,'430'!$H$47:$H$48,'430'!$H$50:$H$51,'430'!$H$53,'430'!$H$55</definedName>
    <definedName name="OSRRefH22x_0" localSheetId="85">'433'!$H$27:$H$36,'433'!$H$38:$H$47,'433'!$H$49,'433'!$H$51,'433'!$H$53,'433'!$H$55,'433'!$H$57,'433'!$H$59,'433'!$H$61,'433'!$H$63,'433'!$H$65,'433'!$H$67:$H$69,'433'!$H$71:$H$74,'433'!$H$76:$H$83,'433'!$H$85</definedName>
    <definedName name="OSRRefH22x_0" localSheetId="86">'444'!$H$27:$H$36,'444'!$H$38:$H$47,'444'!$H$49,'444'!$H$51,'444'!$H$53,'444'!$H$55,'444'!$H$57,'444'!$H$59,'444'!$H$61,'444'!$H$63,'444'!$H$65,'444'!$H$67:$H$68,'444'!$H$70:$H$73,'444'!$H$75,'444'!$H$77:$H$83,'444'!$H$85,'444'!$H$87</definedName>
    <definedName name="OSRRefH22x_0" localSheetId="87">'450'!$H$27:$H$36,'450'!$H$38:$H$47,'450'!$H$49,'450'!$H$51,'450'!$H$53,'450'!$H$55,'450'!$H$57,'450'!$H$59,'450'!$H$61,'450'!$H$63,'450'!$H$65,'450'!$H$67:$H$69,'450'!$H$71:$H$74,'450'!$H$76:$H$82,'450'!$H$84,'450'!$H$86,'450'!$H$88</definedName>
    <definedName name="OSRRefH22x_0" localSheetId="71">'491'!$H$28:$H$36,'491'!$H$38:$H$47,'491'!$H$49,'491'!$H$51,'491'!$H$53,'491'!$H$55:$H$56,'491'!$H$58,'491'!$H$60,'491'!$H$62,'491'!$H$64,'491'!$H$66,'491'!$H$68,'491'!$H$70:$H$72,'491'!$H$74,'491'!$H$76:$H$80,'491'!$H$82,'491'!$H$84:$H$92,'491'!$H$94:$H$95,'491'!$H$97,'491'!$H$99,'491'!$H$101</definedName>
    <definedName name="OSRRefH22x_0" localSheetId="83">'492'!$H$27:$H$36,'492'!$H$38:$H$47,'492'!$H$49,'492'!$H$51,'492'!$H$53,'492'!$H$55,'492'!$H$57,'492'!$H$59,'492'!$H$61,'492'!$H$63,'492'!$H$65,'492'!$H$67,'492'!$H$69:$H$71,'492'!$H$73:$H$76,'492'!$H$78,'492'!$H$80:$H$87,'492'!$H$89:$H$90,'492'!$H$92,'492'!$H$94:$H$95</definedName>
    <definedName name="OSRRefH22x_0" localSheetId="89">'501'!$H$21:$H$30,'501'!$H$32:$H$41,'501'!$H$43,'501'!$H$45,'501'!$H$47,'501'!$H$49:$H$50,'501'!$H$52,'501'!$H$54,'501'!$H$56,'501'!$H$58:$H$60,'501'!$H$62,'501'!$H$64:$H$66,'501'!$H$68,'501'!$H$70</definedName>
    <definedName name="OSRRefH22x_0" localSheetId="39">'Div 2'!$H$20:$H$30,'Div 2'!$H$32:$H$41,'Div 2'!$H$43,'Div 2'!$H$45,'Div 2'!$H$47,'Div 2'!$H$49:$H$50,'Div 2'!$H$52,'Div 2'!$H$54,'Div 2'!$H$56,'Div 2'!$H$58,'Div 2'!$H$60,'Div 2'!$H$62,'Div 2'!$H$64:$H$67,'Div 2'!$H$69:$H$72,'Div 2'!$H$74:$H$75,'Div 2'!$H$77,'Div 2'!$H$79:$H$84,'Div 2'!$H$86:$H$87,'Div 2'!$H$89,'Div 2'!$H$91:$H$92</definedName>
    <definedName name="OSRRefH22x_0" localSheetId="47">'Div 3'!$H$58:$H$67,'Div 3'!$H$69:$H$78,'Div 3'!$H$80,'Div 3'!$H$82,'Div 3'!$H$84,'Div 3'!$H$86:$H$87,'Div 3'!$H$89:$H$90,'Div 3'!$H$92,'Div 3'!$H$94,'Div 3'!$H$96,'Div 3'!$H$98:$H$99,'Div 3'!$H$101:$H$102,'Div 3'!$H$104,'Div 3'!$H$106,'Div 3'!$H$108,'Div 3'!$H$110,'Div 3'!$H$112,'Div 3'!$H$114:$H$117,'Div 3'!$H$119:$H$122,'Div 3'!$H$124:$H$127,'Div 3'!$H$129:$H$130,'Div 3'!$H$132:$H$138,'Div 3'!$H$140:$H$141,'Div 3'!$H$143,'Div 3'!$H$145:$H$147,'Div 3'!$H$149</definedName>
    <definedName name="OSRRefH22x_0" localSheetId="69">'Div 4'!$H$29:$H$38,'Div 4'!$H$40:$H$49,'Div 4'!$H$51,'Div 4'!$H$53,'Div 4'!$H$55,'Div 4'!$H$57:$H$58,'Div 4'!$H$60,'Div 4'!$H$62,'Div 4'!$H$64,'Div 4'!$H$66,'Div 4'!$H$68,'Div 4'!$H$70,'Div 4'!$H$72,'Div 4'!$H$74,'Div 4'!$H$76:$H$78,'Div 4'!$H$80,'Div 4'!$H$82:$H$86,'Div 4'!$H$88:$H$89,'Div 4'!$H$91:$H$100,'Div 4'!$H$102:$H$103,'Div 4'!$H$105,'Div 4'!$H$107:$H$108,'Div 4'!$H$110</definedName>
    <definedName name="OSRRefH22x_0" localSheetId="88">'Div 5'!$H$21:$H$30,'Div 5'!$H$32:$H$41,'Div 5'!$H$43,'Div 5'!$H$45,'Div 5'!$H$47,'Div 5'!$H$49:$H$50,'Div 5'!$H$52,'Div 5'!$H$54,'Div 5'!$H$56,'Div 5'!$H$58:$H$60,'Div 5'!$H$62,'Div 5'!$H$64:$H$66,'Div 5'!$H$68,'Div 5'!$H$70</definedName>
    <definedName name="OSRRefH22x_0" localSheetId="61">'Div 6'!$H$35:$H$44,'Div 6'!$H$46:$H$55,'Div 6'!$H$57,'Div 6'!$H$59,'Div 6'!$H$61,'Div 6'!$H$63,'Div 6'!$H$65,'Div 6'!$H$67,'Div 6'!$H$69:$H$70,'Div 6'!$H$72</definedName>
    <definedName name="OSRRefH22x_0" localSheetId="2">Summary!$H$66:$H$75,Summary!$H$77:$H$86,Summary!$H$88,Summary!$H$90,Summary!$H$92,Summary!$H$94:$H$95,Summary!$H$97:$H$98,Summary!$H$100,Summary!$H$102,Summary!$H$104,Summary!$H$106:$H$107,Summary!$H$109:$H$110,Summary!$H$112,Summary!$H$114,Summary!$H$116,Summary!$H$118,Summary!$H$120,Summary!$H$122,Summary!$H$124:$H$127,Summary!$H$129:$H$132,Summary!$H$134:$H$138,Summary!$H$140:$H$141,Summary!$H$143:$H$152,Summary!$H$154:$H$155,Summary!$H$157,Summary!$H$159:$H$161,Summary!$H$163</definedName>
    <definedName name="OSRRefH25x_0" localSheetId="48">'300'!$H$145:$H$149</definedName>
    <definedName name="OSRRefH25x_0" localSheetId="49">'300 &amp; 317'!$H$151:$H$157</definedName>
    <definedName name="OSRRefH25x_0" localSheetId="50">'301'!$H$98:$H$99</definedName>
    <definedName name="OSRRefH25x_0" localSheetId="53">'308'!$H$84:$H$87</definedName>
    <definedName name="OSRRefH25x_0" localSheetId="70">'310 &amp; 491'!$H$107:$H$109</definedName>
    <definedName name="OSRRefH25x_0" localSheetId="54">'311'!$H$84:$H$87</definedName>
    <definedName name="OSRRefH25x_0" localSheetId="57">'315'!$H$103:$H$105</definedName>
    <definedName name="OSRRefH25x_0" localSheetId="60">'316'!$H$73</definedName>
    <definedName name="OSRRefH25x_0" localSheetId="62">'317'!$H$75:$H$77</definedName>
    <definedName name="OSRRefH25x_0" localSheetId="56">'331'!$H$115:$H$117</definedName>
    <definedName name="OSRRefH25x_0" localSheetId="59">'332'!$H$73</definedName>
    <definedName name="OSRRefH25x_0" localSheetId="72">'405'!$H$89</definedName>
    <definedName name="OSRRefH25x_0" localSheetId="74">'411'!$H$73</definedName>
    <definedName name="OSRRefH25x_0" localSheetId="78">'415'!$H$90</definedName>
    <definedName name="OSRRefH25x_0" localSheetId="79">'418'!$H$85</definedName>
    <definedName name="OSRRefH25x_0" localSheetId="80">'423'!$H$49</definedName>
    <definedName name="OSRRefH25x_0" localSheetId="71">'491'!$H$104:$H$106</definedName>
    <definedName name="OSRRefH25x_0" localSheetId="89">'501'!$H$73</definedName>
    <definedName name="OSRRefH25x_0" localSheetId="47">'Div 3'!$H$152:$H$156</definedName>
    <definedName name="OSRRefH25x_0" localSheetId="69">'Div 4'!$H$113:$H$115</definedName>
    <definedName name="OSRRefH25x_0" localSheetId="88">'Div 5'!$H$73</definedName>
    <definedName name="OSRRefH25x_0" localSheetId="61">'Div 6'!$H$75:$H$77</definedName>
    <definedName name="OSRRefH25x_0" localSheetId="2">Summary!$H$166:$H$173</definedName>
    <definedName name="OSRRefP13x_0" localSheetId="48">'300'!$P$13:$P$19</definedName>
    <definedName name="OSRRefP13x_0" localSheetId="49">'300 &amp; 317'!$P$13:$P$19</definedName>
    <definedName name="OSRRefP13x_0" localSheetId="52">'307'!$P$13:$P$16</definedName>
    <definedName name="OSRRefP13x_0" localSheetId="53">'308'!$P$13:$P$17</definedName>
    <definedName name="OSRRefP13x_0" localSheetId="64">'310'!$P$13:$P$16</definedName>
    <definedName name="OSRRefP13x_0" localSheetId="70">'310 &amp; 491'!$P$13:$P$18</definedName>
    <definedName name="OSRRefP13x_0" localSheetId="54">'311'!$P$13:$P$17</definedName>
    <definedName name="OSRRefP13x_0" localSheetId="57">'315'!$P$13:$P$17</definedName>
    <definedName name="OSRRefP13x_0" localSheetId="60">'316'!$P$13:$P$17</definedName>
    <definedName name="OSRRefP13x_0" localSheetId="62">'317'!$P$13:$P$17</definedName>
    <definedName name="OSRRefP13x_0" localSheetId="66">'321'!$P$13:$P$14</definedName>
    <definedName name="OSRRefP13x_0" localSheetId="55">'324'!$P$13:$P$14</definedName>
    <definedName name="OSRRefP13x_0" localSheetId="67">'325'!$P$13:$P$14</definedName>
    <definedName name="OSRRefP13x_0" localSheetId="58">'326'!$P$13:$P$16</definedName>
    <definedName name="OSRRefP13x_0" localSheetId="68">'327'!$P$13:$P$15</definedName>
    <definedName name="OSRRefP13x_0" localSheetId="51">'330'!$P$13:$P$16</definedName>
    <definedName name="OSRRefP13x_0" localSheetId="56">'331'!$P$13:$P$17</definedName>
    <definedName name="OSRRefP13x_0" localSheetId="59">'332'!$P$13:$P$17</definedName>
    <definedName name="OSRRefP13x_0" localSheetId="72">'405'!$P$13:$P$16</definedName>
    <definedName name="OSRRefP13x_0" localSheetId="78">'415'!$P$13:$P$16</definedName>
    <definedName name="OSRRefP13x_0" localSheetId="79">'418'!$P$13:$P$14</definedName>
    <definedName name="OSRRefP13x_0" localSheetId="82">'425'!$P$13</definedName>
    <definedName name="OSRRefP13x_0" localSheetId="85">'433'!$P$13:$P$16</definedName>
    <definedName name="OSRRefP13x_0" localSheetId="86">'444'!$P$13:$P$16</definedName>
    <definedName name="OSRRefP13x_0" localSheetId="87">'450'!$P$13:$P$16</definedName>
    <definedName name="OSRRefP13x_0" localSheetId="71">'491'!$P$13:$P$17</definedName>
    <definedName name="OSRRefP13x_0" localSheetId="83">'492'!$P$13:$P$16</definedName>
    <definedName name="OSRRefP13x_0" localSheetId="89">'501'!$P$13</definedName>
    <definedName name="OSRRefP13x_0" localSheetId="47">'Div 3'!$P$13:$P$21</definedName>
    <definedName name="OSRRefP13x_0" localSheetId="69">'Div 4'!$P$13:$P$18</definedName>
    <definedName name="OSRRefP13x_0" localSheetId="88">'Div 5'!$P$13</definedName>
    <definedName name="OSRRefP13x_0" localSheetId="61">'Div 6'!$P$13:$P$17</definedName>
    <definedName name="OSRRefP13x_0" localSheetId="2">Summary!$P$13:$P$23</definedName>
    <definedName name="OSRRefP16x_0" localSheetId="48">'300'!$P$22:$P$48</definedName>
    <definedName name="OSRRefP16x_0" localSheetId="49">'300 &amp; 317'!$P$22:$P$54</definedName>
    <definedName name="OSRRefP16x_0" localSheetId="50">'301'!$P$15</definedName>
    <definedName name="OSRRefP16x_0" localSheetId="52">'307'!$P$19:$P$28</definedName>
    <definedName name="OSRRefP16x_0" localSheetId="53">'308'!$P$20:$P$29</definedName>
    <definedName name="OSRRefP16x_0" localSheetId="64">'310'!$P$19:$P$21</definedName>
    <definedName name="OSRRefP16x_0" localSheetId="70">'310 &amp; 491'!$P$21:$P$23</definedName>
    <definedName name="OSRRefP16x_0" localSheetId="54">'311'!$P$20:$P$29</definedName>
    <definedName name="OSRRefP16x_0" localSheetId="57">'315'!$P$20:$P$38</definedName>
    <definedName name="OSRRefP16x_0" localSheetId="60">'316'!$P$20:$P$21</definedName>
    <definedName name="OSRRefP16x_0" localSheetId="62">'317'!$P$20:$P$29</definedName>
    <definedName name="OSRRefP16x_0" localSheetId="66">'321'!$P$17:$P$18</definedName>
    <definedName name="OSRRefP16x_0" localSheetId="55">'324'!$P$17</definedName>
    <definedName name="OSRRefP16x_0" localSheetId="67">'325'!$P$17:$P$19</definedName>
    <definedName name="OSRRefP16x_0" localSheetId="58">'326'!$P$19:$P$22</definedName>
    <definedName name="OSRRefP16x_0" localSheetId="68">'327'!$P$18:$P$20</definedName>
    <definedName name="OSRRefP16x_0" localSheetId="51">'330'!$P$19:$P$28</definedName>
    <definedName name="OSRRefP16x_0" localSheetId="56">'331'!$P$20:$P$38</definedName>
    <definedName name="OSRRefP16x_0" localSheetId="59">'332'!$P$20:$P$21</definedName>
    <definedName name="OSRRefP16x_0" localSheetId="72">'405'!$P$19:$P$21</definedName>
    <definedName name="OSRRefP16x_0" localSheetId="78">'415'!$P$19:$P$21</definedName>
    <definedName name="OSRRefP16x_0" localSheetId="79">'418'!$P$17:$P$18</definedName>
    <definedName name="OSRRefP16x_0" localSheetId="82">'425'!$P$16</definedName>
    <definedName name="OSRRefP16x_0" localSheetId="85">'433'!$P$19:$P$21</definedName>
    <definedName name="OSRRefP16x_0" localSheetId="86">'444'!$P$19:$P$21</definedName>
    <definedName name="OSRRefP16x_0" localSheetId="87">'450'!$P$19:$P$21</definedName>
    <definedName name="OSRRefP16x_0" localSheetId="71">'491'!$P$20:$P$22</definedName>
    <definedName name="OSRRefP16x_0" localSheetId="83">'492'!$P$19:$P$21</definedName>
    <definedName name="OSRRefP16x_0" localSheetId="47">'Div 3'!$P$24:$P$52</definedName>
    <definedName name="OSRRefP16x_0" localSheetId="69">'Div 4'!$P$21:$P$23</definedName>
    <definedName name="OSRRefP16x_0" localSheetId="61">'Div 6'!$P$20:$P$29</definedName>
    <definedName name="OSRRefP16x_0" localSheetId="2">Summary!$P$26:$P$60</definedName>
    <definedName name="OSRRefP22_0x_0" localSheetId="40">'200'!$P$20</definedName>
    <definedName name="OSRRefP22_0x_0" localSheetId="41">'201'!$P$20:$P$28</definedName>
    <definedName name="OSRRefP22_0x_0" localSheetId="42">'202'!$P$20:$P$28</definedName>
    <definedName name="OSRRefP22_0x_0" localSheetId="43">'203'!$P$20:$P$29</definedName>
    <definedName name="OSRRefP22_0x_0" localSheetId="44">'204'!$P$20:$P$28</definedName>
    <definedName name="OSRRefP22_0x_0" localSheetId="45">'205'!$P$20:$P$28</definedName>
    <definedName name="OSRRefP22_0x_0" localSheetId="46">'206'!$P$20:$P$28</definedName>
    <definedName name="OSRRefP22_0x_0" localSheetId="48">'300'!$P$54:$P$63</definedName>
    <definedName name="OSRRefP22_0x_0" localSheetId="49">'300 &amp; 317'!$P$60:$P$69</definedName>
    <definedName name="OSRRefP22_0x_0" localSheetId="50">'301'!$P$21:$P$30</definedName>
    <definedName name="OSRRefP22_0x_0" localSheetId="52">'307'!$P$34:$P$41</definedName>
    <definedName name="OSRRefP22_0x_0" localSheetId="53">'308'!$P$35:$P$44</definedName>
    <definedName name="OSRRefP22_0x_0" localSheetId="65">'309'!$P$20</definedName>
    <definedName name="OSRRefP22_0x_0" localSheetId="64">'310'!$P$27:$P$35</definedName>
    <definedName name="OSRRefP22_0x_0" localSheetId="70">'310 &amp; 491'!$P$29:$P$37</definedName>
    <definedName name="OSRRefP22_0x_0" localSheetId="54">'311'!$P$35:$P$44</definedName>
    <definedName name="OSRRefP22_0x_0" localSheetId="57">'315'!$P$44:$P$52</definedName>
    <definedName name="OSRRefP22_0x_0" localSheetId="60">'316'!$P$27:$P$35</definedName>
    <definedName name="OSRRefP22_0x_0" localSheetId="62">'317'!$P$35:$P$44</definedName>
    <definedName name="OSRRefP22_0x_0" localSheetId="66">'321'!$P$24:$P$32</definedName>
    <definedName name="OSRRefP22_0x_0" localSheetId="67">'325'!$P$25:$P$33</definedName>
    <definedName name="OSRRefP22_0x_0" localSheetId="58">'326'!$P$28:$P$36</definedName>
    <definedName name="OSRRefP22_0x_0" localSheetId="68">'327'!$P$26</definedName>
    <definedName name="OSRRefP22_0x_0" localSheetId="51">'330'!$P$34:$P$41</definedName>
    <definedName name="OSRRefP22_0x_0" localSheetId="56">'331'!$P$44:$P$52</definedName>
    <definedName name="OSRRefP22_0x_0" localSheetId="59">'332'!$P$27:$P$35</definedName>
    <definedName name="OSRRefP22_0x_0" localSheetId="72">'405'!$P$27:$P$35</definedName>
    <definedName name="OSRRefP22_0x_0" localSheetId="73">'406'!$P$20</definedName>
    <definedName name="OSRRefP22_0x_0" localSheetId="74">'411'!$P$20:$P$28</definedName>
    <definedName name="OSRRefP22_0x_0" localSheetId="75">'412'!$P$20</definedName>
    <definedName name="OSRRefP22_0x_0" localSheetId="76">'413'!$P$20</definedName>
    <definedName name="OSRRefP22_0x_0" localSheetId="77">'414'!$P$20</definedName>
    <definedName name="OSRRefP22_0x_0" localSheetId="78">'415'!$P$27:$P$35</definedName>
    <definedName name="OSRRefP22_0x_0" localSheetId="79">'418'!$P$24:$P$32</definedName>
    <definedName name="OSRRefP22_0x_0" localSheetId="80">'423'!$P$20:$P$27</definedName>
    <definedName name="OSRRefP22_0x_0" localSheetId="81">'424'!$P$20</definedName>
    <definedName name="OSRRefP22_0x_0" localSheetId="82">'425'!$P$22</definedName>
    <definedName name="OSRRefP22_0x_0" localSheetId="84">'430'!$P$20:$P$28</definedName>
    <definedName name="OSRRefP22_0x_0" localSheetId="85">'433'!$P$27:$P$36</definedName>
    <definedName name="OSRRefP22_0x_0" localSheetId="86">'444'!$P$27:$P$36</definedName>
    <definedName name="OSRRefP22_0x_0" localSheetId="87">'450'!$P$27:$P$36</definedName>
    <definedName name="OSRRefP22_0x_0" localSheetId="71">'491'!$P$28:$P$36</definedName>
    <definedName name="OSRRefP22_0x_0" localSheetId="83">'492'!$P$27:$P$36</definedName>
    <definedName name="OSRRefP22_0x_0" localSheetId="89">'501'!$P$21:$P$30</definedName>
    <definedName name="OSRRefP22_0x_0" localSheetId="39">'Div 2'!$P$20:$P$30</definedName>
    <definedName name="OSRRefP22_0x_0" localSheetId="47">'Div 3'!$P$58:$P$67</definedName>
    <definedName name="OSRRefP22_0x_0" localSheetId="69">'Div 4'!$P$29:$P$38</definedName>
    <definedName name="OSRRefP22_0x_0" localSheetId="88">'Div 5'!$P$21:$P$30</definedName>
    <definedName name="OSRRefP22_0x_0" localSheetId="61">'Div 6'!$P$35:$P$44</definedName>
    <definedName name="OSRRefP22_0x_0" localSheetId="2">Summary!$P$66:$P$75</definedName>
    <definedName name="OSRRefP22_10x_0" localSheetId="41">'201'!$P$60</definedName>
    <definedName name="OSRRefP22_10x_0" localSheetId="42">'202'!$P$59</definedName>
    <definedName name="OSRRefP22_10x_0" localSheetId="43">'203'!$P$61</definedName>
    <definedName name="OSRRefP22_10x_0" localSheetId="48">'300'!$P$94:$P$95</definedName>
    <definedName name="OSRRefP22_10x_0" localSheetId="49">'300 &amp; 317'!$P$100:$P$101</definedName>
    <definedName name="OSRRefP22_10x_0" localSheetId="50">'301'!$P$61</definedName>
    <definedName name="OSRRefP22_10x_0" localSheetId="52">'307'!$P$72:$P$73</definedName>
    <definedName name="OSRRefP22_10x_0" localSheetId="53">'308'!$P$75:$P$76</definedName>
    <definedName name="OSRRefP22_10x_0" localSheetId="64">'310'!$P$65:$P$67</definedName>
    <definedName name="OSRRefP22_10x_0" localSheetId="70">'310 &amp; 491'!$P$67</definedName>
    <definedName name="OSRRefP22_10x_0" localSheetId="54">'311'!$P$75:$P$76</definedName>
    <definedName name="OSRRefP22_10x_0" localSheetId="57">'315'!$P$82</definedName>
    <definedName name="OSRRefP22_10x_0" localSheetId="60">'316'!$P$70</definedName>
    <definedName name="OSRRefP22_10x_0" localSheetId="66">'321'!$P$66</definedName>
    <definedName name="OSRRefP22_10x_0" localSheetId="67">'325'!$P$63:$P$65</definedName>
    <definedName name="OSRRefP22_10x_0" localSheetId="58">'326'!$P$66</definedName>
    <definedName name="OSRRefP22_10x_0" localSheetId="51">'330'!$P$72:$P$73</definedName>
    <definedName name="OSRRefP22_10x_0" localSheetId="56">'331'!$P$83</definedName>
    <definedName name="OSRRefP22_10x_0" localSheetId="59">'332'!$P$70</definedName>
    <definedName name="OSRRefP22_10x_0" localSheetId="72">'405'!$P$66:$P$69</definedName>
    <definedName name="OSRRefP22_10x_0" localSheetId="74">'411'!$P$62</definedName>
    <definedName name="OSRRefP22_10x_0" localSheetId="78">'415'!$P$65:$P$66</definedName>
    <definedName name="OSRRefP22_10x_0" localSheetId="79">'418'!$P$66</definedName>
    <definedName name="OSRRefP22_10x_0" localSheetId="85">'433'!$P$65</definedName>
    <definedName name="OSRRefP22_10x_0" localSheetId="86">'444'!$P$65</definedName>
    <definedName name="OSRRefP22_10x_0" localSheetId="87">'450'!$P$65</definedName>
    <definedName name="OSRRefP22_10x_0" localSheetId="71">'491'!$P$66</definedName>
    <definedName name="OSRRefP22_10x_0" localSheetId="83">'492'!$P$65</definedName>
    <definedName name="OSRRefP22_10x_0" localSheetId="89">'501'!$P$62</definedName>
    <definedName name="OSRRefP22_10x_0" localSheetId="39">'Div 2'!$P$60</definedName>
    <definedName name="OSRRefP22_10x_0" localSheetId="47">'Div 3'!$P$98:$P$99</definedName>
    <definedName name="OSRRefP22_10x_0" localSheetId="69">'Div 4'!$P$68</definedName>
    <definedName name="OSRRefP22_10x_0" localSheetId="88">'Div 5'!$P$62</definedName>
    <definedName name="OSRRefP22_10x_0" localSheetId="2">Summary!$P$106:$P$107</definedName>
    <definedName name="OSRRefP22_11x_0" localSheetId="41">'201'!$P$62:$P$63</definedName>
    <definedName name="OSRRefP22_11x_0" localSheetId="42">'202'!$P$61</definedName>
    <definedName name="OSRRefP22_11x_0" localSheetId="43">'203'!$P$63:$P$66</definedName>
    <definedName name="OSRRefP22_11x_0" localSheetId="48">'300'!$P$97:$P$98</definedName>
    <definedName name="OSRRefP22_11x_0" localSheetId="49">'300 &amp; 317'!$P$103:$P$104</definedName>
    <definedName name="OSRRefP22_11x_0" localSheetId="50">'301'!$P$63</definedName>
    <definedName name="OSRRefP22_11x_0" localSheetId="52">'307'!$P$75:$P$78</definedName>
    <definedName name="OSRRefP22_11x_0" localSheetId="53">'308'!$P$78:$P$79</definedName>
    <definedName name="OSRRefP22_11x_0" localSheetId="64">'310'!$P$69</definedName>
    <definedName name="OSRRefP22_11x_0" localSheetId="70">'310 &amp; 491'!$P$69</definedName>
    <definedName name="OSRRefP22_11x_0" localSheetId="54">'311'!$P$78:$P$79</definedName>
    <definedName name="OSRRefP22_11x_0" localSheetId="57">'315'!$P$84:$P$85</definedName>
    <definedName name="OSRRefP22_11x_0" localSheetId="66">'321'!$P$68</definedName>
    <definedName name="OSRRefP22_11x_0" localSheetId="67">'325'!$P$67:$P$69</definedName>
    <definedName name="OSRRefP22_11x_0" localSheetId="58">'326'!$P$68:$P$69</definedName>
    <definedName name="OSRRefP22_11x_0" localSheetId="51">'330'!$P$75:$P$78</definedName>
    <definedName name="OSRRefP22_11x_0" localSheetId="56">'331'!$P$85</definedName>
    <definedName name="OSRRefP22_11x_0" localSheetId="72">'405'!$P$71</definedName>
    <definedName name="OSRRefP22_11x_0" localSheetId="74">'411'!$P$64</definedName>
    <definedName name="OSRRefP22_11x_0" localSheetId="78">'415'!$P$68:$P$71</definedName>
    <definedName name="OSRRefP22_11x_0" localSheetId="79">'418'!$P$68:$P$75</definedName>
    <definedName name="OSRRefP22_11x_0" localSheetId="85">'433'!$P$67:$P$69</definedName>
    <definedName name="OSRRefP22_11x_0" localSheetId="86">'444'!$P$67:$P$68</definedName>
    <definedName name="OSRRefP22_11x_0" localSheetId="87">'450'!$P$67:$P$69</definedName>
    <definedName name="OSRRefP22_11x_0" localSheetId="71">'491'!$P$68</definedName>
    <definedName name="OSRRefP22_11x_0" localSheetId="83">'492'!$P$67</definedName>
    <definedName name="OSRRefP22_11x_0" localSheetId="89">'501'!$P$64:$P$66</definedName>
    <definedName name="OSRRefP22_11x_0" localSheetId="39">'Div 2'!$P$62</definedName>
    <definedName name="OSRRefP22_11x_0" localSheetId="47">'Div 3'!$P$101:$P$102</definedName>
    <definedName name="OSRRefP22_11x_0" localSheetId="69">'Div 4'!$P$70</definedName>
    <definedName name="OSRRefP22_11x_0" localSheetId="88">'Div 5'!$P$64:$P$66</definedName>
    <definedName name="OSRRefP22_11x_0" localSheetId="2">Summary!$P$109:$P$110</definedName>
    <definedName name="OSRRefP22_12x_0" localSheetId="41">'201'!$P$65</definedName>
    <definedName name="OSRRefP22_12x_0" localSheetId="43">'203'!$P$68</definedName>
    <definedName name="OSRRefP22_12x_0" localSheetId="48">'300'!$P$100</definedName>
    <definedName name="OSRRefP22_12x_0" localSheetId="49">'300 &amp; 317'!$P$106</definedName>
    <definedName name="OSRRefP22_12x_0" localSheetId="50">'301'!$P$65</definedName>
    <definedName name="OSRRefP22_12x_0" localSheetId="52">'307'!$P$80</definedName>
    <definedName name="OSRRefP22_12x_0" localSheetId="53">'308'!$P$81</definedName>
    <definedName name="OSRRefP22_12x_0" localSheetId="64">'310'!$P$71:$P$73</definedName>
    <definedName name="OSRRefP22_12x_0" localSheetId="70">'310 &amp; 491'!$P$71:$P$73</definedName>
    <definedName name="OSRRefP22_12x_0" localSheetId="54">'311'!$P$81</definedName>
    <definedName name="OSRRefP22_12x_0" localSheetId="57">'315'!$P$87:$P$89</definedName>
    <definedName name="OSRRefP22_12x_0" localSheetId="67">'325'!$P$71:$P$75</definedName>
    <definedName name="OSRRefP22_12x_0" localSheetId="58">'326'!$P$71:$P$72</definedName>
    <definedName name="OSRRefP22_12x_0" localSheetId="51">'330'!$P$80</definedName>
    <definedName name="OSRRefP22_12x_0" localSheetId="56">'331'!$P$87</definedName>
    <definedName name="OSRRefP22_12x_0" localSheetId="72">'405'!$P$73:$P$80</definedName>
    <definedName name="OSRRefP22_12x_0" localSheetId="74">'411'!$P$66</definedName>
    <definedName name="OSRRefP22_12x_0" localSheetId="78">'415'!$P$73</definedName>
    <definedName name="OSRRefP22_12x_0" localSheetId="79">'418'!$P$77:$P$78</definedName>
    <definedName name="OSRRefP22_12x_0" localSheetId="85">'433'!$P$71:$P$74</definedName>
    <definedName name="OSRRefP22_12x_0" localSheetId="86">'444'!$P$70:$P$73</definedName>
    <definedName name="OSRRefP22_12x_0" localSheetId="87">'450'!$P$71:$P$74</definedName>
    <definedName name="OSRRefP22_12x_0" localSheetId="71">'491'!$P$70:$P$72</definedName>
    <definedName name="OSRRefP22_12x_0" localSheetId="83">'492'!$P$69:$P$71</definedName>
    <definedName name="OSRRefP22_12x_0" localSheetId="89">'501'!$P$68</definedName>
    <definedName name="OSRRefP22_12x_0" localSheetId="39">'Div 2'!$P$64:$P$67</definedName>
    <definedName name="OSRRefP22_12x_0" localSheetId="47">'Div 3'!$P$104</definedName>
    <definedName name="OSRRefP22_12x_0" localSheetId="69">'Div 4'!$P$72</definedName>
    <definedName name="OSRRefP22_12x_0" localSheetId="88">'Div 5'!$P$68</definedName>
    <definedName name="OSRRefP22_12x_0" localSheetId="2">Summary!$P$112</definedName>
    <definedName name="OSRRefP22_13x_0" localSheetId="41">'201'!$P$67</definedName>
    <definedName name="OSRRefP22_13x_0" localSheetId="43">'203'!$P$70</definedName>
    <definedName name="OSRRefP22_13x_0" localSheetId="48">'300'!$P$102</definedName>
    <definedName name="OSRRefP22_13x_0" localSheetId="49">'300 &amp; 317'!$P$108</definedName>
    <definedName name="OSRRefP22_13x_0" localSheetId="50">'301'!$P$67</definedName>
    <definedName name="OSRRefP22_13x_0" localSheetId="64">'310'!$P$75:$P$79</definedName>
    <definedName name="OSRRefP22_13x_0" localSheetId="70">'310 &amp; 491'!$P$75:$P$76</definedName>
    <definedName name="OSRRefP22_13x_0" localSheetId="57">'315'!$P$91:$P$92</definedName>
    <definedName name="OSRRefP22_13x_0" localSheetId="67">'325'!$P$77:$P$78</definedName>
    <definedName name="OSRRefP22_13x_0" localSheetId="58">'326'!$P$74:$P$75</definedName>
    <definedName name="OSRRefP22_13x_0" localSheetId="56">'331'!$P$89:$P$90</definedName>
    <definedName name="OSRRefP22_13x_0" localSheetId="72">'405'!$P$82</definedName>
    <definedName name="OSRRefP22_13x_0" localSheetId="74">'411'!$P$68</definedName>
    <definedName name="OSRRefP22_13x_0" localSheetId="78">'415'!$P$75:$P$80</definedName>
    <definedName name="OSRRefP22_13x_0" localSheetId="79">'418'!$P$80</definedName>
    <definedName name="OSRRefP22_13x_0" localSheetId="85">'433'!$P$76:$P$83</definedName>
    <definedName name="OSRRefP22_13x_0" localSheetId="86">'444'!$P$75</definedName>
    <definedName name="OSRRefP22_13x_0" localSheetId="87">'450'!$P$76:$P$82</definedName>
    <definedName name="OSRRefP22_13x_0" localSheetId="71">'491'!$P$74</definedName>
    <definedName name="OSRRefP22_13x_0" localSheetId="83">'492'!$P$73:$P$76</definedName>
    <definedName name="OSRRefP22_13x_0" localSheetId="89">'501'!$P$70</definedName>
    <definedName name="OSRRefP22_13x_0" localSheetId="39">'Div 2'!$P$69:$P$72</definedName>
    <definedName name="OSRRefP22_13x_0" localSheetId="47">'Div 3'!$P$106</definedName>
    <definedName name="OSRRefP22_13x_0" localSheetId="69">'Div 4'!$P$74</definedName>
    <definedName name="OSRRefP22_13x_0" localSheetId="88">'Div 5'!$P$70</definedName>
    <definedName name="OSRRefP22_13x_0" localSheetId="2">Summary!$P$114</definedName>
    <definedName name="OSRRefP22_14x_0" localSheetId="43">'203'!$P$72</definedName>
    <definedName name="OSRRefP22_14x_0" localSheetId="48">'300'!$P$104</definedName>
    <definedName name="OSRRefP22_14x_0" localSheetId="49">'300 &amp; 317'!$P$110</definedName>
    <definedName name="OSRRefP22_14x_0" localSheetId="50">'301'!$P$69</definedName>
    <definedName name="OSRRefP22_14x_0" localSheetId="64">'310'!$P$81:$P$82</definedName>
    <definedName name="OSRRefP22_14x_0" localSheetId="70">'310 &amp; 491'!$P$78:$P$82</definedName>
    <definedName name="OSRRefP22_14x_0" localSheetId="57">'315'!$P$94:$P$96</definedName>
    <definedName name="OSRRefP22_14x_0" localSheetId="67">'325'!$P$80</definedName>
    <definedName name="OSRRefP22_14x_0" localSheetId="58">'326'!$P$77:$P$79</definedName>
    <definedName name="OSRRefP22_14x_0" localSheetId="56">'331'!$P$92:$P$94</definedName>
    <definedName name="OSRRefP22_14x_0" localSheetId="72">'405'!$P$84</definedName>
    <definedName name="OSRRefP22_14x_0" localSheetId="74">'411'!$P$70</definedName>
    <definedName name="OSRRefP22_14x_0" localSheetId="78">'415'!$P$82:$P$83</definedName>
    <definedName name="OSRRefP22_14x_0" localSheetId="79">'418'!$P$82</definedName>
    <definedName name="OSRRefP22_14x_0" localSheetId="85">'433'!$P$85</definedName>
    <definedName name="OSRRefP22_14x_0" localSheetId="86">'444'!$P$77:$P$83</definedName>
    <definedName name="OSRRefP22_14x_0" localSheetId="87">'450'!$P$84</definedName>
    <definedName name="OSRRefP22_14x_0" localSheetId="71">'491'!$P$76:$P$80</definedName>
    <definedName name="OSRRefP22_14x_0" localSheetId="83">'492'!$P$78</definedName>
    <definedName name="OSRRefP22_14x_0" localSheetId="39">'Div 2'!$P$74:$P$75</definedName>
    <definedName name="OSRRefP22_14x_0" localSheetId="47">'Div 3'!$P$108</definedName>
    <definedName name="OSRRefP22_14x_0" localSheetId="69">'Div 4'!$P$76:$P$78</definedName>
    <definedName name="OSRRefP22_14x_0" localSheetId="2">Summary!$P$116</definedName>
    <definedName name="OSRRefP22_15x_0" localSheetId="48">'300'!$P$106</definedName>
    <definedName name="OSRRefP22_15x_0" localSheetId="49">'300 &amp; 317'!$P$112</definedName>
    <definedName name="OSRRefP22_15x_0" localSheetId="50">'301'!$P$71:$P$74</definedName>
    <definedName name="OSRRefP22_15x_0" localSheetId="64">'310'!$P$84</definedName>
    <definedName name="OSRRefP22_15x_0" localSheetId="70">'310 &amp; 491'!$P$84</definedName>
    <definedName name="OSRRefP22_15x_0" localSheetId="57">'315'!$P$98</definedName>
    <definedName name="OSRRefP22_15x_0" localSheetId="58">'326'!$P$81</definedName>
    <definedName name="OSRRefP22_15x_0" localSheetId="56">'331'!$P$96:$P$97</definedName>
    <definedName name="OSRRefP22_15x_0" localSheetId="72">'405'!$P$86</definedName>
    <definedName name="OSRRefP22_15x_0" localSheetId="78">'415'!$P$85</definedName>
    <definedName name="OSRRefP22_15x_0" localSheetId="86">'444'!$P$85</definedName>
    <definedName name="OSRRefP22_15x_0" localSheetId="87">'450'!$P$86</definedName>
    <definedName name="OSRRefP22_15x_0" localSheetId="71">'491'!$P$82</definedName>
    <definedName name="OSRRefP22_15x_0" localSheetId="83">'492'!$P$80:$P$87</definedName>
    <definedName name="OSRRefP22_15x_0" localSheetId="39">'Div 2'!$P$77</definedName>
    <definedName name="OSRRefP22_15x_0" localSheetId="47">'Div 3'!$P$110</definedName>
    <definedName name="OSRRefP22_15x_0" localSheetId="69">'Div 4'!$P$80</definedName>
    <definedName name="OSRRefP22_15x_0" localSheetId="2">Summary!$P$118</definedName>
    <definedName name="OSRRefP22_16x_0" localSheetId="48">'300'!$P$108:$P$111</definedName>
    <definedName name="OSRRefP22_16x_0" localSheetId="49">'300 &amp; 317'!$P$114:$P$117</definedName>
    <definedName name="OSRRefP22_16x_0" localSheetId="50">'301'!$P$76:$P$77</definedName>
    <definedName name="OSRRefP22_16x_0" localSheetId="64">'310'!$P$86</definedName>
    <definedName name="OSRRefP22_16x_0" localSheetId="70">'310 &amp; 491'!$P$86:$P$95</definedName>
    <definedName name="OSRRefP22_16x_0" localSheetId="57">'315'!$P$100</definedName>
    <definedName name="OSRRefP22_16x_0" localSheetId="58">'326'!$P$83:$P$84</definedName>
    <definedName name="OSRRefP22_16x_0" localSheetId="56">'331'!$P$99:$P$100</definedName>
    <definedName name="OSRRefP22_16x_0" localSheetId="78">'415'!$P$87</definedName>
    <definedName name="OSRRefP22_16x_0" localSheetId="86">'444'!$P$87</definedName>
    <definedName name="OSRRefP22_16x_0" localSheetId="87">'450'!$P$88</definedName>
    <definedName name="OSRRefP22_16x_0" localSheetId="71">'491'!$P$84:$P$92</definedName>
    <definedName name="OSRRefP22_16x_0" localSheetId="83">'492'!$P$89:$P$90</definedName>
    <definedName name="OSRRefP22_16x_0" localSheetId="39">'Div 2'!$P$79:$P$84</definedName>
    <definedName name="OSRRefP22_16x_0" localSheetId="47">'Div 3'!$P$112</definedName>
    <definedName name="OSRRefP22_16x_0" localSheetId="69">'Div 4'!$P$82:$P$86</definedName>
    <definedName name="OSRRefP22_16x_0" localSheetId="2">Summary!$P$120</definedName>
    <definedName name="OSRRefP22_17x_0" localSheetId="48">'300'!$P$113:$P$116</definedName>
    <definedName name="OSRRefP22_17x_0" localSheetId="49">'300 &amp; 317'!$P$119:$P$122</definedName>
    <definedName name="OSRRefP22_17x_0" localSheetId="50">'301'!$P$79</definedName>
    <definedName name="OSRRefP22_17x_0" localSheetId="70">'310 &amp; 491'!$P$97:$P$98</definedName>
    <definedName name="OSRRefP22_17x_0" localSheetId="58">'326'!$P$86</definedName>
    <definedName name="OSRRefP22_17x_0" localSheetId="56">'331'!$P$102:$P$105</definedName>
    <definedName name="OSRRefP22_17x_0" localSheetId="71">'491'!$P$94:$P$95</definedName>
    <definedName name="OSRRefP22_17x_0" localSheetId="83">'492'!$P$92</definedName>
    <definedName name="OSRRefP22_17x_0" localSheetId="39">'Div 2'!$P$86:$P$87</definedName>
    <definedName name="OSRRefP22_17x_0" localSheetId="47">'Div 3'!$P$114:$P$117</definedName>
    <definedName name="OSRRefP22_17x_0" localSheetId="69">'Div 4'!$P$88:$P$89</definedName>
    <definedName name="OSRRefP22_17x_0" localSheetId="2">Summary!$P$122</definedName>
    <definedName name="OSRRefP22_18x_0" localSheetId="48">'300'!$P$118:$P$120</definedName>
    <definedName name="OSRRefP22_18x_0" localSheetId="49">'300 &amp; 317'!$P$124:$P$126</definedName>
    <definedName name="OSRRefP22_18x_0" localSheetId="50">'301'!$P$81:$P$86</definedName>
    <definedName name="OSRRefP22_18x_0" localSheetId="70">'310 &amp; 491'!$P$100</definedName>
    <definedName name="OSRRefP22_18x_0" localSheetId="56">'331'!$P$107</definedName>
    <definedName name="OSRRefP22_18x_0" localSheetId="71">'491'!$P$97</definedName>
    <definedName name="OSRRefP22_18x_0" localSheetId="83">'492'!$P$94:$P$95</definedName>
    <definedName name="OSRRefP22_18x_0" localSheetId="39">'Div 2'!$P$89</definedName>
    <definedName name="OSRRefP22_18x_0" localSheetId="47">'Div 3'!$P$119:$P$122</definedName>
    <definedName name="OSRRefP22_18x_0" localSheetId="69">'Div 4'!$P$91:$P$100</definedName>
    <definedName name="OSRRefP22_18x_0" localSheetId="2">Summary!$P$124:$P$127</definedName>
    <definedName name="OSRRefP22_19x_0" localSheetId="48">'300'!$P$122:$P$123</definedName>
    <definedName name="OSRRefP22_19x_0" localSheetId="49">'300 &amp; 317'!$P$128:$P$129</definedName>
    <definedName name="OSRRefP22_19x_0" localSheetId="50">'301'!$P$88</definedName>
    <definedName name="OSRRefP22_19x_0" localSheetId="70">'310 &amp; 491'!$P$102</definedName>
    <definedName name="OSRRefP22_19x_0" localSheetId="56">'331'!$P$109:$P$110</definedName>
    <definedName name="OSRRefP22_19x_0" localSheetId="71">'491'!$P$99</definedName>
    <definedName name="OSRRefP22_19x_0" localSheetId="39">'Div 2'!$P$91:$P$92</definedName>
    <definedName name="OSRRefP22_19x_0" localSheetId="47">'Div 3'!$P$124:$P$127</definedName>
    <definedName name="OSRRefP22_19x_0" localSheetId="69">'Div 4'!$P$102:$P$103</definedName>
    <definedName name="OSRRefP22_19x_0" localSheetId="2">Summary!$P$129:$P$132</definedName>
    <definedName name="OSRRefP22_1x_0" localSheetId="40">'200'!$P$22</definedName>
    <definedName name="OSRRefP22_1x_0" localSheetId="41">'201'!$P$30:$P$39</definedName>
    <definedName name="OSRRefP22_1x_0" localSheetId="42">'202'!$P$30:$P$39</definedName>
    <definedName name="OSRRefP22_1x_0" localSheetId="43">'203'!$P$31:$P$40</definedName>
    <definedName name="OSRRefP22_1x_0" localSheetId="44">'204'!$P$30:$P$39</definedName>
    <definedName name="OSRRefP22_1x_0" localSheetId="45">'205'!$P$30:$P$39</definedName>
    <definedName name="OSRRefP22_1x_0" localSheetId="46">'206'!$P$30:$P$39</definedName>
    <definedName name="OSRRefP22_1x_0" localSheetId="48">'300'!$P$65:$P$74</definedName>
    <definedName name="OSRRefP22_1x_0" localSheetId="49">'300 &amp; 317'!$P$71:$P$80</definedName>
    <definedName name="OSRRefP22_1x_0" localSheetId="50">'301'!$P$32:$P$41</definedName>
    <definedName name="OSRRefP22_1x_0" localSheetId="52">'307'!$P$43:$P$52</definedName>
    <definedName name="OSRRefP22_1x_0" localSheetId="53">'308'!$P$46:$P$55</definedName>
    <definedName name="OSRRefP22_1x_0" localSheetId="65">'309'!$P$22</definedName>
    <definedName name="OSRRefP22_1x_0" localSheetId="64">'310'!$P$37:$P$46</definedName>
    <definedName name="OSRRefP22_1x_0" localSheetId="70">'310 &amp; 491'!$P$39:$P$48</definedName>
    <definedName name="OSRRefP22_1x_0" localSheetId="54">'311'!$P$46:$P$55</definedName>
    <definedName name="OSRRefP22_1x_0" localSheetId="57">'315'!$P$54:$P$63</definedName>
    <definedName name="OSRRefP22_1x_0" localSheetId="60">'316'!$P$37:$P$46</definedName>
    <definedName name="OSRRefP22_1x_0" localSheetId="62">'317'!$P$46:$P$55</definedName>
    <definedName name="OSRRefP22_1x_0" localSheetId="66">'321'!$P$34:$P$43</definedName>
    <definedName name="OSRRefP22_1x_0" localSheetId="67">'325'!$P$35:$P$44</definedName>
    <definedName name="OSRRefP22_1x_0" localSheetId="58">'326'!$P$38:$P$47</definedName>
    <definedName name="OSRRefP22_1x_0" localSheetId="51">'330'!$P$43:$P$52</definedName>
    <definedName name="OSRRefP22_1x_0" localSheetId="56">'331'!$P$54:$P$63</definedName>
    <definedName name="OSRRefP22_1x_0" localSheetId="59">'332'!$P$37:$P$46</definedName>
    <definedName name="OSRRefP22_1x_0" localSheetId="72">'405'!$P$37:$P$46</definedName>
    <definedName name="OSRRefP22_1x_0" localSheetId="73">'406'!$P$22</definedName>
    <definedName name="OSRRefP22_1x_0" localSheetId="74">'411'!$P$30:$P$39</definedName>
    <definedName name="OSRRefP22_1x_0" localSheetId="75">'412'!$P$22</definedName>
    <definedName name="OSRRefP22_1x_0" localSheetId="76">'413'!$P$22</definedName>
    <definedName name="OSRRefP22_1x_0" localSheetId="77">'414'!$P$22</definedName>
    <definedName name="OSRRefP22_1x_0" localSheetId="78">'415'!$P$37:$P$46</definedName>
    <definedName name="OSRRefP22_1x_0" localSheetId="79">'418'!$P$34:$P$43</definedName>
    <definedName name="OSRRefP22_1x_0" localSheetId="80">'423'!$P$29:$P$38</definedName>
    <definedName name="OSRRefP22_1x_0" localSheetId="81">'424'!$P$22</definedName>
    <definedName name="OSRRefP22_1x_0" localSheetId="82">'425'!$P$24</definedName>
    <definedName name="OSRRefP22_1x_0" localSheetId="84">'430'!$P$30:$P$39</definedName>
    <definedName name="OSRRefP22_1x_0" localSheetId="85">'433'!$P$38:$P$47</definedName>
    <definedName name="OSRRefP22_1x_0" localSheetId="86">'444'!$P$38:$P$47</definedName>
    <definedName name="OSRRefP22_1x_0" localSheetId="87">'450'!$P$38:$P$47</definedName>
    <definedName name="OSRRefP22_1x_0" localSheetId="71">'491'!$P$38:$P$47</definedName>
    <definedName name="OSRRefP22_1x_0" localSheetId="83">'492'!$P$38:$P$47</definedName>
    <definedName name="OSRRefP22_1x_0" localSheetId="89">'501'!$P$32:$P$41</definedName>
    <definedName name="OSRRefP22_1x_0" localSheetId="39">'Div 2'!$P$32:$P$41</definedName>
    <definedName name="OSRRefP22_1x_0" localSheetId="47">'Div 3'!$P$69:$P$78</definedName>
    <definedName name="OSRRefP22_1x_0" localSheetId="69">'Div 4'!$P$40:$P$49</definedName>
    <definedName name="OSRRefP22_1x_0" localSheetId="88">'Div 5'!$P$32:$P$41</definedName>
    <definedName name="OSRRefP22_1x_0" localSheetId="61">'Div 6'!$P$46:$P$55</definedName>
    <definedName name="OSRRefP22_1x_0" localSheetId="2">Summary!$P$77:$P$86</definedName>
    <definedName name="OSRRefP22_20x_0" localSheetId="48">'300'!$P$125:$P$131</definedName>
    <definedName name="OSRRefP22_20x_0" localSheetId="49">'300 &amp; 317'!$P$131:$P$137</definedName>
    <definedName name="OSRRefP22_20x_0" localSheetId="50">'301'!$P$90</definedName>
    <definedName name="OSRRefP22_20x_0" localSheetId="70">'310 &amp; 491'!$P$104</definedName>
    <definedName name="OSRRefP22_20x_0" localSheetId="56">'331'!$P$112</definedName>
    <definedName name="OSRRefP22_20x_0" localSheetId="71">'491'!$P$101</definedName>
    <definedName name="OSRRefP22_20x_0" localSheetId="47">'Div 3'!$P$129:$P$130</definedName>
    <definedName name="OSRRefP22_20x_0" localSheetId="69">'Div 4'!$P$105</definedName>
    <definedName name="OSRRefP22_20x_0" localSheetId="2">Summary!$P$134:$P$138</definedName>
    <definedName name="OSRRefP22_21x_0" localSheetId="48">'300'!$P$133:$P$134</definedName>
    <definedName name="OSRRefP22_21x_0" localSheetId="49">'300 &amp; 317'!$P$139:$P$140</definedName>
    <definedName name="OSRRefP22_21x_0" localSheetId="50">'301'!$P$92:$P$93</definedName>
    <definedName name="OSRRefP22_21x_0" localSheetId="47">'Div 3'!$P$132:$P$138</definedName>
    <definedName name="OSRRefP22_21x_0" localSheetId="69">'Div 4'!$P$107:$P$108</definedName>
    <definedName name="OSRRefP22_21x_0" localSheetId="2">Summary!$P$140:$P$141</definedName>
    <definedName name="OSRRefP22_22x_0" localSheetId="48">'300'!$P$136</definedName>
    <definedName name="OSRRefP22_22x_0" localSheetId="49">'300 &amp; 317'!$P$142</definedName>
    <definedName name="OSRRefP22_22x_0" localSheetId="50">'301'!$P$95</definedName>
    <definedName name="OSRRefP22_22x_0" localSheetId="47">'Div 3'!$P$140:$P$141</definedName>
    <definedName name="OSRRefP22_22x_0" localSheetId="69">'Div 4'!$P$110</definedName>
    <definedName name="OSRRefP22_22x_0" localSheetId="2">Summary!$P$143:$P$152</definedName>
    <definedName name="OSRRefP22_23x_0" localSheetId="48">'300'!$P$138:$P$140</definedName>
    <definedName name="OSRRefP22_23x_0" localSheetId="49">'300 &amp; 317'!$P$144:$P$146</definedName>
    <definedName name="OSRRefP22_23x_0" localSheetId="47">'Div 3'!$P$143</definedName>
    <definedName name="OSRRefP22_23x_0" localSheetId="2">Summary!$P$154:$P$155</definedName>
    <definedName name="OSRRefP22_24x_0" localSheetId="48">'300'!$P$142</definedName>
    <definedName name="OSRRefP22_24x_0" localSheetId="49">'300 &amp; 317'!$P$148</definedName>
    <definedName name="OSRRefP22_24x_0" localSheetId="47">'Div 3'!$P$145:$P$147</definedName>
    <definedName name="OSRRefP22_24x_0" localSheetId="2">Summary!$P$157</definedName>
    <definedName name="OSRRefP22_25x_0" localSheetId="47">'Div 3'!$P$149</definedName>
    <definedName name="OSRRefP22_25x_0" localSheetId="2">Summary!$P$159:$P$161</definedName>
    <definedName name="OSRRefP22_26x_0" localSheetId="2">Summary!$P$163</definedName>
    <definedName name="OSRRefP22_2x_0" localSheetId="40">'200'!$P$24</definedName>
    <definedName name="OSRRefP22_2x_0" localSheetId="41">'201'!$P$41</definedName>
    <definedName name="OSRRefP22_2x_0" localSheetId="42">'202'!$P$41</definedName>
    <definedName name="OSRRefP22_2x_0" localSheetId="43">'203'!$P$42</definedName>
    <definedName name="OSRRefP22_2x_0" localSheetId="44">'204'!$P$41</definedName>
    <definedName name="OSRRefP22_2x_0" localSheetId="45">'205'!$P$41</definedName>
    <definedName name="OSRRefP22_2x_0" localSheetId="46">'206'!$P$41</definedName>
    <definedName name="OSRRefP22_2x_0" localSheetId="48">'300'!$P$76</definedName>
    <definedName name="OSRRefP22_2x_0" localSheetId="49">'300 &amp; 317'!$P$82</definedName>
    <definedName name="OSRRefP22_2x_0" localSheetId="50">'301'!$P$43</definedName>
    <definedName name="OSRRefP22_2x_0" localSheetId="52">'307'!$P$54</definedName>
    <definedName name="OSRRefP22_2x_0" localSheetId="53">'308'!$P$57</definedName>
    <definedName name="OSRRefP22_2x_0" localSheetId="65">'309'!$P$24</definedName>
    <definedName name="OSRRefP22_2x_0" localSheetId="64">'310'!$P$48</definedName>
    <definedName name="OSRRefP22_2x_0" localSheetId="70">'310 &amp; 491'!$P$50</definedName>
    <definedName name="OSRRefP22_2x_0" localSheetId="54">'311'!$P$57</definedName>
    <definedName name="OSRRefP22_2x_0" localSheetId="57">'315'!$P$65</definedName>
    <definedName name="OSRRefP22_2x_0" localSheetId="60">'316'!$P$48</definedName>
    <definedName name="OSRRefP22_2x_0" localSheetId="62">'317'!$P$57</definedName>
    <definedName name="OSRRefP22_2x_0" localSheetId="66">'321'!$P$45</definedName>
    <definedName name="OSRRefP22_2x_0" localSheetId="67">'325'!$P$46</definedName>
    <definedName name="OSRRefP22_2x_0" localSheetId="58">'326'!$P$49</definedName>
    <definedName name="OSRRefP22_2x_0" localSheetId="51">'330'!$P$54</definedName>
    <definedName name="OSRRefP22_2x_0" localSheetId="56">'331'!$P$65</definedName>
    <definedName name="OSRRefP22_2x_0" localSheetId="59">'332'!$P$48</definedName>
    <definedName name="OSRRefP22_2x_0" localSheetId="72">'405'!$P$48</definedName>
    <definedName name="OSRRefP22_2x_0" localSheetId="74">'411'!$P$41</definedName>
    <definedName name="OSRRefP22_2x_0" localSheetId="75">'412'!$P$24</definedName>
    <definedName name="OSRRefP22_2x_0" localSheetId="76">'413'!$P$24</definedName>
    <definedName name="OSRRefP22_2x_0" localSheetId="77">'414'!$P$24</definedName>
    <definedName name="OSRRefP22_2x_0" localSheetId="78">'415'!$P$48</definedName>
    <definedName name="OSRRefP22_2x_0" localSheetId="79">'418'!$P$45</definedName>
    <definedName name="OSRRefP22_2x_0" localSheetId="80">'423'!$P$40</definedName>
    <definedName name="OSRRefP22_2x_0" localSheetId="82">'425'!$P$26</definedName>
    <definedName name="OSRRefP22_2x_0" localSheetId="84">'430'!$P$41</definedName>
    <definedName name="OSRRefP22_2x_0" localSheetId="85">'433'!$P$49</definedName>
    <definedName name="OSRRefP22_2x_0" localSheetId="86">'444'!$P$49</definedName>
    <definedName name="OSRRefP22_2x_0" localSheetId="87">'450'!$P$49</definedName>
    <definedName name="OSRRefP22_2x_0" localSheetId="71">'491'!$P$49</definedName>
    <definedName name="OSRRefP22_2x_0" localSheetId="83">'492'!$P$49</definedName>
    <definedName name="OSRRefP22_2x_0" localSheetId="89">'501'!$P$43</definedName>
    <definedName name="OSRRefP22_2x_0" localSheetId="39">'Div 2'!$P$43</definedName>
    <definedName name="OSRRefP22_2x_0" localSheetId="47">'Div 3'!$P$80</definedName>
    <definedName name="OSRRefP22_2x_0" localSheetId="69">'Div 4'!$P$51</definedName>
    <definedName name="OSRRefP22_2x_0" localSheetId="88">'Div 5'!$P$43</definedName>
    <definedName name="OSRRefP22_2x_0" localSheetId="61">'Div 6'!$P$57</definedName>
    <definedName name="OSRRefP22_2x_0" localSheetId="2">Summary!$P$88</definedName>
    <definedName name="OSRRefP22_3x_0" localSheetId="40">'200'!$P$26:$P$27</definedName>
    <definedName name="OSRRefP22_3x_0" localSheetId="41">'201'!$P$43</definedName>
    <definedName name="OSRRefP22_3x_0" localSheetId="42">'202'!$P$43</definedName>
    <definedName name="OSRRefP22_3x_0" localSheetId="43">'203'!$P$44</definedName>
    <definedName name="OSRRefP22_3x_0" localSheetId="44">'204'!$P$43:$P$44</definedName>
    <definedName name="OSRRefP22_3x_0" localSheetId="45">'205'!$P$43</definedName>
    <definedName name="OSRRefP22_3x_0" localSheetId="46">'206'!$P$43</definedName>
    <definedName name="OSRRefP22_3x_0" localSheetId="48">'300'!$P$78</definedName>
    <definedName name="OSRRefP22_3x_0" localSheetId="49">'300 &amp; 317'!$P$84</definedName>
    <definedName name="OSRRefP22_3x_0" localSheetId="50">'301'!$P$45</definedName>
    <definedName name="OSRRefP22_3x_0" localSheetId="52">'307'!$P$56</definedName>
    <definedName name="OSRRefP22_3x_0" localSheetId="53">'308'!$P$59</definedName>
    <definedName name="OSRRefP22_3x_0" localSheetId="65">'309'!$P$26:$P$27</definedName>
    <definedName name="OSRRefP22_3x_0" localSheetId="64">'310'!$P$50</definedName>
    <definedName name="OSRRefP22_3x_0" localSheetId="70">'310 &amp; 491'!$P$52</definedName>
    <definedName name="OSRRefP22_3x_0" localSheetId="54">'311'!$P$59</definedName>
    <definedName name="OSRRefP22_3x_0" localSheetId="57">'315'!$P$67</definedName>
    <definedName name="OSRRefP22_3x_0" localSheetId="60">'316'!$P$50</definedName>
    <definedName name="OSRRefP22_3x_0" localSheetId="62">'317'!$P$59</definedName>
    <definedName name="OSRRefP22_3x_0" localSheetId="66">'321'!$P$47</definedName>
    <definedName name="OSRRefP22_3x_0" localSheetId="67">'325'!$P$48</definedName>
    <definedName name="OSRRefP22_3x_0" localSheetId="58">'326'!$P$51</definedName>
    <definedName name="OSRRefP22_3x_0" localSheetId="51">'330'!$P$56</definedName>
    <definedName name="OSRRefP22_3x_0" localSheetId="56">'331'!$P$67</definedName>
    <definedName name="OSRRefP22_3x_0" localSheetId="59">'332'!$P$50</definedName>
    <definedName name="OSRRefP22_3x_0" localSheetId="72">'405'!$P$50</definedName>
    <definedName name="OSRRefP22_3x_0" localSheetId="74">'411'!$P$43:$P$44</definedName>
    <definedName name="OSRRefP22_3x_0" localSheetId="75">'412'!$P$26</definedName>
    <definedName name="OSRRefP22_3x_0" localSheetId="78">'415'!$P$50</definedName>
    <definedName name="OSRRefP22_3x_0" localSheetId="79">'418'!$P$47</definedName>
    <definedName name="OSRRefP22_3x_0" localSheetId="80">'423'!$P$42</definedName>
    <definedName name="OSRRefP22_3x_0" localSheetId="82">'425'!$P$28</definedName>
    <definedName name="OSRRefP22_3x_0" localSheetId="84">'430'!$P$43</definedName>
    <definedName name="OSRRefP22_3x_0" localSheetId="85">'433'!$P$51</definedName>
    <definedName name="OSRRefP22_3x_0" localSheetId="86">'444'!$P$51</definedName>
    <definedName name="OSRRefP22_3x_0" localSheetId="87">'450'!$P$51</definedName>
    <definedName name="OSRRefP22_3x_0" localSheetId="71">'491'!$P$51</definedName>
    <definedName name="OSRRefP22_3x_0" localSheetId="83">'492'!$P$51</definedName>
    <definedName name="OSRRefP22_3x_0" localSheetId="89">'501'!$P$45</definedName>
    <definedName name="OSRRefP22_3x_0" localSheetId="39">'Div 2'!$P$45</definedName>
    <definedName name="OSRRefP22_3x_0" localSheetId="47">'Div 3'!$P$82</definedName>
    <definedName name="OSRRefP22_3x_0" localSheetId="69">'Div 4'!$P$53</definedName>
    <definedName name="OSRRefP22_3x_0" localSheetId="88">'Div 5'!$P$45</definedName>
    <definedName name="OSRRefP22_3x_0" localSheetId="61">'Div 6'!$P$59</definedName>
    <definedName name="OSRRefP22_3x_0" localSheetId="2">Summary!$P$90</definedName>
    <definedName name="OSRRefP22_4x_0" localSheetId="41">'201'!$P$45</definedName>
    <definedName name="OSRRefP22_4x_0" localSheetId="42">'202'!$P$45</definedName>
    <definedName name="OSRRefP22_4x_0" localSheetId="43">'203'!$P$46</definedName>
    <definedName name="OSRRefP22_4x_0" localSheetId="44">'204'!$P$46</definedName>
    <definedName name="OSRRefP22_4x_0" localSheetId="45">'205'!$P$45:$P$46</definedName>
    <definedName name="OSRRefP22_4x_0" localSheetId="46">'206'!$P$45:$P$46</definedName>
    <definedName name="OSRRefP22_4x_0" localSheetId="48">'300'!$P$80</definedName>
    <definedName name="OSRRefP22_4x_0" localSheetId="49">'300 &amp; 317'!$P$86</definedName>
    <definedName name="OSRRefP22_4x_0" localSheetId="50">'301'!$P$47</definedName>
    <definedName name="OSRRefP22_4x_0" localSheetId="52">'307'!$P$58</definedName>
    <definedName name="OSRRefP22_4x_0" localSheetId="53">'308'!$P$61</definedName>
    <definedName name="OSRRefP22_4x_0" localSheetId="65">'309'!$P$29</definedName>
    <definedName name="OSRRefP22_4x_0" localSheetId="64">'310'!$P$52</definedName>
    <definedName name="OSRRefP22_4x_0" localSheetId="70">'310 &amp; 491'!$P$54</definedName>
    <definedName name="OSRRefP22_4x_0" localSheetId="54">'311'!$P$61</definedName>
    <definedName name="OSRRefP22_4x_0" localSheetId="57">'315'!$P$69</definedName>
    <definedName name="OSRRefP22_4x_0" localSheetId="60">'316'!$P$52</definedName>
    <definedName name="OSRRefP22_4x_0" localSheetId="62">'317'!$P$61</definedName>
    <definedName name="OSRRefP22_4x_0" localSheetId="66">'321'!$P$49</definedName>
    <definedName name="OSRRefP22_4x_0" localSheetId="67">'325'!$P$50</definedName>
    <definedName name="OSRRefP22_4x_0" localSheetId="58">'326'!$P$53</definedName>
    <definedName name="OSRRefP22_4x_0" localSheetId="51">'330'!$P$58</definedName>
    <definedName name="OSRRefP22_4x_0" localSheetId="56">'331'!$P$69</definedName>
    <definedName name="OSRRefP22_4x_0" localSheetId="59">'332'!$P$52</definedName>
    <definedName name="OSRRefP22_4x_0" localSheetId="72">'405'!$P$52</definedName>
    <definedName name="OSRRefP22_4x_0" localSheetId="74">'411'!$P$46</definedName>
    <definedName name="OSRRefP22_4x_0" localSheetId="78">'415'!$P$52</definedName>
    <definedName name="OSRRefP22_4x_0" localSheetId="79">'418'!$P$49:$P$50</definedName>
    <definedName name="OSRRefP22_4x_0" localSheetId="80">'423'!$P$44</definedName>
    <definedName name="OSRRefP22_4x_0" localSheetId="82">'425'!$P$30</definedName>
    <definedName name="OSRRefP22_4x_0" localSheetId="84">'430'!$P$45</definedName>
    <definedName name="OSRRefP22_4x_0" localSheetId="85">'433'!$P$53</definedName>
    <definedName name="OSRRefP22_4x_0" localSheetId="86">'444'!$P$53</definedName>
    <definedName name="OSRRefP22_4x_0" localSheetId="87">'450'!$P$53</definedName>
    <definedName name="OSRRefP22_4x_0" localSheetId="71">'491'!$P$53</definedName>
    <definedName name="OSRRefP22_4x_0" localSheetId="83">'492'!$P$53</definedName>
    <definedName name="OSRRefP22_4x_0" localSheetId="89">'501'!$P$47</definedName>
    <definedName name="OSRRefP22_4x_0" localSheetId="39">'Div 2'!$P$47</definedName>
    <definedName name="OSRRefP22_4x_0" localSheetId="47">'Div 3'!$P$84</definedName>
    <definedName name="OSRRefP22_4x_0" localSheetId="69">'Div 4'!$P$55</definedName>
    <definedName name="OSRRefP22_4x_0" localSheetId="88">'Div 5'!$P$47</definedName>
    <definedName name="OSRRefP22_4x_0" localSheetId="61">'Div 6'!$P$61</definedName>
    <definedName name="OSRRefP22_4x_0" localSheetId="2">Summary!$P$92</definedName>
    <definedName name="OSRRefP22_5x_0" localSheetId="41">'201'!$P$47</definedName>
    <definedName name="OSRRefP22_5x_0" localSheetId="42">'202'!$P$47</definedName>
    <definedName name="OSRRefP22_5x_0" localSheetId="43">'203'!$P$48</definedName>
    <definedName name="OSRRefP22_5x_0" localSheetId="44">'204'!$P$48:$P$51</definedName>
    <definedName name="OSRRefP22_5x_0" localSheetId="45">'205'!$P$48</definedName>
    <definedName name="OSRRefP22_5x_0" localSheetId="46">'206'!$P$48</definedName>
    <definedName name="OSRRefP22_5x_0" localSheetId="48">'300'!$P$82:$P$83</definedName>
    <definedName name="OSRRefP22_5x_0" localSheetId="49">'300 &amp; 317'!$P$88:$P$89</definedName>
    <definedName name="OSRRefP22_5x_0" localSheetId="50">'301'!$P$49:$P$50</definedName>
    <definedName name="OSRRefP22_5x_0" localSheetId="52">'307'!$P$60:$P$61</definedName>
    <definedName name="OSRRefP22_5x_0" localSheetId="53">'308'!$P$63</definedName>
    <definedName name="OSRRefP22_5x_0" localSheetId="64">'310'!$P$54:$P$55</definedName>
    <definedName name="OSRRefP22_5x_0" localSheetId="70">'310 &amp; 491'!$P$56:$P$57</definedName>
    <definedName name="OSRRefP22_5x_0" localSheetId="54">'311'!$P$63</definedName>
    <definedName name="OSRRefP22_5x_0" localSheetId="57">'315'!$P$71</definedName>
    <definedName name="OSRRefP22_5x_0" localSheetId="60">'316'!$P$54:$P$55</definedName>
    <definedName name="OSRRefP22_5x_0" localSheetId="62">'317'!$P$63</definedName>
    <definedName name="OSRRefP22_5x_0" localSheetId="66">'321'!$P$51</definedName>
    <definedName name="OSRRefP22_5x_0" localSheetId="67">'325'!$P$52:$P$53</definedName>
    <definedName name="OSRRefP22_5x_0" localSheetId="58">'326'!$P$55</definedName>
    <definedName name="OSRRefP22_5x_0" localSheetId="51">'330'!$P$60:$P$61</definedName>
    <definedName name="OSRRefP22_5x_0" localSheetId="56">'331'!$P$71</definedName>
    <definedName name="OSRRefP22_5x_0" localSheetId="59">'332'!$P$54:$P$55</definedName>
    <definedName name="OSRRefP22_5x_0" localSheetId="72">'405'!$P$54:$P$55</definedName>
    <definedName name="OSRRefP22_5x_0" localSheetId="74">'411'!$P$48</definedName>
    <definedName name="OSRRefP22_5x_0" localSheetId="78">'415'!$P$54:$P$55</definedName>
    <definedName name="OSRRefP22_5x_0" localSheetId="79">'418'!$P$52</definedName>
    <definedName name="OSRRefP22_5x_0" localSheetId="80">'423'!$P$46</definedName>
    <definedName name="OSRRefP22_5x_0" localSheetId="82">'425'!$P$32</definedName>
    <definedName name="OSRRefP22_5x_0" localSheetId="84">'430'!$P$47:$P$48</definedName>
    <definedName name="OSRRefP22_5x_0" localSheetId="85">'433'!$P$55</definedName>
    <definedName name="OSRRefP22_5x_0" localSheetId="86">'444'!$P$55</definedName>
    <definedName name="OSRRefP22_5x_0" localSheetId="87">'450'!$P$55</definedName>
    <definedName name="OSRRefP22_5x_0" localSheetId="71">'491'!$P$55:$P$56</definedName>
    <definedName name="OSRRefP22_5x_0" localSheetId="83">'492'!$P$55</definedName>
    <definedName name="OSRRefP22_5x_0" localSheetId="89">'501'!$P$49:$P$50</definedName>
    <definedName name="OSRRefP22_5x_0" localSheetId="39">'Div 2'!$P$49:$P$50</definedName>
    <definedName name="OSRRefP22_5x_0" localSheetId="47">'Div 3'!$P$86:$P$87</definedName>
    <definedName name="OSRRefP22_5x_0" localSheetId="69">'Div 4'!$P$57:$P$58</definedName>
    <definedName name="OSRRefP22_5x_0" localSheetId="88">'Div 5'!$P$49:$P$50</definedName>
    <definedName name="OSRRefP22_5x_0" localSheetId="61">'Div 6'!$P$63</definedName>
    <definedName name="OSRRefP22_5x_0" localSheetId="2">Summary!$P$94:$P$95</definedName>
    <definedName name="OSRRefP22_6x_0" localSheetId="41">'201'!$P$49</definedName>
    <definedName name="OSRRefP22_6x_0" localSheetId="42">'202'!$P$49:$P$51</definedName>
    <definedName name="OSRRefP22_6x_0" localSheetId="43">'203'!$P$50</definedName>
    <definedName name="OSRRefP22_6x_0" localSheetId="44">'204'!$P$53</definedName>
    <definedName name="OSRRefP22_6x_0" localSheetId="45">'205'!$P$50:$P$52</definedName>
    <definedName name="OSRRefP22_6x_0" localSheetId="46">'206'!$P$50:$P$51</definedName>
    <definedName name="OSRRefP22_6x_0" localSheetId="48">'300'!$P$85:$P$86</definedName>
    <definedName name="OSRRefP22_6x_0" localSheetId="49">'300 &amp; 317'!$P$91:$P$92</definedName>
    <definedName name="OSRRefP22_6x_0" localSheetId="50">'301'!$P$52:$P$53</definedName>
    <definedName name="OSRRefP22_6x_0" localSheetId="52">'307'!$P$63</definedName>
    <definedName name="OSRRefP22_6x_0" localSheetId="53">'308'!$P$65</definedName>
    <definedName name="OSRRefP22_6x_0" localSheetId="64">'310'!$P$57</definedName>
    <definedName name="OSRRefP22_6x_0" localSheetId="70">'310 &amp; 491'!$P$59</definedName>
    <definedName name="OSRRefP22_6x_0" localSheetId="54">'311'!$P$65</definedName>
    <definedName name="OSRRefP22_6x_0" localSheetId="57">'315'!$P$73</definedName>
    <definedName name="OSRRefP22_6x_0" localSheetId="60">'316'!$P$57</definedName>
    <definedName name="OSRRefP22_6x_0" localSheetId="62">'317'!$P$65</definedName>
    <definedName name="OSRRefP22_6x_0" localSheetId="66">'321'!$P$53:$P$54</definedName>
    <definedName name="OSRRefP22_6x_0" localSheetId="67">'325'!$P$55</definedName>
    <definedName name="OSRRefP22_6x_0" localSheetId="58">'326'!$P$57:$P$58</definedName>
    <definedName name="OSRRefP22_6x_0" localSheetId="51">'330'!$P$63</definedName>
    <definedName name="OSRRefP22_6x_0" localSheetId="56">'331'!$P$73</definedName>
    <definedName name="OSRRefP22_6x_0" localSheetId="59">'332'!$P$57</definedName>
    <definedName name="OSRRefP22_6x_0" localSheetId="72">'405'!$P$57</definedName>
    <definedName name="OSRRefP22_6x_0" localSheetId="74">'411'!$P$50</definedName>
    <definedName name="OSRRefP22_6x_0" localSheetId="78">'415'!$P$57</definedName>
    <definedName name="OSRRefP22_6x_0" localSheetId="79">'418'!$P$54</definedName>
    <definedName name="OSRRefP22_6x_0" localSheetId="84">'430'!$P$50:$P$51</definedName>
    <definedName name="OSRRefP22_6x_0" localSheetId="85">'433'!$P$57</definedName>
    <definedName name="OSRRefP22_6x_0" localSheetId="86">'444'!$P$57</definedName>
    <definedName name="OSRRefP22_6x_0" localSheetId="87">'450'!$P$57</definedName>
    <definedName name="OSRRefP22_6x_0" localSheetId="71">'491'!$P$58</definedName>
    <definedName name="OSRRefP22_6x_0" localSheetId="83">'492'!$P$57</definedName>
    <definedName name="OSRRefP22_6x_0" localSheetId="89">'501'!$P$52</definedName>
    <definedName name="OSRRefP22_6x_0" localSheetId="39">'Div 2'!$P$52</definedName>
    <definedName name="OSRRefP22_6x_0" localSheetId="47">'Div 3'!$P$89:$P$90</definedName>
    <definedName name="OSRRefP22_6x_0" localSheetId="69">'Div 4'!$P$60</definedName>
    <definedName name="OSRRefP22_6x_0" localSheetId="88">'Div 5'!$P$52</definedName>
    <definedName name="OSRRefP22_6x_0" localSheetId="61">'Div 6'!$P$65</definedName>
    <definedName name="OSRRefP22_6x_0" localSheetId="2">Summary!$P$97:$P$98</definedName>
    <definedName name="OSRRefP22_7x_0" localSheetId="41">'201'!$P$51</definedName>
    <definedName name="OSRRefP22_7x_0" localSheetId="42">'202'!$P$53</definedName>
    <definedName name="OSRRefP22_7x_0" localSheetId="43">'203'!$P$52</definedName>
    <definedName name="OSRRefP22_7x_0" localSheetId="44">'204'!$P$55:$P$56</definedName>
    <definedName name="OSRRefP22_7x_0" localSheetId="45">'205'!$P$54</definedName>
    <definedName name="OSRRefP22_7x_0" localSheetId="46">'206'!$P$53</definedName>
    <definedName name="OSRRefP22_7x_0" localSheetId="48">'300'!$P$88</definedName>
    <definedName name="OSRRefP22_7x_0" localSheetId="49">'300 &amp; 317'!$P$94</definedName>
    <definedName name="OSRRefP22_7x_0" localSheetId="50">'301'!$P$55</definedName>
    <definedName name="OSRRefP22_7x_0" localSheetId="52">'307'!$P$65</definedName>
    <definedName name="OSRRefP22_7x_0" localSheetId="53">'308'!$P$67</definedName>
    <definedName name="OSRRefP22_7x_0" localSheetId="64">'310'!$P$59</definedName>
    <definedName name="OSRRefP22_7x_0" localSheetId="70">'310 &amp; 491'!$P$61</definedName>
    <definedName name="OSRRefP22_7x_0" localSheetId="54">'311'!$P$67</definedName>
    <definedName name="OSRRefP22_7x_0" localSheetId="57">'315'!$P$75:$P$76</definedName>
    <definedName name="OSRRefP22_7x_0" localSheetId="60">'316'!$P$59:$P$61</definedName>
    <definedName name="OSRRefP22_7x_0" localSheetId="62">'317'!$P$67</definedName>
    <definedName name="OSRRefP22_7x_0" localSheetId="66">'321'!$P$56</definedName>
    <definedName name="OSRRefP22_7x_0" localSheetId="67">'325'!$P$57</definedName>
    <definedName name="OSRRefP22_7x_0" localSheetId="58">'326'!$P$60</definedName>
    <definedName name="OSRRefP22_7x_0" localSheetId="51">'330'!$P$65</definedName>
    <definedName name="OSRRefP22_7x_0" localSheetId="56">'331'!$P$75:$P$76</definedName>
    <definedName name="OSRRefP22_7x_0" localSheetId="59">'332'!$P$59:$P$61</definedName>
    <definedName name="OSRRefP22_7x_0" localSheetId="72">'405'!$P$59</definedName>
    <definedName name="OSRRefP22_7x_0" localSheetId="74">'411'!$P$52</definedName>
    <definedName name="OSRRefP22_7x_0" localSheetId="78">'415'!$P$59</definedName>
    <definedName name="OSRRefP22_7x_0" localSheetId="79">'418'!$P$56</definedName>
    <definedName name="OSRRefP22_7x_0" localSheetId="84">'430'!$P$53</definedName>
    <definedName name="OSRRefP22_7x_0" localSheetId="85">'433'!$P$59</definedName>
    <definedName name="OSRRefP22_7x_0" localSheetId="86">'444'!$P$59</definedName>
    <definedName name="OSRRefP22_7x_0" localSheetId="87">'450'!$P$59</definedName>
    <definedName name="OSRRefP22_7x_0" localSheetId="71">'491'!$P$60</definedName>
    <definedName name="OSRRefP22_7x_0" localSheetId="83">'492'!$P$59</definedName>
    <definedName name="OSRRefP22_7x_0" localSheetId="89">'501'!$P$54</definedName>
    <definedName name="OSRRefP22_7x_0" localSheetId="39">'Div 2'!$P$54</definedName>
    <definedName name="OSRRefP22_7x_0" localSheetId="47">'Div 3'!$P$92</definedName>
    <definedName name="OSRRefP22_7x_0" localSheetId="69">'Div 4'!$P$62</definedName>
    <definedName name="OSRRefP22_7x_0" localSheetId="88">'Div 5'!$P$54</definedName>
    <definedName name="OSRRefP22_7x_0" localSheetId="61">'Div 6'!$P$67</definedName>
    <definedName name="OSRRefP22_7x_0" localSheetId="2">Summary!$P$100</definedName>
    <definedName name="OSRRefP22_8x_0" localSheetId="41">'201'!$P$53:$P$55</definedName>
    <definedName name="OSRRefP22_8x_0" localSheetId="42">'202'!$P$55</definedName>
    <definedName name="OSRRefP22_8x_0" localSheetId="43">'203'!$P$54:$P$56</definedName>
    <definedName name="OSRRefP22_8x_0" localSheetId="48">'300'!$P$90</definedName>
    <definedName name="OSRRefP22_8x_0" localSheetId="49">'300 &amp; 317'!$P$96</definedName>
    <definedName name="OSRRefP22_8x_0" localSheetId="50">'301'!$P$57</definedName>
    <definedName name="OSRRefP22_8x_0" localSheetId="52">'307'!$P$67</definedName>
    <definedName name="OSRRefP22_8x_0" localSheetId="53">'308'!$P$69:$P$71</definedName>
    <definedName name="OSRRefP22_8x_0" localSheetId="64">'310'!$P$61</definedName>
    <definedName name="OSRRefP22_8x_0" localSheetId="70">'310 &amp; 491'!$P$63</definedName>
    <definedName name="OSRRefP22_8x_0" localSheetId="54">'311'!$P$69:$P$71</definedName>
    <definedName name="OSRRefP22_8x_0" localSheetId="57">'315'!$P$78</definedName>
    <definedName name="OSRRefP22_8x_0" localSheetId="60">'316'!$P$63</definedName>
    <definedName name="OSRRefP22_8x_0" localSheetId="62">'317'!$P$69:$P$70</definedName>
    <definedName name="OSRRefP22_8x_0" localSheetId="66">'321'!$P$58:$P$59</definedName>
    <definedName name="OSRRefP22_8x_0" localSheetId="67">'325'!$P$59</definedName>
    <definedName name="OSRRefP22_8x_0" localSheetId="58">'326'!$P$62</definedName>
    <definedName name="OSRRefP22_8x_0" localSheetId="51">'330'!$P$67</definedName>
    <definedName name="OSRRefP22_8x_0" localSheetId="56">'331'!$P$78:$P$79</definedName>
    <definedName name="OSRRefP22_8x_0" localSheetId="59">'332'!$P$63</definedName>
    <definedName name="OSRRefP22_8x_0" localSheetId="72">'405'!$P$61</definedName>
    <definedName name="OSRRefP22_8x_0" localSheetId="74">'411'!$P$54:$P$56</definedName>
    <definedName name="OSRRefP22_8x_0" localSheetId="78">'415'!$P$61</definedName>
    <definedName name="OSRRefP22_8x_0" localSheetId="79">'418'!$P$58:$P$59</definedName>
    <definedName name="OSRRefP22_8x_0" localSheetId="84">'430'!$P$55</definedName>
    <definedName name="OSRRefP22_8x_0" localSheetId="85">'433'!$P$61</definedName>
    <definedName name="OSRRefP22_8x_0" localSheetId="86">'444'!$P$61</definedName>
    <definedName name="OSRRefP22_8x_0" localSheetId="87">'450'!$P$61</definedName>
    <definedName name="OSRRefP22_8x_0" localSheetId="71">'491'!$P$62</definedName>
    <definedName name="OSRRefP22_8x_0" localSheetId="83">'492'!$P$61</definedName>
    <definedName name="OSRRefP22_8x_0" localSheetId="89">'501'!$P$56</definedName>
    <definedName name="OSRRefP22_8x_0" localSheetId="39">'Div 2'!$P$56</definedName>
    <definedName name="OSRRefP22_8x_0" localSheetId="47">'Div 3'!$P$94</definedName>
    <definedName name="OSRRefP22_8x_0" localSheetId="69">'Div 4'!$P$64</definedName>
    <definedName name="OSRRefP22_8x_0" localSheetId="88">'Div 5'!$P$56</definedName>
    <definedName name="OSRRefP22_8x_0" localSheetId="61">'Div 6'!$P$69:$P$70</definedName>
    <definedName name="OSRRefP22_8x_0" localSheetId="2">Summary!$P$102</definedName>
    <definedName name="OSRRefP22_9x_0" localSheetId="41">'201'!$P$57:$P$58</definedName>
    <definedName name="OSRRefP22_9x_0" localSheetId="42">'202'!$P$57</definedName>
    <definedName name="OSRRefP22_9x_0" localSheetId="43">'203'!$P$58:$P$59</definedName>
    <definedName name="OSRRefP22_9x_0" localSheetId="48">'300'!$P$92</definedName>
    <definedName name="OSRRefP22_9x_0" localSheetId="49">'300 &amp; 317'!$P$98</definedName>
    <definedName name="OSRRefP22_9x_0" localSheetId="50">'301'!$P$59</definedName>
    <definedName name="OSRRefP22_9x_0" localSheetId="52">'307'!$P$69:$P$70</definedName>
    <definedName name="OSRRefP22_9x_0" localSheetId="53">'308'!$P$73</definedName>
    <definedName name="OSRRefP22_9x_0" localSheetId="64">'310'!$P$63</definedName>
    <definedName name="OSRRefP22_9x_0" localSheetId="70">'310 &amp; 491'!$P$65</definedName>
    <definedName name="OSRRefP22_9x_0" localSheetId="54">'311'!$P$73</definedName>
    <definedName name="OSRRefP22_9x_0" localSheetId="57">'315'!$P$80</definedName>
    <definedName name="OSRRefP22_9x_0" localSheetId="60">'316'!$P$65:$P$68</definedName>
    <definedName name="OSRRefP22_9x_0" localSheetId="62">'317'!$P$72</definedName>
    <definedName name="OSRRefP22_9x_0" localSheetId="66">'321'!$P$61:$P$64</definedName>
    <definedName name="OSRRefP22_9x_0" localSheetId="67">'325'!$P$61</definedName>
    <definedName name="OSRRefP22_9x_0" localSheetId="58">'326'!$P$64</definedName>
    <definedName name="OSRRefP22_9x_0" localSheetId="51">'330'!$P$69:$P$70</definedName>
    <definedName name="OSRRefP22_9x_0" localSheetId="56">'331'!$P$81</definedName>
    <definedName name="OSRRefP22_9x_0" localSheetId="59">'332'!$P$65:$P$68</definedName>
    <definedName name="OSRRefP22_9x_0" localSheetId="72">'405'!$P$63:$P$64</definedName>
    <definedName name="OSRRefP22_9x_0" localSheetId="74">'411'!$P$58:$P$60</definedName>
    <definedName name="OSRRefP22_9x_0" localSheetId="78">'415'!$P$63</definedName>
    <definedName name="OSRRefP22_9x_0" localSheetId="79">'418'!$P$61:$P$64</definedName>
    <definedName name="OSRRefP22_9x_0" localSheetId="85">'433'!$P$63</definedName>
    <definedName name="OSRRefP22_9x_0" localSheetId="86">'444'!$P$63</definedName>
    <definedName name="OSRRefP22_9x_0" localSheetId="87">'450'!$P$63</definedName>
    <definedName name="OSRRefP22_9x_0" localSheetId="71">'491'!$P$64</definedName>
    <definedName name="OSRRefP22_9x_0" localSheetId="83">'492'!$P$63</definedName>
    <definedName name="OSRRefP22_9x_0" localSheetId="89">'501'!$P$58:$P$60</definedName>
    <definedName name="OSRRefP22_9x_0" localSheetId="39">'Div 2'!$P$58</definedName>
    <definedName name="OSRRefP22_9x_0" localSheetId="47">'Div 3'!$P$96</definedName>
    <definedName name="OSRRefP22_9x_0" localSheetId="69">'Div 4'!$P$66</definedName>
    <definedName name="OSRRefP22_9x_0" localSheetId="88">'Div 5'!$P$58:$P$60</definedName>
    <definedName name="OSRRefP22_9x_0" localSheetId="61">'Div 6'!$P$72</definedName>
    <definedName name="OSRRefP22_9x_0" localSheetId="2">Summary!$P$104</definedName>
    <definedName name="OSRRefP22x_0" localSheetId="40">'200'!$P$20,'200'!$P$22,'200'!$P$24,'200'!$P$26:$P$27</definedName>
    <definedName name="OSRRefP22x_0" localSheetId="41">'201'!$P$20:$P$28,'201'!$P$30:$P$39,'201'!$P$41,'201'!$P$43,'201'!$P$45,'201'!$P$47,'201'!$P$49,'201'!$P$51,'201'!$P$53:$P$55,'201'!$P$57:$P$58,'201'!$P$60,'201'!$P$62:$P$63,'201'!$P$65,'201'!$P$67</definedName>
    <definedName name="OSRRefP22x_0" localSheetId="42">'202'!$P$20:$P$28,'202'!$P$30:$P$39,'202'!$P$41,'202'!$P$43,'202'!$P$45,'202'!$P$47,'202'!$P$49:$P$51,'202'!$P$53,'202'!$P$55,'202'!$P$57,'202'!$P$59,'202'!$P$61</definedName>
    <definedName name="OSRRefP22x_0" localSheetId="43">'203'!$P$20:$P$29,'203'!$P$31:$P$40,'203'!$P$42,'203'!$P$44,'203'!$P$46,'203'!$P$48,'203'!$P$50,'203'!$P$52,'203'!$P$54:$P$56,'203'!$P$58:$P$59,'203'!$P$61,'203'!$P$63:$P$66,'203'!$P$68,'203'!$P$70,'203'!$P$72</definedName>
    <definedName name="OSRRefP22x_0" localSheetId="44">'204'!$P$20:$P$28,'204'!$P$30:$P$39,'204'!$P$41,'204'!$P$43:$P$44,'204'!$P$46,'204'!$P$48:$P$51,'204'!$P$53,'204'!$P$55:$P$56</definedName>
    <definedName name="OSRRefP22x_0" localSheetId="45">'205'!$P$20:$P$28,'205'!$P$30:$P$39,'205'!$P$41,'205'!$P$43,'205'!$P$45:$P$46,'205'!$P$48,'205'!$P$50:$P$52,'205'!$P$54</definedName>
    <definedName name="OSRRefP22x_0" localSheetId="46">'206'!$P$20:$P$28,'206'!$P$30:$P$39,'206'!$P$41,'206'!$P$43,'206'!$P$45:$P$46,'206'!$P$48,'206'!$P$50:$P$51,'206'!$P$53</definedName>
    <definedName name="OSRRefP22x_0" localSheetId="48">'300'!$P$54:$P$63,'300'!$P$65:$P$74,'300'!$P$76,'300'!$P$78,'300'!$P$80,'300'!$P$82:$P$83,'300'!$P$85:$P$86,'300'!$P$88,'300'!$P$90,'300'!$P$92,'300'!$P$94:$P$95,'300'!$P$97:$P$98,'300'!$P$100,'300'!$P$102,'300'!$P$104,'300'!$P$106,'300'!$P$108:$P$111,'300'!$P$113:$P$116,'300'!$P$118:$P$120,'300'!$P$122:$P$123,'300'!$P$125:$P$131,'300'!$P$133:$P$134,'300'!$P$136,'300'!$P$138:$P$140,'300'!$P$142</definedName>
    <definedName name="OSRRefP22x_0" localSheetId="49">'300 &amp; 317'!$P$60:$P$69,'300 &amp; 317'!$P$71:$P$80,'300 &amp; 317'!$P$82,'300 &amp; 317'!$P$84,'300 &amp; 317'!$P$86,'300 &amp; 317'!$P$88:$P$89,'300 &amp; 317'!$P$91:$P$92,'300 &amp; 317'!$P$94,'300 &amp; 317'!$P$96,'300 &amp; 317'!$P$98,'300 &amp; 317'!$P$100:$P$101,'300 &amp; 317'!$P$103:$P$104,'300 &amp; 317'!$P$106,'300 &amp; 317'!$P$108,'300 &amp; 317'!$P$110,'300 &amp; 317'!$P$112,'300 &amp; 317'!$P$114:$P$117,'300 &amp; 317'!$P$119:$P$122,'300 &amp; 317'!$P$124:$P$126,'300 &amp; 317'!$P$128:$P$129,'300 &amp; 317'!$P$131:$P$137,'300 &amp; 317'!$P$139:$P$140,'300 &amp; 317'!$P$142,'300 &amp; 317'!$P$144:$P$146,'300 &amp; 317'!$P$148</definedName>
    <definedName name="OSRRefP22x_0" localSheetId="50">'301'!$P$21:$P$30,'301'!$P$32:$P$41,'301'!$P$43,'301'!$P$45,'301'!$P$47,'301'!$P$49:$P$50,'301'!$P$52:$P$53,'301'!$P$55,'301'!$P$57,'301'!$P$59,'301'!$P$61,'301'!$P$63,'301'!$P$65,'301'!$P$67,'301'!$P$69,'301'!$P$71:$P$74,'301'!$P$76:$P$77,'301'!$P$79,'301'!$P$81:$P$86,'301'!$P$88,'301'!$P$90,'301'!$P$92:$P$93,'301'!$P$95</definedName>
    <definedName name="OSRRefP22x_0" localSheetId="52">'307'!$P$34:$P$41,'307'!$P$43:$P$52,'307'!$P$54,'307'!$P$56,'307'!$P$58,'307'!$P$60:$P$61,'307'!$P$63,'307'!$P$65,'307'!$P$67,'307'!$P$69:$P$70,'307'!$P$72:$P$73,'307'!$P$75:$P$78,'307'!$P$80</definedName>
    <definedName name="OSRRefP22x_0" localSheetId="53">'308'!$P$35:$P$44,'308'!$P$46:$P$55,'308'!$P$57,'308'!$P$59,'308'!$P$61,'308'!$P$63,'308'!$P$65,'308'!$P$67,'308'!$P$69:$P$71,'308'!$P$73,'308'!$P$75:$P$76,'308'!$P$78:$P$79,'308'!$P$81</definedName>
    <definedName name="OSRRefP22x_0" localSheetId="65">'309'!$P$20,'309'!$P$22,'309'!$P$24,'309'!$P$26:$P$27,'309'!$P$29</definedName>
    <definedName name="OSRRefP22x_0" localSheetId="64">'310'!$P$27:$P$35,'310'!$P$37:$P$46,'310'!$P$48,'310'!$P$50,'310'!$P$52,'310'!$P$54:$P$55,'310'!$P$57,'310'!$P$59,'310'!$P$61,'310'!$P$63,'310'!$P$65:$P$67,'310'!$P$69,'310'!$P$71:$P$73,'310'!$P$75:$P$79,'310'!$P$81:$P$82,'310'!$P$84,'310'!$P$86</definedName>
    <definedName name="OSRRefP22x_0" localSheetId="70">'310 &amp; 491'!$P$29:$P$37,'310 &amp; 491'!$P$39:$P$48,'310 &amp; 491'!$P$50,'310 &amp; 491'!$P$52,'310 &amp; 491'!$P$54,'310 &amp; 491'!$P$56:$P$57,'310 &amp; 491'!$P$59,'310 &amp; 491'!$P$61,'310 &amp; 491'!$P$63,'310 &amp; 491'!$P$65,'310 &amp; 491'!$P$67,'310 &amp; 491'!$P$69,'310 &amp; 491'!$P$71:$P$73,'310 &amp; 491'!$P$75:$P$76,'310 &amp; 491'!$P$78:$P$82,'310 &amp; 491'!$P$84,'310 &amp; 491'!$P$86:$P$95,'310 &amp; 491'!$P$97:$P$98,'310 &amp; 491'!$P$100,'310 &amp; 491'!$P$102,'310 &amp; 491'!$P$104</definedName>
    <definedName name="OSRRefP22x_0" localSheetId="54">'311'!$P$35:$P$44,'311'!$P$46:$P$55,'311'!$P$57,'311'!$P$59,'311'!$P$61,'311'!$P$63,'311'!$P$65,'311'!$P$67,'311'!$P$69:$P$71,'311'!$P$73,'311'!$P$75:$P$76,'311'!$P$78:$P$79,'311'!$P$81</definedName>
    <definedName name="OSRRefP22x_0" localSheetId="57">'315'!$P$44:$P$52,'315'!$P$54:$P$63,'315'!$P$65,'315'!$P$67,'315'!$P$69,'315'!$P$71,'315'!$P$73,'315'!$P$75:$P$76,'315'!$P$78,'315'!$P$80,'315'!$P$82,'315'!$P$84:$P$85,'315'!$P$87:$P$89,'315'!$P$91:$P$92,'315'!$P$94:$P$96,'315'!$P$98,'315'!$P$100</definedName>
    <definedName name="OSRRefP22x_0" localSheetId="60">'316'!$P$27:$P$35,'316'!$P$37:$P$46,'316'!$P$48,'316'!$P$50,'316'!$P$52,'316'!$P$54:$P$55,'316'!$P$57,'316'!$P$59:$P$61,'316'!$P$63,'316'!$P$65:$P$68,'316'!$P$70</definedName>
    <definedName name="OSRRefP22x_0" localSheetId="62">'317'!$P$35:$P$44,'317'!$P$46:$P$55,'317'!$P$57,'317'!$P$59,'317'!$P$61,'317'!$P$63,'317'!$P$65,'317'!$P$67,'317'!$P$69:$P$70,'317'!$P$72</definedName>
    <definedName name="OSRRefP22x_0" localSheetId="66">'321'!$P$24:$P$32,'321'!$P$34:$P$43,'321'!$P$45,'321'!$P$47,'321'!$P$49,'321'!$P$51,'321'!$P$53:$P$54,'321'!$P$56,'321'!$P$58:$P$59,'321'!$P$61:$P$64,'321'!$P$66,'321'!$P$68</definedName>
    <definedName name="OSRRefP22x_0" localSheetId="67">'325'!$P$25:$P$33,'325'!$P$35:$P$44,'325'!$P$46,'325'!$P$48,'325'!$P$50,'325'!$P$52:$P$53,'325'!$P$55,'325'!$P$57,'325'!$P$59,'325'!$P$61,'325'!$P$63:$P$65,'325'!$P$67:$P$69,'325'!$P$71:$P$75,'325'!$P$77:$P$78,'325'!$P$80</definedName>
    <definedName name="OSRRefP22x_0" localSheetId="58">'326'!$P$28:$P$36,'326'!$P$38:$P$47,'326'!$P$49,'326'!$P$51,'326'!$P$53,'326'!$P$55,'326'!$P$57:$P$58,'326'!$P$60,'326'!$P$62,'326'!$P$64,'326'!$P$66,'326'!$P$68:$P$69,'326'!$P$71:$P$72,'326'!$P$74:$P$75,'326'!$P$77:$P$79,'326'!$P$81,'326'!$P$83:$P$84,'326'!$P$86</definedName>
    <definedName name="OSRRefP22x_0" localSheetId="68">'327'!$P$26</definedName>
    <definedName name="OSRRefP22x_0" localSheetId="51">'330'!$P$34:$P$41,'330'!$P$43:$P$52,'330'!$P$54,'330'!$P$56,'330'!$P$58,'330'!$P$60:$P$61,'330'!$P$63,'330'!$P$65,'330'!$P$67,'330'!$P$69:$P$70,'330'!$P$72:$P$73,'330'!$P$75:$P$78,'330'!$P$80</definedName>
    <definedName name="OSRRefP22x_0" localSheetId="56">'331'!$P$44:$P$52,'331'!$P$54:$P$63,'331'!$P$65,'331'!$P$67,'331'!$P$69,'331'!$P$71,'331'!$P$73,'331'!$P$75:$P$76,'331'!$P$78:$P$79,'331'!$P$81,'331'!$P$83,'331'!$P$85,'331'!$P$87,'331'!$P$89:$P$90,'331'!$P$92:$P$94,'331'!$P$96:$P$97,'331'!$P$99:$P$100,'331'!$P$102:$P$105,'331'!$P$107,'331'!$P$109:$P$110,'331'!$P$112</definedName>
    <definedName name="OSRRefP22x_0" localSheetId="59">'332'!$P$27:$P$35,'332'!$P$37:$P$46,'332'!$P$48,'332'!$P$50,'332'!$P$52,'332'!$P$54:$P$55,'332'!$P$57,'332'!$P$59:$P$61,'332'!$P$63,'332'!$P$65:$P$68,'332'!$P$70</definedName>
    <definedName name="OSRRefP22x_0" localSheetId="72">'405'!$P$27:$P$35,'405'!$P$37:$P$46,'405'!$P$48,'405'!$P$50,'405'!$P$52,'405'!$P$54:$P$55,'405'!$P$57,'405'!$P$59,'405'!$P$61,'405'!$P$63:$P$64,'405'!$P$66:$P$69,'405'!$P$71,'405'!$P$73:$P$80,'405'!$P$82,'405'!$P$84,'405'!$P$86</definedName>
    <definedName name="OSRRefP22x_0" localSheetId="73">'406'!$P$20,'406'!$P$22</definedName>
    <definedName name="OSRRefP22x_0" localSheetId="74">'411'!$P$20:$P$28,'411'!$P$30:$P$39,'411'!$P$41,'411'!$P$43:$P$44,'411'!$P$46,'411'!$P$48,'411'!$P$50,'411'!$P$52,'411'!$P$54:$P$56,'411'!$P$58:$P$60,'411'!$P$62,'411'!$P$64,'411'!$P$66,'411'!$P$68,'411'!$P$70</definedName>
    <definedName name="OSRRefP22x_0" localSheetId="75">'412'!$P$20,'412'!$P$22,'412'!$P$24,'412'!$P$26</definedName>
    <definedName name="OSRRefP22x_0" localSheetId="76">'413'!$P$20,'413'!$P$22,'413'!$P$24</definedName>
    <definedName name="OSRRefP22x_0" localSheetId="77">'414'!$P$20,'414'!$P$22,'414'!$P$24</definedName>
    <definedName name="OSRRefP22x_0" localSheetId="78">'415'!$P$27:$P$35,'415'!$P$37:$P$46,'415'!$P$48,'415'!$P$50,'415'!$P$52,'415'!$P$54:$P$55,'415'!$P$57,'415'!$P$59,'415'!$P$61,'415'!$P$63,'415'!$P$65:$P$66,'415'!$P$68:$P$71,'415'!$P$73,'415'!$P$75:$P$80,'415'!$P$82:$P$83,'415'!$P$85,'415'!$P$87</definedName>
    <definedName name="OSRRefP22x_0" localSheetId="79">'418'!$P$24:$P$32,'418'!$P$34:$P$43,'418'!$P$45,'418'!$P$47,'418'!$P$49:$P$50,'418'!$P$52,'418'!$P$54,'418'!$P$56,'418'!$P$58:$P$59,'418'!$P$61:$P$64,'418'!$P$66,'418'!$P$68:$P$75,'418'!$P$77:$P$78,'418'!$P$80,'418'!$P$82</definedName>
    <definedName name="OSRRefP22x_0" localSheetId="80">'423'!$P$20:$P$27,'423'!$P$29:$P$38,'423'!$P$40,'423'!$P$42,'423'!$P$44,'423'!$P$46</definedName>
    <definedName name="OSRRefP22x_0" localSheetId="81">'424'!$P$20,'424'!$P$22</definedName>
    <definedName name="OSRRefP22x_0" localSheetId="82">'425'!$P$22,'425'!$P$24,'425'!$P$26,'425'!$P$28,'425'!$P$30,'425'!$P$32</definedName>
    <definedName name="OSRRefP22x_0" localSheetId="84">'430'!$P$20:$P$28,'430'!$P$30:$P$39,'430'!$P$41,'430'!$P$43,'430'!$P$45,'430'!$P$47:$P$48,'430'!$P$50:$P$51,'430'!$P$53,'430'!$P$55</definedName>
    <definedName name="OSRRefP22x_0" localSheetId="85">'433'!$P$27:$P$36,'433'!$P$38:$P$47,'433'!$P$49,'433'!$P$51,'433'!$P$53,'433'!$P$55,'433'!$P$57,'433'!$P$59,'433'!$P$61,'433'!$P$63,'433'!$P$65,'433'!$P$67:$P$69,'433'!$P$71:$P$74,'433'!$P$76:$P$83,'433'!$P$85</definedName>
    <definedName name="OSRRefP22x_0" localSheetId="86">'444'!$P$27:$P$36,'444'!$P$38:$P$47,'444'!$P$49,'444'!$P$51,'444'!$P$53,'444'!$P$55,'444'!$P$57,'444'!$P$59,'444'!$P$61,'444'!$P$63,'444'!$P$65,'444'!$P$67:$P$68,'444'!$P$70:$P$73,'444'!$P$75,'444'!$P$77:$P$83,'444'!$P$85,'444'!$P$87</definedName>
    <definedName name="OSRRefP22x_0" localSheetId="87">'450'!$P$27:$P$36,'450'!$P$38:$P$47,'450'!$P$49,'450'!$P$51,'450'!$P$53,'450'!$P$55,'450'!$P$57,'450'!$P$59,'450'!$P$61,'450'!$P$63,'450'!$P$65,'450'!$P$67:$P$69,'450'!$P$71:$P$74,'450'!$P$76:$P$82,'450'!$P$84,'450'!$P$86,'450'!$P$88</definedName>
    <definedName name="OSRRefP22x_0" localSheetId="71">'491'!$P$28:$P$36,'491'!$P$38:$P$47,'491'!$P$49,'491'!$P$51,'491'!$P$53,'491'!$P$55:$P$56,'491'!$P$58,'491'!$P$60,'491'!$P$62,'491'!$P$64,'491'!$P$66,'491'!$P$68,'491'!$P$70:$P$72,'491'!$P$74,'491'!$P$76:$P$80,'491'!$P$82,'491'!$P$84:$P$92,'491'!$P$94:$P$95,'491'!$P$97,'491'!$P$99,'491'!$P$101</definedName>
    <definedName name="OSRRefP22x_0" localSheetId="83">'492'!$P$27:$P$36,'492'!$P$38:$P$47,'492'!$P$49,'492'!$P$51,'492'!$P$53,'492'!$P$55,'492'!$P$57,'492'!$P$59,'492'!$P$61,'492'!$P$63,'492'!$P$65,'492'!$P$67,'492'!$P$69:$P$71,'492'!$P$73:$P$76,'492'!$P$78,'492'!$P$80:$P$87,'492'!$P$89:$P$90,'492'!$P$92,'492'!$P$94:$P$95</definedName>
    <definedName name="OSRRefP22x_0" localSheetId="89">'501'!$P$21:$P$30,'501'!$P$32:$P$41,'501'!$P$43,'501'!$P$45,'501'!$P$47,'501'!$P$49:$P$50,'501'!$P$52,'501'!$P$54,'501'!$P$56,'501'!$P$58:$P$60,'501'!$P$62,'501'!$P$64:$P$66,'501'!$P$68,'501'!$P$70</definedName>
    <definedName name="OSRRefP22x_0" localSheetId="39">'Div 2'!$P$20:$P$30,'Div 2'!$P$32:$P$41,'Div 2'!$P$43,'Div 2'!$P$45,'Div 2'!$P$47,'Div 2'!$P$49:$P$50,'Div 2'!$P$52,'Div 2'!$P$54,'Div 2'!$P$56,'Div 2'!$P$58,'Div 2'!$P$60,'Div 2'!$P$62,'Div 2'!$P$64:$P$67,'Div 2'!$P$69:$P$72,'Div 2'!$P$74:$P$75,'Div 2'!$P$77,'Div 2'!$P$79:$P$84,'Div 2'!$P$86:$P$87,'Div 2'!$P$89,'Div 2'!$P$91:$P$92</definedName>
    <definedName name="OSRRefP22x_0" localSheetId="47">'Div 3'!$P$58:$P$67,'Div 3'!$P$69:$P$78,'Div 3'!$P$80,'Div 3'!$P$82,'Div 3'!$P$84,'Div 3'!$P$86:$P$87,'Div 3'!$P$89:$P$90,'Div 3'!$P$92,'Div 3'!$P$94,'Div 3'!$P$96,'Div 3'!$P$98:$P$99,'Div 3'!$P$101:$P$102,'Div 3'!$P$104,'Div 3'!$P$106,'Div 3'!$P$108,'Div 3'!$P$110,'Div 3'!$P$112,'Div 3'!$P$114:$P$117,'Div 3'!$P$119:$P$122,'Div 3'!$P$124:$P$127,'Div 3'!$P$129:$P$130,'Div 3'!$P$132:$P$138,'Div 3'!$P$140:$P$141,'Div 3'!$P$143,'Div 3'!$P$145:$P$147,'Div 3'!$P$149</definedName>
    <definedName name="OSRRefP22x_0" localSheetId="69">'Div 4'!$P$29:$P$38,'Div 4'!$P$40:$P$49,'Div 4'!$P$51,'Div 4'!$P$53,'Div 4'!$P$55,'Div 4'!$P$57:$P$58,'Div 4'!$P$60,'Div 4'!$P$62,'Div 4'!$P$64,'Div 4'!$P$66,'Div 4'!$P$68,'Div 4'!$P$70,'Div 4'!$P$72,'Div 4'!$P$74,'Div 4'!$P$76:$P$78,'Div 4'!$P$80,'Div 4'!$P$82:$P$86,'Div 4'!$P$88:$P$89,'Div 4'!$P$91:$P$100,'Div 4'!$P$102:$P$103,'Div 4'!$P$105,'Div 4'!$P$107:$P$108,'Div 4'!$P$110</definedName>
    <definedName name="OSRRefP22x_0" localSheetId="88">'Div 5'!$P$21:$P$30,'Div 5'!$P$32:$P$41,'Div 5'!$P$43,'Div 5'!$P$45,'Div 5'!$P$47,'Div 5'!$P$49:$P$50,'Div 5'!$P$52,'Div 5'!$P$54,'Div 5'!$P$56,'Div 5'!$P$58:$P$60,'Div 5'!$P$62,'Div 5'!$P$64:$P$66,'Div 5'!$P$68,'Div 5'!$P$70</definedName>
    <definedName name="OSRRefP22x_0" localSheetId="61">'Div 6'!$P$35:$P$44,'Div 6'!$P$46:$P$55,'Div 6'!$P$57,'Div 6'!$P$59,'Div 6'!$P$61,'Div 6'!$P$63,'Div 6'!$P$65,'Div 6'!$P$67,'Div 6'!$P$69:$P$70,'Div 6'!$P$72</definedName>
    <definedName name="OSRRefP22x_0" localSheetId="2">Summary!$P$66:$P$75,Summary!$P$77:$P$86,Summary!$P$88,Summary!$P$90,Summary!$P$92,Summary!$P$94:$P$95,Summary!$P$97:$P$98,Summary!$P$100,Summary!$P$102,Summary!$P$104,Summary!$P$106:$P$107,Summary!$P$109:$P$110,Summary!$P$112,Summary!$P$114,Summary!$P$116,Summary!$P$118,Summary!$P$120,Summary!$P$122,Summary!$P$124:$P$127,Summary!$P$129:$P$132,Summary!$P$134:$P$138,Summary!$P$140:$P$141,Summary!$P$143:$P$152,Summary!$P$154:$P$155,Summary!$P$157,Summary!$P$159:$P$161,Summary!$P$163</definedName>
    <definedName name="OSRRefP25x_0" localSheetId="48">'300'!$P$145:$P$149</definedName>
    <definedName name="OSRRefP25x_0" localSheetId="49">'300 &amp; 317'!$P$151:$P$157</definedName>
    <definedName name="OSRRefP25x_0" localSheetId="50">'301'!$P$98:$P$99</definedName>
    <definedName name="OSRRefP25x_0" localSheetId="53">'308'!$P$84:$P$87</definedName>
    <definedName name="OSRRefP25x_0" localSheetId="70">'310 &amp; 491'!$P$107:$P$109</definedName>
    <definedName name="OSRRefP25x_0" localSheetId="54">'311'!$P$84:$P$87</definedName>
    <definedName name="OSRRefP25x_0" localSheetId="57">'315'!$P$103:$P$105</definedName>
    <definedName name="OSRRefP25x_0" localSheetId="60">'316'!$P$73</definedName>
    <definedName name="OSRRefP25x_0" localSheetId="62">'317'!$P$75:$P$77</definedName>
    <definedName name="OSRRefP25x_0" localSheetId="56">'331'!$P$115:$P$117</definedName>
    <definedName name="OSRRefP25x_0" localSheetId="59">'332'!$P$73</definedName>
    <definedName name="OSRRefP25x_0" localSheetId="72">'405'!$P$89</definedName>
    <definedName name="OSRRefP25x_0" localSheetId="74">'411'!$P$73</definedName>
    <definedName name="OSRRefP25x_0" localSheetId="78">'415'!$P$90</definedName>
    <definedName name="OSRRefP25x_0" localSheetId="79">'418'!$P$85</definedName>
    <definedName name="OSRRefP25x_0" localSheetId="80">'423'!$P$49</definedName>
    <definedName name="OSRRefP25x_0" localSheetId="71">'491'!$P$104:$P$106</definedName>
    <definedName name="OSRRefP25x_0" localSheetId="89">'501'!$P$73</definedName>
    <definedName name="OSRRefP25x_0" localSheetId="47">'Div 3'!$P$152:$P$156</definedName>
    <definedName name="OSRRefP25x_0" localSheetId="69">'Div 4'!$P$113:$P$115</definedName>
    <definedName name="OSRRefP25x_0" localSheetId="88">'Div 5'!$P$73</definedName>
    <definedName name="OSRRefP25x_0" localSheetId="61">'Div 6'!$P$75:$P$77</definedName>
    <definedName name="OSRRefP25x_0" localSheetId="2">Summary!$P$166:$P$173</definedName>
    <definedName name="OSRRefT13x_0" localSheetId="48">'300'!$T$13:$T$19</definedName>
    <definedName name="OSRRefT13x_0" localSheetId="49">'300 &amp; 317'!$T$13:$T$19</definedName>
    <definedName name="OSRRefT13x_0" localSheetId="52">'307'!$T$13:$T$16</definedName>
    <definedName name="OSRRefT13x_0" localSheetId="53">'308'!$T$13:$T$17</definedName>
    <definedName name="OSRRefT13x_0" localSheetId="64">'310'!$T$13:$T$16</definedName>
    <definedName name="OSRRefT13x_0" localSheetId="70">'310 &amp; 491'!$T$13:$T$18</definedName>
    <definedName name="OSRRefT13x_0" localSheetId="54">'311'!$T$13:$T$17</definedName>
    <definedName name="OSRRefT13x_0" localSheetId="57">'315'!$T$13:$T$17</definedName>
    <definedName name="OSRRefT13x_0" localSheetId="60">'316'!$T$13:$T$17</definedName>
    <definedName name="OSRRefT13x_0" localSheetId="62">'317'!$T$13:$T$17</definedName>
    <definedName name="OSRRefT13x_0" localSheetId="66">'321'!$T$13:$T$14</definedName>
    <definedName name="OSRRefT13x_0" localSheetId="55">'324'!$T$13:$T$14</definedName>
    <definedName name="OSRRefT13x_0" localSheetId="67">'325'!$T$13:$T$14</definedName>
    <definedName name="OSRRefT13x_0" localSheetId="58">'326'!$T$13:$T$16</definedName>
    <definedName name="OSRRefT13x_0" localSheetId="68">'327'!$T$13:$T$15</definedName>
    <definedName name="OSRRefT13x_0" localSheetId="51">'330'!$T$13:$T$16</definedName>
    <definedName name="OSRRefT13x_0" localSheetId="56">'331'!$T$13:$T$17</definedName>
    <definedName name="OSRRefT13x_0" localSheetId="59">'332'!$T$13:$T$17</definedName>
    <definedName name="OSRRefT13x_0" localSheetId="72">'405'!$T$13:$T$16</definedName>
    <definedName name="OSRRefT13x_0" localSheetId="78">'415'!$T$13:$T$16</definedName>
    <definedName name="OSRRefT13x_0" localSheetId="79">'418'!$T$13:$T$14</definedName>
    <definedName name="OSRRefT13x_0" localSheetId="82">'425'!$T$13</definedName>
    <definedName name="OSRRefT13x_0" localSheetId="85">'433'!$T$13:$T$16</definedName>
    <definedName name="OSRRefT13x_0" localSheetId="86">'444'!$T$13:$T$16</definedName>
    <definedName name="OSRRefT13x_0" localSheetId="87">'450'!$T$13:$T$16</definedName>
    <definedName name="OSRRefT13x_0" localSheetId="71">'491'!$T$13:$T$17</definedName>
    <definedName name="OSRRefT13x_0" localSheetId="83">'492'!$T$13:$T$16</definedName>
    <definedName name="OSRRefT13x_0" localSheetId="89">'501'!$T$13</definedName>
    <definedName name="OSRRefT13x_0" localSheetId="47">'Div 3'!$T$13:$T$21</definedName>
    <definedName name="OSRRefT13x_0" localSheetId="69">'Div 4'!$T$13:$T$18</definedName>
    <definedName name="OSRRefT13x_0" localSheetId="88">'Div 5'!$T$13</definedName>
    <definedName name="OSRRefT13x_0" localSheetId="61">'Div 6'!$T$13:$T$17</definedName>
    <definedName name="OSRRefT13x_0" localSheetId="2">Summary!$T$13:$T$23</definedName>
    <definedName name="OSRRefT16x_0" localSheetId="48">'300'!$T$22:$T$48</definedName>
    <definedName name="OSRRefT16x_0" localSheetId="49">'300 &amp; 317'!$T$22:$T$54</definedName>
    <definedName name="OSRRefT16x_0" localSheetId="50">'301'!$T$15</definedName>
    <definedName name="OSRRefT16x_0" localSheetId="52">'307'!$T$19:$T$28</definedName>
    <definedName name="OSRRefT16x_0" localSheetId="53">'308'!$T$20:$T$29</definedName>
    <definedName name="OSRRefT16x_0" localSheetId="64">'310'!$T$19:$T$21</definedName>
    <definedName name="OSRRefT16x_0" localSheetId="70">'310 &amp; 491'!$T$21:$T$23</definedName>
    <definedName name="OSRRefT16x_0" localSheetId="54">'311'!$T$20:$T$29</definedName>
    <definedName name="OSRRefT16x_0" localSheetId="57">'315'!$T$20:$T$38</definedName>
    <definedName name="OSRRefT16x_0" localSheetId="60">'316'!$T$20:$T$21</definedName>
    <definedName name="OSRRefT16x_0" localSheetId="62">'317'!$T$20:$T$29</definedName>
    <definedName name="OSRRefT16x_0" localSheetId="66">'321'!$T$17:$T$18</definedName>
    <definedName name="OSRRefT16x_0" localSheetId="55">'324'!$T$17</definedName>
    <definedName name="OSRRefT16x_0" localSheetId="67">'325'!$T$17:$T$19</definedName>
    <definedName name="OSRRefT16x_0" localSheetId="58">'326'!$T$19:$T$22</definedName>
    <definedName name="OSRRefT16x_0" localSheetId="68">'327'!$T$18:$T$20</definedName>
    <definedName name="OSRRefT16x_0" localSheetId="51">'330'!$T$19:$T$28</definedName>
    <definedName name="OSRRefT16x_0" localSheetId="56">'331'!$T$20:$T$38</definedName>
    <definedName name="OSRRefT16x_0" localSheetId="59">'332'!$T$20:$T$21</definedName>
    <definedName name="OSRRefT16x_0" localSheetId="72">'405'!$T$19:$T$21</definedName>
    <definedName name="OSRRefT16x_0" localSheetId="78">'415'!$T$19:$T$21</definedName>
    <definedName name="OSRRefT16x_0" localSheetId="79">'418'!$T$17:$T$18</definedName>
    <definedName name="OSRRefT16x_0" localSheetId="82">'425'!$T$16</definedName>
    <definedName name="OSRRefT16x_0" localSheetId="85">'433'!$T$19:$T$21</definedName>
    <definedName name="OSRRefT16x_0" localSheetId="86">'444'!$T$19:$T$21</definedName>
    <definedName name="OSRRefT16x_0" localSheetId="87">'450'!$T$19:$T$21</definedName>
    <definedName name="OSRRefT16x_0" localSheetId="71">'491'!$T$20:$T$22</definedName>
    <definedName name="OSRRefT16x_0" localSheetId="83">'492'!$T$19:$T$21</definedName>
    <definedName name="OSRRefT16x_0" localSheetId="47">'Div 3'!$T$24:$T$52</definedName>
    <definedName name="OSRRefT16x_0" localSheetId="69">'Div 4'!$T$21:$T$23</definedName>
    <definedName name="OSRRefT16x_0" localSheetId="61">'Div 6'!$T$20:$T$29</definedName>
    <definedName name="OSRRefT16x_0" localSheetId="2">Summary!$T$26:$T$60</definedName>
    <definedName name="OSRRefT22_0x_0" localSheetId="40">'200'!$T$20</definedName>
    <definedName name="OSRRefT22_0x_0" localSheetId="41">'201'!$T$20:$T$28</definedName>
    <definedName name="OSRRefT22_0x_0" localSheetId="42">'202'!$T$20:$T$28</definedName>
    <definedName name="OSRRefT22_0x_0" localSheetId="43">'203'!$T$20:$T$29</definedName>
    <definedName name="OSRRefT22_0x_0" localSheetId="44">'204'!$T$20:$T$28</definedName>
    <definedName name="OSRRefT22_0x_0" localSheetId="45">'205'!$T$20:$T$28</definedName>
    <definedName name="OSRRefT22_0x_0" localSheetId="46">'206'!$T$20:$T$28</definedName>
    <definedName name="OSRRefT22_0x_0" localSheetId="48">'300'!$T$54:$T$63</definedName>
    <definedName name="OSRRefT22_0x_0" localSheetId="49">'300 &amp; 317'!$T$60:$T$69</definedName>
    <definedName name="OSRRefT22_0x_0" localSheetId="50">'301'!$T$21:$T$30</definedName>
    <definedName name="OSRRefT22_0x_0" localSheetId="52">'307'!$T$34:$T$41</definedName>
    <definedName name="OSRRefT22_0x_0" localSheetId="53">'308'!$T$35:$T$44</definedName>
    <definedName name="OSRRefT22_0x_0" localSheetId="65">'309'!$T$20</definedName>
    <definedName name="OSRRefT22_0x_0" localSheetId="64">'310'!$T$27:$T$35</definedName>
    <definedName name="OSRRefT22_0x_0" localSheetId="70">'310 &amp; 491'!$T$29:$T$37</definedName>
    <definedName name="OSRRefT22_0x_0" localSheetId="54">'311'!$T$35:$T$44</definedName>
    <definedName name="OSRRefT22_0x_0" localSheetId="57">'315'!$T$44:$T$52</definedName>
    <definedName name="OSRRefT22_0x_0" localSheetId="60">'316'!$T$27:$T$35</definedName>
    <definedName name="OSRRefT22_0x_0" localSheetId="62">'317'!$T$35:$T$44</definedName>
    <definedName name="OSRRefT22_0x_0" localSheetId="66">'321'!$T$24:$T$32</definedName>
    <definedName name="OSRRefT22_0x_0" localSheetId="67">'325'!$T$25:$T$33</definedName>
    <definedName name="OSRRefT22_0x_0" localSheetId="58">'326'!$T$28:$T$36</definedName>
    <definedName name="OSRRefT22_0x_0" localSheetId="68">'327'!$T$26</definedName>
    <definedName name="OSRRefT22_0x_0" localSheetId="51">'330'!$T$34:$T$41</definedName>
    <definedName name="OSRRefT22_0x_0" localSheetId="56">'331'!$T$44:$T$52</definedName>
    <definedName name="OSRRefT22_0x_0" localSheetId="59">'332'!$T$27:$T$35</definedName>
    <definedName name="OSRRefT22_0x_0" localSheetId="72">'405'!$T$27:$T$35</definedName>
    <definedName name="OSRRefT22_0x_0" localSheetId="73">'406'!$T$20</definedName>
    <definedName name="OSRRefT22_0x_0" localSheetId="74">'411'!$T$20:$T$28</definedName>
    <definedName name="OSRRefT22_0x_0" localSheetId="75">'412'!$T$20</definedName>
    <definedName name="OSRRefT22_0x_0" localSheetId="76">'413'!$T$20</definedName>
    <definedName name="OSRRefT22_0x_0" localSheetId="77">'414'!$T$20</definedName>
    <definedName name="OSRRefT22_0x_0" localSheetId="78">'415'!$T$27:$T$35</definedName>
    <definedName name="OSRRefT22_0x_0" localSheetId="79">'418'!$T$24:$T$32</definedName>
    <definedName name="OSRRefT22_0x_0" localSheetId="80">'423'!$T$20:$T$27</definedName>
    <definedName name="OSRRefT22_0x_0" localSheetId="81">'424'!$T$20</definedName>
    <definedName name="OSRRefT22_0x_0" localSheetId="82">'425'!$T$22</definedName>
    <definedName name="OSRRefT22_0x_0" localSheetId="84">'430'!$T$20:$T$28</definedName>
    <definedName name="OSRRefT22_0x_0" localSheetId="85">'433'!$T$27:$T$36</definedName>
    <definedName name="OSRRefT22_0x_0" localSheetId="86">'444'!$T$27:$T$36</definedName>
    <definedName name="OSRRefT22_0x_0" localSheetId="87">'450'!$T$27:$T$36</definedName>
    <definedName name="OSRRefT22_0x_0" localSheetId="71">'491'!$T$28:$T$36</definedName>
    <definedName name="OSRRefT22_0x_0" localSheetId="83">'492'!$T$27:$T$36</definedName>
    <definedName name="OSRRefT22_0x_0" localSheetId="89">'501'!$T$21:$T$30</definedName>
    <definedName name="OSRRefT22_0x_0" localSheetId="39">'Div 2'!$T$20:$T$30</definedName>
    <definedName name="OSRRefT22_0x_0" localSheetId="47">'Div 3'!$T$58:$T$67</definedName>
    <definedName name="OSRRefT22_0x_0" localSheetId="69">'Div 4'!$T$29:$T$38</definedName>
    <definedName name="OSRRefT22_0x_0" localSheetId="88">'Div 5'!$T$21:$T$30</definedName>
    <definedName name="OSRRefT22_0x_0" localSheetId="61">'Div 6'!$T$35:$T$44</definedName>
    <definedName name="OSRRefT22_0x_0" localSheetId="2">Summary!$T$66:$T$75</definedName>
    <definedName name="OSRRefT22_10x_0" localSheetId="41">'201'!$T$60</definedName>
    <definedName name="OSRRefT22_10x_0" localSheetId="42">'202'!$T$59</definedName>
    <definedName name="OSRRefT22_10x_0" localSheetId="43">'203'!$T$61</definedName>
    <definedName name="OSRRefT22_10x_0" localSheetId="48">'300'!$T$94:$T$95</definedName>
    <definedName name="OSRRefT22_10x_0" localSheetId="49">'300 &amp; 317'!$T$100:$T$101</definedName>
    <definedName name="OSRRefT22_10x_0" localSheetId="50">'301'!$T$61</definedName>
    <definedName name="OSRRefT22_10x_0" localSheetId="52">'307'!$T$72:$T$73</definedName>
    <definedName name="OSRRefT22_10x_0" localSheetId="53">'308'!$T$75:$T$76</definedName>
    <definedName name="OSRRefT22_10x_0" localSheetId="64">'310'!$T$65:$T$67</definedName>
    <definedName name="OSRRefT22_10x_0" localSheetId="70">'310 &amp; 491'!$T$67</definedName>
    <definedName name="OSRRefT22_10x_0" localSheetId="54">'311'!$T$75:$T$76</definedName>
    <definedName name="OSRRefT22_10x_0" localSheetId="57">'315'!$T$82</definedName>
    <definedName name="OSRRefT22_10x_0" localSheetId="60">'316'!$T$70</definedName>
    <definedName name="OSRRefT22_10x_0" localSheetId="66">'321'!$T$66</definedName>
    <definedName name="OSRRefT22_10x_0" localSheetId="67">'325'!$T$63:$T$65</definedName>
    <definedName name="OSRRefT22_10x_0" localSheetId="58">'326'!$T$66</definedName>
    <definedName name="OSRRefT22_10x_0" localSheetId="51">'330'!$T$72:$T$73</definedName>
    <definedName name="OSRRefT22_10x_0" localSheetId="56">'331'!$T$83</definedName>
    <definedName name="OSRRefT22_10x_0" localSheetId="59">'332'!$T$70</definedName>
    <definedName name="OSRRefT22_10x_0" localSheetId="72">'405'!$T$66:$T$69</definedName>
    <definedName name="OSRRefT22_10x_0" localSheetId="74">'411'!$T$62</definedName>
    <definedName name="OSRRefT22_10x_0" localSheetId="78">'415'!$T$65:$T$66</definedName>
    <definedName name="OSRRefT22_10x_0" localSheetId="79">'418'!$T$66</definedName>
    <definedName name="OSRRefT22_10x_0" localSheetId="85">'433'!$T$65</definedName>
    <definedName name="OSRRefT22_10x_0" localSheetId="86">'444'!$T$65</definedName>
    <definedName name="OSRRefT22_10x_0" localSheetId="87">'450'!$T$65</definedName>
    <definedName name="OSRRefT22_10x_0" localSheetId="71">'491'!$T$66</definedName>
    <definedName name="OSRRefT22_10x_0" localSheetId="83">'492'!$T$65</definedName>
    <definedName name="OSRRefT22_10x_0" localSheetId="89">'501'!$T$62</definedName>
    <definedName name="OSRRefT22_10x_0" localSheetId="39">'Div 2'!$T$60</definedName>
    <definedName name="OSRRefT22_10x_0" localSheetId="47">'Div 3'!$T$98:$T$99</definedName>
    <definedName name="OSRRefT22_10x_0" localSheetId="69">'Div 4'!$T$68</definedName>
    <definedName name="OSRRefT22_10x_0" localSheetId="88">'Div 5'!$T$62</definedName>
    <definedName name="OSRRefT22_10x_0" localSheetId="2">Summary!$T$106:$T$107</definedName>
    <definedName name="OSRRefT22_11x_0" localSheetId="41">'201'!$T$62:$T$63</definedName>
    <definedName name="OSRRefT22_11x_0" localSheetId="42">'202'!$T$61</definedName>
    <definedName name="OSRRefT22_11x_0" localSheetId="43">'203'!$T$63:$T$66</definedName>
    <definedName name="OSRRefT22_11x_0" localSheetId="48">'300'!$T$97:$T$98</definedName>
    <definedName name="OSRRefT22_11x_0" localSheetId="49">'300 &amp; 317'!$T$103:$T$104</definedName>
    <definedName name="OSRRefT22_11x_0" localSheetId="50">'301'!$T$63</definedName>
    <definedName name="OSRRefT22_11x_0" localSheetId="52">'307'!$T$75:$T$78</definedName>
    <definedName name="OSRRefT22_11x_0" localSheetId="53">'308'!$T$78:$T$79</definedName>
    <definedName name="OSRRefT22_11x_0" localSheetId="64">'310'!$T$69</definedName>
    <definedName name="OSRRefT22_11x_0" localSheetId="70">'310 &amp; 491'!$T$69</definedName>
    <definedName name="OSRRefT22_11x_0" localSheetId="54">'311'!$T$78:$T$79</definedName>
    <definedName name="OSRRefT22_11x_0" localSheetId="57">'315'!$T$84:$T$85</definedName>
    <definedName name="OSRRefT22_11x_0" localSheetId="66">'321'!$T$68</definedName>
    <definedName name="OSRRefT22_11x_0" localSheetId="67">'325'!$T$67:$T$69</definedName>
    <definedName name="OSRRefT22_11x_0" localSheetId="58">'326'!$T$68:$T$69</definedName>
    <definedName name="OSRRefT22_11x_0" localSheetId="51">'330'!$T$75:$T$78</definedName>
    <definedName name="OSRRefT22_11x_0" localSheetId="56">'331'!$T$85</definedName>
    <definedName name="OSRRefT22_11x_0" localSheetId="72">'405'!$T$71</definedName>
    <definedName name="OSRRefT22_11x_0" localSheetId="74">'411'!$T$64</definedName>
    <definedName name="OSRRefT22_11x_0" localSheetId="78">'415'!$T$68:$T$71</definedName>
    <definedName name="OSRRefT22_11x_0" localSheetId="79">'418'!$T$68:$T$75</definedName>
    <definedName name="OSRRefT22_11x_0" localSheetId="85">'433'!$T$67:$T$69</definedName>
    <definedName name="OSRRefT22_11x_0" localSheetId="86">'444'!$T$67:$T$68</definedName>
    <definedName name="OSRRefT22_11x_0" localSheetId="87">'450'!$T$67:$T$69</definedName>
    <definedName name="OSRRefT22_11x_0" localSheetId="71">'491'!$T$68</definedName>
    <definedName name="OSRRefT22_11x_0" localSheetId="83">'492'!$T$67</definedName>
    <definedName name="OSRRefT22_11x_0" localSheetId="89">'501'!$T$64:$T$66</definedName>
    <definedName name="OSRRefT22_11x_0" localSheetId="39">'Div 2'!$T$62</definedName>
    <definedName name="OSRRefT22_11x_0" localSheetId="47">'Div 3'!$T$101:$T$102</definedName>
    <definedName name="OSRRefT22_11x_0" localSheetId="69">'Div 4'!$T$70</definedName>
    <definedName name="OSRRefT22_11x_0" localSheetId="88">'Div 5'!$T$64:$T$66</definedName>
    <definedName name="OSRRefT22_11x_0" localSheetId="2">Summary!$T$109:$T$110</definedName>
    <definedName name="OSRRefT22_12x_0" localSheetId="41">'201'!$T$65</definedName>
    <definedName name="OSRRefT22_12x_0" localSheetId="43">'203'!$T$68</definedName>
    <definedName name="OSRRefT22_12x_0" localSheetId="48">'300'!$T$100</definedName>
    <definedName name="OSRRefT22_12x_0" localSheetId="49">'300 &amp; 317'!$T$106</definedName>
    <definedName name="OSRRefT22_12x_0" localSheetId="50">'301'!$T$65</definedName>
    <definedName name="OSRRefT22_12x_0" localSheetId="52">'307'!$T$80</definedName>
    <definedName name="OSRRefT22_12x_0" localSheetId="53">'308'!$T$81</definedName>
    <definedName name="OSRRefT22_12x_0" localSheetId="64">'310'!$T$71:$T$73</definedName>
    <definedName name="OSRRefT22_12x_0" localSheetId="70">'310 &amp; 491'!$T$71:$T$73</definedName>
    <definedName name="OSRRefT22_12x_0" localSheetId="54">'311'!$T$81</definedName>
    <definedName name="OSRRefT22_12x_0" localSheetId="57">'315'!$T$87:$T$89</definedName>
    <definedName name="OSRRefT22_12x_0" localSheetId="67">'325'!$T$71:$T$75</definedName>
    <definedName name="OSRRefT22_12x_0" localSheetId="58">'326'!$T$71:$T$72</definedName>
    <definedName name="OSRRefT22_12x_0" localSheetId="51">'330'!$T$80</definedName>
    <definedName name="OSRRefT22_12x_0" localSheetId="56">'331'!$T$87</definedName>
    <definedName name="OSRRefT22_12x_0" localSheetId="72">'405'!$T$73:$T$80</definedName>
    <definedName name="OSRRefT22_12x_0" localSheetId="74">'411'!$T$66</definedName>
    <definedName name="OSRRefT22_12x_0" localSheetId="78">'415'!$T$73</definedName>
    <definedName name="OSRRefT22_12x_0" localSheetId="79">'418'!$T$77:$T$78</definedName>
    <definedName name="OSRRefT22_12x_0" localSheetId="85">'433'!$T$71:$T$74</definedName>
    <definedName name="OSRRefT22_12x_0" localSheetId="86">'444'!$T$70:$T$73</definedName>
    <definedName name="OSRRefT22_12x_0" localSheetId="87">'450'!$T$71:$T$74</definedName>
    <definedName name="OSRRefT22_12x_0" localSheetId="71">'491'!$T$70:$T$72</definedName>
    <definedName name="OSRRefT22_12x_0" localSheetId="83">'492'!$T$69:$T$71</definedName>
    <definedName name="OSRRefT22_12x_0" localSheetId="89">'501'!$T$68</definedName>
    <definedName name="OSRRefT22_12x_0" localSheetId="39">'Div 2'!$T$64:$T$67</definedName>
    <definedName name="OSRRefT22_12x_0" localSheetId="47">'Div 3'!$T$104</definedName>
    <definedName name="OSRRefT22_12x_0" localSheetId="69">'Div 4'!$T$72</definedName>
    <definedName name="OSRRefT22_12x_0" localSheetId="88">'Div 5'!$T$68</definedName>
    <definedName name="OSRRefT22_12x_0" localSheetId="2">Summary!$T$112</definedName>
    <definedName name="OSRRefT22_13x_0" localSheetId="41">'201'!$T$67</definedName>
    <definedName name="OSRRefT22_13x_0" localSheetId="43">'203'!$T$70</definedName>
    <definedName name="OSRRefT22_13x_0" localSheetId="48">'300'!$T$102</definedName>
    <definedName name="OSRRefT22_13x_0" localSheetId="49">'300 &amp; 317'!$T$108</definedName>
    <definedName name="OSRRefT22_13x_0" localSheetId="50">'301'!$T$67</definedName>
    <definedName name="OSRRefT22_13x_0" localSheetId="64">'310'!$T$75:$T$79</definedName>
    <definedName name="OSRRefT22_13x_0" localSheetId="70">'310 &amp; 491'!$T$75:$T$76</definedName>
    <definedName name="OSRRefT22_13x_0" localSheetId="57">'315'!$T$91:$T$92</definedName>
    <definedName name="OSRRefT22_13x_0" localSheetId="67">'325'!$T$77:$T$78</definedName>
    <definedName name="OSRRefT22_13x_0" localSheetId="58">'326'!$T$74:$T$75</definedName>
    <definedName name="OSRRefT22_13x_0" localSheetId="56">'331'!$T$89:$T$90</definedName>
    <definedName name="OSRRefT22_13x_0" localSheetId="72">'405'!$T$82</definedName>
    <definedName name="OSRRefT22_13x_0" localSheetId="74">'411'!$T$68</definedName>
    <definedName name="OSRRefT22_13x_0" localSheetId="78">'415'!$T$75:$T$80</definedName>
    <definedName name="OSRRefT22_13x_0" localSheetId="79">'418'!$T$80</definedName>
    <definedName name="OSRRefT22_13x_0" localSheetId="85">'433'!$T$76:$T$83</definedName>
    <definedName name="OSRRefT22_13x_0" localSheetId="86">'444'!$T$75</definedName>
    <definedName name="OSRRefT22_13x_0" localSheetId="87">'450'!$T$76:$T$82</definedName>
    <definedName name="OSRRefT22_13x_0" localSheetId="71">'491'!$T$74</definedName>
    <definedName name="OSRRefT22_13x_0" localSheetId="83">'492'!$T$73:$T$76</definedName>
    <definedName name="OSRRefT22_13x_0" localSheetId="89">'501'!$T$70</definedName>
    <definedName name="OSRRefT22_13x_0" localSheetId="39">'Div 2'!$T$69:$T$72</definedName>
    <definedName name="OSRRefT22_13x_0" localSheetId="47">'Div 3'!$T$106</definedName>
    <definedName name="OSRRefT22_13x_0" localSheetId="69">'Div 4'!$T$74</definedName>
    <definedName name="OSRRefT22_13x_0" localSheetId="88">'Div 5'!$T$70</definedName>
    <definedName name="OSRRefT22_13x_0" localSheetId="2">Summary!$T$114</definedName>
    <definedName name="OSRRefT22_14x_0" localSheetId="43">'203'!$T$72</definedName>
    <definedName name="OSRRefT22_14x_0" localSheetId="48">'300'!$T$104</definedName>
    <definedName name="OSRRefT22_14x_0" localSheetId="49">'300 &amp; 317'!$T$110</definedName>
    <definedName name="OSRRefT22_14x_0" localSheetId="50">'301'!$T$69</definedName>
    <definedName name="OSRRefT22_14x_0" localSheetId="64">'310'!$T$81:$T$82</definedName>
    <definedName name="OSRRefT22_14x_0" localSheetId="70">'310 &amp; 491'!$T$78:$T$82</definedName>
    <definedName name="OSRRefT22_14x_0" localSheetId="57">'315'!$T$94:$T$96</definedName>
    <definedName name="OSRRefT22_14x_0" localSheetId="67">'325'!$T$80</definedName>
    <definedName name="OSRRefT22_14x_0" localSheetId="58">'326'!$T$77:$T$79</definedName>
    <definedName name="OSRRefT22_14x_0" localSheetId="56">'331'!$T$92:$T$94</definedName>
    <definedName name="OSRRefT22_14x_0" localSheetId="72">'405'!$T$84</definedName>
    <definedName name="OSRRefT22_14x_0" localSheetId="74">'411'!$T$70</definedName>
    <definedName name="OSRRefT22_14x_0" localSheetId="78">'415'!$T$82:$T$83</definedName>
    <definedName name="OSRRefT22_14x_0" localSheetId="79">'418'!$T$82</definedName>
    <definedName name="OSRRefT22_14x_0" localSheetId="85">'433'!$T$85</definedName>
    <definedName name="OSRRefT22_14x_0" localSheetId="86">'444'!$T$77:$T$83</definedName>
    <definedName name="OSRRefT22_14x_0" localSheetId="87">'450'!$T$84</definedName>
    <definedName name="OSRRefT22_14x_0" localSheetId="71">'491'!$T$76:$T$80</definedName>
    <definedName name="OSRRefT22_14x_0" localSheetId="83">'492'!$T$78</definedName>
    <definedName name="OSRRefT22_14x_0" localSheetId="39">'Div 2'!$T$74:$T$75</definedName>
    <definedName name="OSRRefT22_14x_0" localSheetId="47">'Div 3'!$T$108</definedName>
    <definedName name="OSRRefT22_14x_0" localSheetId="69">'Div 4'!$T$76:$T$78</definedName>
    <definedName name="OSRRefT22_14x_0" localSheetId="2">Summary!$T$116</definedName>
    <definedName name="OSRRefT22_15x_0" localSheetId="48">'300'!$T$106</definedName>
    <definedName name="OSRRefT22_15x_0" localSheetId="49">'300 &amp; 317'!$T$112</definedName>
    <definedName name="OSRRefT22_15x_0" localSheetId="50">'301'!$T$71:$T$74</definedName>
    <definedName name="OSRRefT22_15x_0" localSheetId="64">'310'!$T$84</definedName>
    <definedName name="OSRRefT22_15x_0" localSheetId="70">'310 &amp; 491'!$T$84</definedName>
    <definedName name="OSRRefT22_15x_0" localSheetId="57">'315'!$T$98</definedName>
    <definedName name="OSRRefT22_15x_0" localSheetId="58">'326'!$T$81</definedName>
    <definedName name="OSRRefT22_15x_0" localSheetId="56">'331'!$T$96:$T$97</definedName>
    <definedName name="OSRRefT22_15x_0" localSheetId="72">'405'!$T$86</definedName>
    <definedName name="OSRRefT22_15x_0" localSheetId="78">'415'!$T$85</definedName>
    <definedName name="OSRRefT22_15x_0" localSheetId="86">'444'!$T$85</definedName>
    <definedName name="OSRRefT22_15x_0" localSheetId="87">'450'!$T$86</definedName>
    <definedName name="OSRRefT22_15x_0" localSheetId="71">'491'!$T$82</definedName>
    <definedName name="OSRRefT22_15x_0" localSheetId="83">'492'!$T$80:$T$87</definedName>
    <definedName name="OSRRefT22_15x_0" localSheetId="39">'Div 2'!$T$77</definedName>
    <definedName name="OSRRefT22_15x_0" localSheetId="47">'Div 3'!$T$110</definedName>
    <definedName name="OSRRefT22_15x_0" localSheetId="69">'Div 4'!$T$80</definedName>
    <definedName name="OSRRefT22_15x_0" localSheetId="2">Summary!$T$118</definedName>
    <definedName name="OSRRefT22_16x_0" localSheetId="48">'300'!$T$108:$T$111</definedName>
    <definedName name="OSRRefT22_16x_0" localSheetId="49">'300 &amp; 317'!$T$114:$T$117</definedName>
    <definedName name="OSRRefT22_16x_0" localSheetId="50">'301'!$T$76:$T$77</definedName>
    <definedName name="OSRRefT22_16x_0" localSheetId="64">'310'!$T$86</definedName>
    <definedName name="OSRRefT22_16x_0" localSheetId="70">'310 &amp; 491'!$T$86:$T$95</definedName>
    <definedName name="OSRRefT22_16x_0" localSheetId="57">'315'!$T$100</definedName>
    <definedName name="OSRRefT22_16x_0" localSheetId="58">'326'!$T$83:$T$84</definedName>
    <definedName name="OSRRefT22_16x_0" localSheetId="56">'331'!$T$99:$T$100</definedName>
    <definedName name="OSRRefT22_16x_0" localSheetId="78">'415'!$T$87</definedName>
    <definedName name="OSRRefT22_16x_0" localSheetId="86">'444'!$T$87</definedName>
    <definedName name="OSRRefT22_16x_0" localSheetId="87">'450'!$T$88</definedName>
    <definedName name="OSRRefT22_16x_0" localSheetId="71">'491'!$T$84:$T$92</definedName>
    <definedName name="OSRRefT22_16x_0" localSheetId="83">'492'!$T$89:$T$90</definedName>
    <definedName name="OSRRefT22_16x_0" localSheetId="39">'Div 2'!$T$79:$T$84</definedName>
    <definedName name="OSRRefT22_16x_0" localSheetId="47">'Div 3'!$T$112</definedName>
    <definedName name="OSRRefT22_16x_0" localSheetId="69">'Div 4'!$T$82:$T$86</definedName>
    <definedName name="OSRRefT22_16x_0" localSheetId="2">Summary!$T$120</definedName>
    <definedName name="OSRRefT22_17x_0" localSheetId="48">'300'!$T$113:$T$116</definedName>
    <definedName name="OSRRefT22_17x_0" localSheetId="49">'300 &amp; 317'!$T$119:$T$122</definedName>
    <definedName name="OSRRefT22_17x_0" localSheetId="50">'301'!$T$79</definedName>
    <definedName name="OSRRefT22_17x_0" localSheetId="70">'310 &amp; 491'!$T$97:$T$98</definedName>
    <definedName name="OSRRefT22_17x_0" localSheetId="58">'326'!$T$86</definedName>
    <definedName name="OSRRefT22_17x_0" localSheetId="56">'331'!$T$102:$T$105</definedName>
    <definedName name="OSRRefT22_17x_0" localSheetId="71">'491'!$T$94:$T$95</definedName>
    <definedName name="OSRRefT22_17x_0" localSheetId="83">'492'!$T$92</definedName>
    <definedName name="OSRRefT22_17x_0" localSheetId="39">'Div 2'!$T$86:$T$87</definedName>
    <definedName name="OSRRefT22_17x_0" localSheetId="47">'Div 3'!$T$114:$T$117</definedName>
    <definedName name="OSRRefT22_17x_0" localSheetId="69">'Div 4'!$T$88:$T$89</definedName>
    <definedName name="OSRRefT22_17x_0" localSheetId="2">Summary!$T$122</definedName>
    <definedName name="OSRRefT22_18x_0" localSheetId="48">'300'!$T$118:$T$120</definedName>
    <definedName name="OSRRefT22_18x_0" localSheetId="49">'300 &amp; 317'!$T$124:$T$126</definedName>
    <definedName name="OSRRefT22_18x_0" localSheetId="50">'301'!$T$81:$T$86</definedName>
    <definedName name="OSRRefT22_18x_0" localSheetId="70">'310 &amp; 491'!$T$100</definedName>
    <definedName name="OSRRefT22_18x_0" localSheetId="56">'331'!$T$107</definedName>
    <definedName name="OSRRefT22_18x_0" localSheetId="71">'491'!$T$97</definedName>
    <definedName name="OSRRefT22_18x_0" localSheetId="83">'492'!$T$94:$T$95</definedName>
    <definedName name="OSRRefT22_18x_0" localSheetId="39">'Div 2'!$T$89</definedName>
    <definedName name="OSRRefT22_18x_0" localSheetId="47">'Div 3'!$T$119:$T$122</definedName>
    <definedName name="OSRRefT22_18x_0" localSheetId="69">'Div 4'!$T$91:$T$100</definedName>
    <definedName name="OSRRefT22_18x_0" localSheetId="2">Summary!$T$124:$T$127</definedName>
    <definedName name="OSRRefT22_19x_0" localSheetId="48">'300'!$T$122:$T$123</definedName>
    <definedName name="OSRRefT22_19x_0" localSheetId="49">'300 &amp; 317'!$T$128:$T$129</definedName>
    <definedName name="OSRRefT22_19x_0" localSheetId="50">'301'!$T$88</definedName>
    <definedName name="OSRRefT22_19x_0" localSheetId="70">'310 &amp; 491'!$T$102</definedName>
    <definedName name="OSRRefT22_19x_0" localSheetId="56">'331'!$T$109:$T$110</definedName>
    <definedName name="OSRRefT22_19x_0" localSheetId="71">'491'!$T$99</definedName>
    <definedName name="OSRRefT22_19x_0" localSheetId="39">'Div 2'!$T$91:$T$92</definedName>
    <definedName name="OSRRefT22_19x_0" localSheetId="47">'Div 3'!$T$124:$T$127</definedName>
    <definedName name="OSRRefT22_19x_0" localSheetId="69">'Div 4'!$T$102:$T$103</definedName>
    <definedName name="OSRRefT22_19x_0" localSheetId="2">Summary!$T$129:$T$132</definedName>
    <definedName name="OSRRefT22_1x_0" localSheetId="40">'200'!$T$22</definedName>
    <definedName name="OSRRefT22_1x_0" localSheetId="41">'201'!$T$30:$T$39</definedName>
    <definedName name="OSRRefT22_1x_0" localSheetId="42">'202'!$T$30:$T$39</definedName>
    <definedName name="OSRRefT22_1x_0" localSheetId="43">'203'!$T$31:$T$40</definedName>
    <definedName name="OSRRefT22_1x_0" localSheetId="44">'204'!$T$30:$T$39</definedName>
    <definedName name="OSRRefT22_1x_0" localSheetId="45">'205'!$T$30:$T$39</definedName>
    <definedName name="OSRRefT22_1x_0" localSheetId="46">'206'!$T$30:$T$39</definedName>
    <definedName name="OSRRefT22_1x_0" localSheetId="48">'300'!$T$65:$T$74</definedName>
    <definedName name="OSRRefT22_1x_0" localSheetId="49">'300 &amp; 317'!$T$71:$T$80</definedName>
    <definedName name="OSRRefT22_1x_0" localSheetId="50">'301'!$T$32:$T$41</definedName>
    <definedName name="OSRRefT22_1x_0" localSheetId="52">'307'!$T$43:$T$52</definedName>
    <definedName name="OSRRefT22_1x_0" localSheetId="53">'308'!$T$46:$T$55</definedName>
    <definedName name="OSRRefT22_1x_0" localSheetId="65">'309'!$T$22</definedName>
    <definedName name="OSRRefT22_1x_0" localSheetId="64">'310'!$T$37:$T$46</definedName>
    <definedName name="OSRRefT22_1x_0" localSheetId="70">'310 &amp; 491'!$T$39:$T$48</definedName>
    <definedName name="OSRRefT22_1x_0" localSheetId="54">'311'!$T$46:$T$55</definedName>
    <definedName name="OSRRefT22_1x_0" localSheetId="57">'315'!$T$54:$T$63</definedName>
    <definedName name="OSRRefT22_1x_0" localSheetId="60">'316'!$T$37:$T$46</definedName>
    <definedName name="OSRRefT22_1x_0" localSheetId="62">'317'!$T$46:$T$55</definedName>
    <definedName name="OSRRefT22_1x_0" localSheetId="66">'321'!$T$34:$T$43</definedName>
    <definedName name="OSRRefT22_1x_0" localSheetId="67">'325'!$T$35:$T$44</definedName>
    <definedName name="OSRRefT22_1x_0" localSheetId="58">'326'!$T$38:$T$47</definedName>
    <definedName name="OSRRefT22_1x_0" localSheetId="51">'330'!$T$43:$T$52</definedName>
    <definedName name="OSRRefT22_1x_0" localSheetId="56">'331'!$T$54:$T$63</definedName>
    <definedName name="OSRRefT22_1x_0" localSheetId="59">'332'!$T$37:$T$46</definedName>
    <definedName name="OSRRefT22_1x_0" localSheetId="72">'405'!$T$37:$T$46</definedName>
    <definedName name="OSRRefT22_1x_0" localSheetId="73">'406'!$T$22</definedName>
    <definedName name="OSRRefT22_1x_0" localSheetId="74">'411'!$T$30:$T$39</definedName>
    <definedName name="OSRRefT22_1x_0" localSheetId="75">'412'!$T$22</definedName>
    <definedName name="OSRRefT22_1x_0" localSheetId="76">'413'!$T$22</definedName>
    <definedName name="OSRRefT22_1x_0" localSheetId="77">'414'!$T$22</definedName>
    <definedName name="OSRRefT22_1x_0" localSheetId="78">'415'!$T$37:$T$46</definedName>
    <definedName name="OSRRefT22_1x_0" localSheetId="79">'418'!$T$34:$T$43</definedName>
    <definedName name="OSRRefT22_1x_0" localSheetId="80">'423'!$T$29:$T$38</definedName>
    <definedName name="OSRRefT22_1x_0" localSheetId="81">'424'!$T$22</definedName>
    <definedName name="OSRRefT22_1x_0" localSheetId="82">'425'!$T$24</definedName>
    <definedName name="OSRRefT22_1x_0" localSheetId="84">'430'!$T$30:$T$39</definedName>
    <definedName name="OSRRefT22_1x_0" localSheetId="85">'433'!$T$38:$T$47</definedName>
    <definedName name="OSRRefT22_1x_0" localSheetId="86">'444'!$T$38:$T$47</definedName>
    <definedName name="OSRRefT22_1x_0" localSheetId="87">'450'!$T$38:$T$47</definedName>
    <definedName name="OSRRefT22_1x_0" localSheetId="71">'491'!$T$38:$T$47</definedName>
    <definedName name="OSRRefT22_1x_0" localSheetId="83">'492'!$T$38:$T$47</definedName>
    <definedName name="OSRRefT22_1x_0" localSheetId="89">'501'!$T$32:$T$41</definedName>
    <definedName name="OSRRefT22_1x_0" localSheetId="39">'Div 2'!$T$32:$T$41</definedName>
    <definedName name="OSRRefT22_1x_0" localSheetId="47">'Div 3'!$T$69:$T$78</definedName>
    <definedName name="OSRRefT22_1x_0" localSheetId="69">'Div 4'!$T$40:$T$49</definedName>
    <definedName name="OSRRefT22_1x_0" localSheetId="88">'Div 5'!$T$32:$T$41</definedName>
    <definedName name="OSRRefT22_1x_0" localSheetId="61">'Div 6'!$T$46:$T$55</definedName>
    <definedName name="OSRRefT22_1x_0" localSheetId="2">Summary!$T$77:$T$86</definedName>
    <definedName name="OSRRefT22_20x_0" localSheetId="48">'300'!$T$125:$T$131</definedName>
    <definedName name="OSRRefT22_20x_0" localSheetId="49">'300 &amp; 317'!$T$131:$T$137</definedName>
    <definedName name="OSRRefT22_20x_0" localSheetId="50">'301'!$T$90</definedName>
    <definedName name="OSRRefT22_20x_0" localSheetId="70">'310 &amp; 491'!$T$104</definedName>
    <definedName name="OSRRefT22_20x_0" localSheetId="56">'331'!$T$112</definedName>
    <definedName name="OSRRefT22_20x_0" localSheetId="71">'491'!$T$101</definedName>
    <definedName name="OSRRefT22_20x_0" localSheetId="47">'Div 3'!$T$129:$T$130</definedName>
    <definedName name="OSRRefT22_20x_0" localSheetId="69">'Div 4'!$T$105</definedName>
    <definedName name="OSRRefT22_20x_0" localSheetId="2">Summary!$T$134:$T$138</definedName>
    <definedName name="OSRRefT22_21x_0" localSheetId="48">'300'!$T$133:$T$134</definedName>
    <definedName name="OSRRefT22_21x_0" localSheetId="49">'300 &amp; 317'!$T$139:$T$140</definedName>
    <definedName name="OSRRefT22_21x_0" localSheetId="50">'301'!$T$92:$T$93</definedName>
    <definedName name="OSRRefT22_21x_0" localSheetId="47">'Div 3'!$T$132:$T$138</definedName>
    <definedName name="OSRRefT22_21x_0" localSheetId="69">'Div 4'!$T$107:$T$108</definedName>
    <definedName name="OSRRefT22_21x_0" localSheetId="2">Summary!$T$140:$T$141</definedName>
    <definedName name="OSRRefT22_22x_0" localSheetId="48">'300'!$T$136</definedName>
    <definedName name="OSRRefT22_22x_0" localSheetId="49">'300 &amp; 317'!$T$142</definedName>
    <definedName name="OSRRefT22_22x_0" localSheetId="50">'301'!$T$95</definedName>
    <definedName name="OSRRefT22_22x_0" localSheetId="47">'Div 3'!$T$140:$T$141</definedName>
    <definedName name="OSRRefT22_22x_0" localSheetId="69">'Div 4'!$T$110</definedName>
    <definedName name="OSRRefT22_22x_0" localSheetId="2">Summary!$T$143:$T$152</definedName>
    <definedName name="OSRRefT22_23x_0" localSheetId="48">'300'!$T$138:$T$140</definedName>
    <definedName name="OSRRefT22_23x_0" localSheetId="49">'300 &amp; 317'!$T$144:$T$146</definedName>
    <definedName name="OSRRefT22_23x_0" localSheetId="47">'Div 3'!$T$143</definedName>
    <definedName name="OSRRefT22_23x_0" localSheetId="2">Summary!$T$154:$T$155</definedName>
    <definedName name="OSRRefT22_24x_0" localSheetId="48">'300'!$T$142</definedName>
    <definedName name="OSRRefT22_24x_0" localSheetId="49">'300 &amp; 317'!$T$148</definedName>
    <definedName name="OSRRefT22_24x_0" localSheetId="47">'Div 3'!$T$145:$T$147</definedName>
    <definedName name="OSRRefT22_24x_0" localSheetId="2">Summary!$T$157</definedName>
    <definedName name="OSRRefT22_25x_0" localSheetId="47">'Div 3'!$T$149</definedName>
    <definedName name="OSRRefT22_25x_0" localSheetId="2">Summary!$T$159:$T$161</definedName>
    <definedName name="OSRRefT22_26x_0" localSheetId="2">Summary!$T$163</definedName>
    <definedName name="OSRRefT22_2x_0" localSheetId="40">'200'!$T$24</definedName>
    <definedName name="OSRRefT22_2x_0" localSheetId="41">'201'!$T$41</definedName>
    <definedName name="OSRRefT22_2x_0" localSheetId="42">'202'!$T$41</definedName>
    <definedName name="OSRRefT22_2x_0" localSheetId="43">'203'!$T$42</definedName>
    <definedName name="OSRRefT22_2x_0" localSheetId="44">'204'!$T$41</definedName>
    <definedName name="OSRRefT22_2x_0" localSheetId="45">'205'!$T$41</definedName>
    <definedName name="OSRRefT22_2x_0" localSheetId="46">'206'!$T$41</definedName>
    <definedName name="OSRRefT22_2x_0" localSheetId="48">'300'!$T$76</definedName>
    <definedName name="OSRRefT22_2x_0" localSheetId="49">'300 &amp; 317'!$T$82</definedName>
    <definedName name="OSRRefT22_2x_0" localSheetId="50">'301'!$T$43</definedName>
    <definedName name="OSRRefT22_2x_0" localSheetId="52">'307'!$T$54</definedName>
    <definedName name="OSRRefT22_2x_0" localSheetId="53">'308'!$T$57</definedName>
    <definedName name="OSRRefT22_2x_0" localSheetId="65">'309'!$T$24</definedName>
    <definedName name="OSRRefT22_2x_0" localSheetId="64">'310'!$T$48</definedName>
    <definedName name="OSRRefT22_2x_0" localSheetId="70">'310 &amp; 491'!$T$50</definedName>
    <definedName name="OSRRefT22_2x_0" localSheetId="54">'311'!$T$57</definedName>
    <definedName name="OSRRefT22_2x_0" localSheetId="57">'315'!$T$65</definedName>
    <definedName name="OSRRefT22_2x_0" localSheetId="60">'316'!$T$48</definedName>
    <definedName name="OSRRefT22_2x_0" localSheetId="62">'317'!$T$57</definedName>
    <definedName name="OSRRefT22_2x_0" localSheetId="66">'321'!$T$45</definedName>
    <definedName name="OSRRefT22_2x_0" localSheetId="67">'325'!$T$46</definedName>
    <definedName name="OSRRefT22_2x_0" localSheetId="58">'326'!$T$49</definedName>
    <definedName name="OSRRefT22_2x_0" localSheetId="51">'330'!$T$54</definedName>
    <definedName name="OSRRefT22_2x_0" localSheetId="56">'331'!$T$65</definedName>
    <definedName name="OSRRefT22_2x_0" localSheetId="59">'332'!$T$48</definedName>
    <definedName name="OSRRefT22_2x_0" localSheetId="72">'405'!$T$48</definedName>
    <definedName name="OSRRefT22_2x_0" localSheetId="74">'411'!$T$41</definedName>
    <definedName name="OSRRefT22_2x_0" localSheetId="75">'412'!$T$24</definedName>
    <definedName name="OSRRefT22_2x_0" localSheetId="76">'413'!$T$24</definedName>
    <definedName name="OSRRefT22_2x_0" localSheetId="77">'414'!$T$24</definedName>
    <definedName name="OSRRefT22_2x_0" localSheetId="78">'415'!$T$48</definedName>
    <definedName name="OSRRefT22_2x_0" localSheetId="79">'418'!$T$45</definedName>
    <definedName name="OSRRefT22_2x_0" localSheetId="80">'423'!$T$40</definedName>
    <definedName name="OSRRefT22_2x_0" localSheetId="82">'425'!$T$26</definedName>
    <definedName name="OSRRefT22_2x_0" localSheetId="84">'430'!$T$41</definedName>
    <definedName name="OSRRefT22_2x_0" localSheetId="85">'433'!$T$49</definedName>
    <definedName name="OSRRefT22_2x_0" localSheetId="86">'444'!$T$49</definedName>
    <definedName name="OSRRefT22_2x_0" localSheetId="87">'450'!$T$49</definedName>
    <definedName name="OSRRefT22_2x_0" localSheetId="71">'491'!$T$49</definedName>
    <definedName name="OSRRefT22_2x_0" localSheetId="83">'492'!$T$49</definedName>
    <definedName name="OSRRefT22_2x_0" localSheetId="89">'501'!$T$43</definedName>
    <definedName name="OSRRefT22_2x_0" localSheetId="39">'Div 2'!$T$43</definedName>
    <definedName name="OSRRefT22_2x_0" localSheetId="47">'Div 3'!$T$80</definedName>
    <definedName name="OSRRefT22_2x_0" localSheetId="69">'Div 4'!$T$51</definedName>
    <definedName name="OSRRefT22_2x_0" localSheetId="88">'Div 5'!$T$43</definedName>
    <definedName name="OSRRefT22_2x_0" localSheetId="61">'Div 6'!$T$57</definedName>
    <definedName name="OSRRefT22_2x_0" localSheetId="2">Summary!$T$88</definedName>
    <definedName name="OSRRefT22_3x_0" localSheetId="40">'200'!$T$26:$T$27</definedName>
    <definedName name="OSRRefT22_3x_0" localSheetId="41">'201'!$T$43</definedName>
    <definedName name="OSRRefT22_3x_0" localSheetId="42">'202'!$T$43</definedName>
    <definedName name="OSRRefT22_3x_0" localSheetId="43">'203'!$T$44</definedName>
    <definedName name="OSRRefT22_3x_0" localSheetId="44">'204'!$T$43:$T$44</definedName>
    <definedName name="OSRRefT22_3x_0" localSheetId="45">'205'!$T$43</definedName>
    <definedName name="OSRRefT22_3x_0" localSheetId="46">'206'!$T$43</definedName>
    <definedName name="OSRRefT22_3x_0" localSheetId="48">'300'!$T$78</definedName>
    <definedName name="OSRRefT22_3x_0" localSheetId="49">'300 &amp; 317'!$T$84</definedName>
    <definedName name="OSRRefT22_3x_0" localSheetId="50">'301'!$T$45</definedName>
    <definedName name="OSRRefT22_3x_0" localSheetId="52">'307'!$T$56</definedName>
    <definedName name="OSRRefT22_3x_0" localSheetId="53">'308'!$T$59</definedName>
    <definedName name="OSRRefT22_3x_0" localSheetId="65">'309'!$T$26:$T$27</definedName>
    <definedName name="OSRRefT22_3x_0" localSheetId="64">'310'!$T$50</definedName>
    <definedName name="OSRRefT22_3x_0" localSheetId="70">'310 &amp; 491'!$T$52</definedName>
    <definedName name="OSRRefT22_3x_0" localSheetId="54">'311'!$T$59</definedName>
    <definedName name="OSRRefT22_3x_0" localSheetId="57">'315'!$T$67</definedName>
    <definedName name="OSRRefT22_3x_0" localSheetId="60">'316'!$T$50</definedName>
    <definedName name="OSRRefT22_3x_0" localSheetId="62">'317'!$T$59</definedName>
    <definedName name="OSRRefT22_3x_0" localSheetId="66">'321'!$T$47</definedName>
    <definedName name="OSRRefT22_3x_0" localSheetId="67">'325'!$T$48</definedName>
    <definedName name="OSRRefT22_3x_0" localSheetId="58">'326'!$T$51</definedName>
    <definedName name="OSRRefT22_3x_0" localSheetId="51">'330'!$T$56</definedName>
    <definedName name="OSRRefT22_3x_0" localSheetId="56">'331'!$T$67</definedName>
    <definedName name="OSRRefT22_3x_0" localSheetId="59">'332'!$T$50</definedName>
    <definedName name="OSRRefT22_3x_0" localSheetId="72">'405'!$T$50</definedName>
    <definedName name="OSRRefT22_3x_0" localSheetId="74">'411'!$T$43:$T$44</definedName>
    <definedName name="OSRRefT22_3x_0" localSheetId="75">'412'!$T$26</definedName>
    <definedName name="OSRRefT22_3x_0" localSheetId="78">'415'!$T$50</definedName>
    <definedName name="OSRRefT22_3x_0" localSheetId="79">'418'!$T$47</definedName>
    <definedName name="OSRRefT22_3x_0" localSheetId="80">'423'!$T$42</definedName>
    <definedName name="OSRRefT22_3x_0" localSheetId="82">'425'!$T$28</definedName>
    <definedName name="OSRRefT22_3x_0" localSheetId="84">'430'!$T$43</definedName>
    <definedName name="OSRRefT22_3x_0" localSheetId="85">'433'!$T$51</definedName>
    <definedName name="OSRRefT22_3x_0" localSheetId="86">'444'!$T$51</definedName>
    <definedName name="OSRRefT22_3x_0" localSheetId="87">'450'!$T$51</definedName>
    <definedName name="OSRRefT22_3x_0" localSheetId="71">'491'!$T$51</definedName>
    <definedName name="OSRRefT22_3x_0" localSheetId="83">'492'!$T$51</definedName>
    <definedName name="OSRRefT22_3x_0" localSheetId="89">'501'!$T$45</definedName>
    <definedName name="OSRRefT22_3x_0" localSheetId="39">'Div 2'!$T$45</definedName>
    <definedName name="OSRRefT22_3x_0" localSheetId="47">'Div 3'!$T$82</definedName>
    <definedName name="OSRRefT22_3x_0" localSheetId="69">'Div 4'!$T$53</definedName>
    <definedName name="OSRRefT22_3x_0" localSheetId="88">'Div 5'!$T$45</definedName>
    <definedName name="OSRRefT22_3x_0" localSheetId="61">'Div 6'!$T$59</definedName>
    <definedName name="OSRRefT22_3x_0" localSheetId="2">Summary!$T$90</definedName>
    <definedName name="OSRRefT22_4x_0" localSheetId="41">'201'!$T$45</definedName>
    <definedName name="OSRRefT22_4x_0" localSheetId="42">'202'!$T$45</definedName>
    <definedName name="OSRRefT22_4x_0" localSheetId="43">'203'!$T$46</definedName>
    <definedName name="OSRRefT22_4x_0" localSheetId="44">'204'!$T$46</definedName>
    <definedName name="OSRRefT22_4x_0" localSheetId="45">'205'!$T$45:$T$46</definedName>
    <definedName name="OSRRefT22_4x_0" localSheetId="46">'206'!$T$45:$T$46</definedName>
    <definedName name="OSRRefT22_4x_0" localSheetId="48">'300'!$T$80</definedName>
    <definedName name="OSRRefT22_4x_0" localSheetId="49">'300 &amp; 317'!$T$86</definedName>
    <definedName name="OSRRefT22_4x_0" localSheetId="50">'301'!$T$47</definedName>
    <definedName name="OSRRefT22_4x_0" localSheetId="52">'307'!$T$58</definedName>
    <definedName name="OSRRefT22_4x_0" localSheetId="53">'308'!$T$61</definedName>
    <definedName name="OSRRefT22_4x_0" localSheetId="65">'309'!$T$29</definedName>
    <definedName name="OSRRefT22_4x_0" localSheetId="64">'310'!$T$52</definedName>
    <definedName name="OSRRefT22_4x_0" localSheetId="70">'310 &amp; 491'!$T$54</definedName>
    <definedName name="OSRRefT22_4x_0" localSheetId="54">'311'!$T$61</definedName>
    <definedName name="OSRRefT22_4x_0" localSheetId="57">'315'!$T$69</definedName>
    <definedName name="OSRRefT22_4x_0" localSheetId="60">'316'!$T$52</definedName>
    <definedName name="OSRRefT22_4x_0" localSheetId="62">'317'!$T$61</definedName>
    <definedName name="OSRRefT22_4x_0" localSheetId="66">'321'!$T$49</definedName>
    <definedName name="OSRRefT22_4x_0" localSheetId="67">'325'!$T$50</definedName>
    <definedName name="OSRRefT22_4x_0" localSheetId="58">'326'!$T$53</definedName>
    <definedName name="OSRRefT22_4x_0" localSheetId="51">'330'!$T$58</definedName>
    <definedName name="OSRRefT22_4x_0" localSheetId="56">'331'!$T$69</definedName>
    <definedName name="OSRRefT22_4x_0" localSheetId="59">'332'!$T$52</definedName>
    <definedName name="OSRRefT22_4x_0" localSheetId="72">'405'!$T$52</definedName>
    <definedName name="OSRRefT22_4x_0" localSheetId="74">'411'!$T$46</definedName>
    <definedName name="OSRRefT22_4x_0" localSheetId="78">'415'!$T$52</definedName>
    <definedName name="OSRRefT22_4x_0" localSheetId="79">'418'!$T$49:$T$50</definedName>
    <definedName name="OSRRefT22_4x_0" localSheetId="80">'423'!$T$44</definedName>
    <definedName name="OSRRefT22_4x_0" localSheetId="82">'425'!$T$30</definedName>
    <definedName name="OSRRefT22_4x_0" localSheetId="84">'430'!$T$45</definedName>
    <definedName name="OSRRefT22_4x_0" localSheetId="85">'433'!$T$53</definedName>
    <definedName name="OSRRefT22_4x_0" localSheetId="86">'444'!$T$53</definedName>
    <definedName name="OSRRefT22_4x_0" localSheetId="87">'450'!$T$53</definedName>
    <definedName name="OSRRefT22_4x_0" localSheetId="71">'491'!$T$53</definedName>
    <definedName name="OSRRefT22_4x_0" localSheetId="83">'492'!$T$53</definedName>
    <definedName name="OSRRefT22_4x_0" localSheetId="89">'501'!$T$47</definedName>
    <definedName name="OSRRefT22_4x_0" localSheetId="39">'Div 2'!$T$47</definedName>
    <definedName name="OSRRefT22_4x_0" localSheetId="47">'Div 3'!$T$84</definedName>
    <definedName name="OSRRefT22_4x_0" localSheetId="69">'Div 4'!$T$55</definedName>
    <definedName name="OSRRefT22_4x_0" localSheetId="88">'Div 5'!$T$47</definedName>
    <definedName name="OSRRefT22_4x_0" localSheetId="61">'Div 6'!$T$61</definedName>
    <definedName name="OSRRefT22_4x_0" localSheetId="2">Summary!$T$92</definedName>
    <definedName name="OSRRefT22_5x_0" localSheetId="41">'201'!$T$47</definedName>
    <definedName name="OSRRefT22_5x_0" localSheetId="42">'202'!$T$47</definedName>
    <definedName name="OSRRefT22_5x_0" localSheetId="43">'203'!$T$48</definedName>
    <definedName name="OSRRefT22_5x_0" localSheetId="44">'204'!$T$48:$T$51</definedName>
    <definedName name="OSRRefT22_5x_0" localSheetId="45">'205'!$T$48</definedName>
    <definedName name="OSRRefT22_5x_0" localSheetId="46">'206'!$T$48</definedName>
    <definedName name="OSRRefT22_5x_0" localSheetId="48">'300'!$T$82:$T$83</definedName>
    <definedName name="OSRRefT22_5x_0" localSheetId="49">'300 &amp; 317'!$T$88:$T$89</definedName>
    <definedName name="OSRRefT22_5x_0" localSheetId="50">'301'!$T$49:$T$50</definedName>
    <definedName name="OSRRefT22_5x_0" localSheetId="52">'307'!$T$60:$T$61</definedName>
    <definedName name="OSRRefT22_5x_0" localSheetId="53">'308'!$T$63</definedName>
    <definedName name="OSRRefT22_5x_0" localSheetId="64">'310'!$T$54:$T$55</definedName>
    <definedName name="OSRRefT22_5x_0" localSheetId="70">'310 &amp; 491'!$T$56:$T$57</definedName>
    <definedName name="OSRRefT22_5x_0" localSheetId="54">'311'!$T$63</definedName>
    <definedName name="OSRRefT22_5x_0" localSheetId="57">'315'!$T$71</definedName>
    <definedName name="OSRRefT22_5x_0" localSheetId="60">'316'!$T$54:$T$55</definedName>
    <definedName name="OSRRefT22_5x_0" localSheetId="62">'317'!$T$63</definedName>
    <definedName name="OSRRefT22_5x_0" localSheetId="66">'321'!$T$51</definedName>
    <definedName name="OSRRefT22_5x_0" localSheetId="67">'325'!$T$52:$T$53</definedName>
    <definedName name="OSRRefT22_5x_0" localSheetId="58">'326'!$T$55</definedName>
    <definedName name="OSRRefT22_5x_0" localSheetId="51">'330'!$T$60:$T$61</definedName>
    <definedName name="OSRRefT22_5x_0" localSheetId="56">'331'!$T$71</definedName>
    <definedName name="OSRRefT22_5x_0" localSheetId="59">'332'!$T$54:$T$55</definedName>
    <definedName name="OSRRefT22_5x_0" localSheetId="72">'405'!$T$54:$T$55</definedName>
    <definedName name="OSRRefT22_5x_0" localSheetId="74">'411'!$T$48</definedName>
    <definedName name="OSRRefT22_5x_0" localSheetId="78">'415'!$T$54:$T$55</definedName>
    <definedName name="OSRRefT22_5x_0" localSheetId="79">'418'!$T$52</definedName>
    <definedName name="OSRRefT22_5x_0" localSheetId="80">'423'!$T$46</definedName>
    <definedName name="OSRRefT22_5x_0" localSheetId="82">'425'!$T$32</definedName>
    <definedName name="OSRRefT22_5x_0" localSheetId="84">'430'!$T$47:$T$48</definedName>
    <definedName name="OSRRefT22_5x_0" localSheetId="85">'433'!$T$55</definedName>
    <definedName name="OSRRefT22_5x_0" localSheetId="86">'444'!$T$55</definedName>
    <definedName name="OSRRefT22_5x_0" localSheetId="87">'450'!$T$55</definedName>
    <definedName name="OSRRefT22_5x_0" localSheetId="71">'491'!$T$55:$T$56</definedName>
    <definedName name="OSRRefT22_5x_0" localSheetId="83">'492'!$T$55</definedName>
    <definedName name="OSRRefT22_5x_0" localSheetId="89">'501'!$T$49:$T$50</definedName>
    <definedName name="OSRRefT22_5x_0" localSheetId="39">'Div 2'!$T$49:$T$50</definedName>
    <definedName name="OSRRefT22_5x_0" localSheetId="47">'Div 3'!$T$86:$T$87</definedName>
    <definedName name="OSRRefT22_5x_0" localSheetId="69">'Div 4'!$T$57:$T$58</definedName>
    <definedName name="OSRRefT22_5x_0" localSheetId="88">'Div 5'!$T$49:$T$50</definedName>
    <definedName name="OSRRefT22_5x_0" localSheetId="61">'Div 6'!$T$63</definedName>
    <definedName name="OSRRefT22_5x_0" localSheetId="2">Summary!$T$94:$T$95</definedName>
    <definedName name="OSRRefT22_6x_0" localSheetId="41">'201'!$T$49</definedName>
    <definedName name="OSRRefT22_6x_0" localSheetId="42">'202'!$T$49:$T$51</definedName>
    <definedName name="OSRRefT22_6x_0" localSheetId="43">'203'!$T$50</definedName>
    <definedName name="OSRRefT22_6x_0" localSheetId="44">'204'!$T$53</definedName>
    <definedName name="OSRRefT22_6x_0" localSheetId="45">'205'!$T$50:$T$52</definedName>
    <definedName name="OSRRefT22_6x_0" localSheetId="46">'206'!$T$50:$T$51</definedName>
    <definedName name="OSRRefT22_6x_0" localSheetId="48">'300'!$T$85:$T$86</definedName>
    <definedName name="OSRRefT22_6x_0" localSheetId="49">'300 &amp; 317'!$T$91:$T$92</definedName>
    <definedName name="OSRRefT22_6x_0" localSheetId="50">'301'!$T$52:$T$53</definedName>
    <definedName name="OSRRefT22_6x_0" localSheetId="52">'307'!$T$63</definedName>
    <definedName name="OSRRefT22_6x_0" localSheetId="53">'308'!$T$65</definedName>
    <definedName name="OSRRefT22_6x_0" localSheetId="64">'310'!$T$57</definedName>
    <definedName name="OSRRefT22_6x_0" localSheetId="70">'310 &amp; 491'!$T$59</definedName>
    <definedName name="OSRRefT22_6x_0" localSheetId="54">'311'!$T$65</definedName>
    <definedName name="OSRRefT22_6x_0" localSheetId="57">'315'!$T$73</definedName>
    <definedName name="OSRRefT22_6x_0" localSheetId="60">'316'!$T$57</definedName>
    <definedName name="OSRRefT22_6x_0" localSheetId="62">'317'!$T$65</definedName>
    <definedName name="OSRRefT22_6x_0" localSheetId="66">'321'!$T$53:$T$54</definedName>
    <definedName name="OSRRefT22_6x_0" localSheetId="67">'325'!$T$55</definedName>
    <definedName name="OSRRefT22_6x_0" localSheetId="58">'326'!$T$57:$T$58</definedName>
    <definedName name="OSRRefT22_6x_0" localSheetId="51">'330'!$T$63</definedName>
    <definedName name="OSRRefT22_6x_0" localSheetId="56">'331'!$T$73</definedName>
    <definedName name="OSRRefT22_6x_0" localSheetId="59">'332'!$T$57</definedName>
    <definedName name="OSRRefT22_6x_0" localSheetId="72">'405'!$T$57</definedName>
    <definedName name="OSRRefT22_6x_0" localSheetId="74">'411'!$T$50</definedName>
    <definedName name="OSRRefT22_6x_0" localSheetId="78">'415'!$T$57</definedName>
    <definedName name="OSRRefT22_6x_0" localSheetId="79">'418'!$T$54</definedName>
    <definedName name="OSRRefT22_6x_0" localSheetId="84">'430'!$T$50:$T$51</definedName>
    <definedName name="OSRRefT22_6x_0" localSheetId="85">'433'!$T$57</definedName>
    <definedName name="OSRRefT22_6x_0" localSheetId="86">'444'!$T$57</definedName>
    <definedName name="OSRRefT22_6x_0" localSheetId="87">'450'!$T$57</definedName>
    <definedName name="OSRRefT22_6x_0" localSheetId="71">'491'!$T$58</definedName>
    <definedName name="OSRRefT22_6x_0" localSheetId="83">'492'!$T$57</definedName>
    <definedName name="OSRRefT22_6x_0" localSheetId="89">'501'!$T$52</definedName>
    <definedName name="OSRRefT22_6x_0" localSheetId="39">'Div 2'!$T$52</definedName>
    <definedName name="OSRRefT22_6x_0" localSheetId="47">'Div 3'!$T$89:$T$90</definedName>
    <definedName name="OSRRefT22_6x_0" localSheetId="69">'Div 4'!$T$60</definedName>
    <definedName name="OSRRefT22_6x_0" localSheetId="88">'Div 5'!$T$52</definedName>
    <definedName name="OSRRefT22_6x_0" localSheetId="61">'Div 6'!$T$65</definedName>
    <definedName name="OSRRefT22_6x_0" localSheetId="2">Summary!$T$97:$T$98</definedName>
    <definedName name="OSRRefT22_7x_0" localSheetId="41">'201'!$T$51</definedName>
    <definedName name="OSRRefT22_7x_0" localSheetId="42">'202'!$T$53</definedName>
    <definedName name="OSRRefT22_7x_0" localSheetId="43">'203'!$T$52</definedName>
    <definedName name="OSRRefT22_7x_0" localSheetId="44">'204'!$T$55:$T$56</definedName>
    <definedName name="OSRRefT22_7x_0" localSheetId="45">'205'!$T$54</definedName>
    <definedName name="OSRRefT22_7x_0" localSheetId="46">'206'!$T$53</definedName>
    <definedName name="OSRRefT22_7x_0" localSheetId="48">'300'!$T$88</definedName>
    <definedName name="OSRRefT22_7x_0" localSheetId="49">'300 &amp; 317'!$T$94</definedName>
    <definedName name="OSRRefT22_7x_0" localSheetId="50">'301'!$T$55</definedName>
    <definedName name="OSRRefT22_7x_0" localSheetId="52">'307'!$T$65</definedName>
    <definedName name="OSRRefT22_7x_0" localSheetId="53">'308'!$T$67</definedName>
    <definedName name="OSRRefT22_7x_0" localSheetId="64">'310'!$T$59</definedName>
    <definedName name="OSRRefT22_7x_0" localSheetId="70">'310 &amp; 491'!$T$61</definedName>
    <definedName name="OSRRefT22_7x_0" localSheetId="54">'311'!$T$67</definedName>
    <definedName name="OSRRefT22_7x_0" localSheetId="57">'315'!$T$75:$T$76</definedName>
    <definedName name="OSRRefT22_7x_0" localSheetId="60">'316'!$T$59:$T$61</definedName>
    <definedName name="OSRRefT22_7x_0" localSheetId="62">'317'!$T$67</definedName>
    <definedName name="OSRRefT22_7x_0" localSheetId="66">'321'!$T$56</definedName>
    <definedName name="OSRRefT22_7x_0" localSheetId="67">'325'!$T$57</definedName>
    <definedName name="OSRRefT22_7x_0" localSheetId="58">'326'!$T$60</definedName>
    <definedName name="OSRRefT22_7x_0" localSheetId="51">'330'!$T$65</definedName>
    <definedName name="OSRRefT22_7x_0" localSheetId="56">'331'!$T$75:$T$76</definedName>
    <definedName name="OSRRefT22_7x_0" localSheetId="59">'332'!$T$59:$T$61</definedName>
    <definedName name="OSRRefT22_7x_0" localSheetId="72">'405'!$T$59</definedName>
    <definedName name="OSRRefT22_7x_0" localSheetId="74">'411'!$T$52</definedName>
    <definedName name="OSRRefT22_7x_0" localSheetId="78">'415'!$T$59</definedName>
    <definedName name="OSRRefT22_7x_0" localSheetId="79">'418'!$T$56</definedName>
    <definedName name="OSRRefT22_7x_0" localSheetId="84">'430'!$T$53</definedName>
    <definedName name="OSRRefT22_7x_0" localSheetId="85">'433'!$T$59</definedName>
    <definedName name="OSRRefT22_7x_0" localSheetId="86">'444'!$T$59</definedName>
    <definedName name="OSRRefT22_7x_0" localSheetId="87">'450'!$T$59</definedName>
    <definedName name="OSRRefT22_7x_0" localSheetId="71">'491'!$T$60</definedName>
    <definedName name="OSRRefT22_7x_0" localSheetId="83">'492'!$T$59</definedName>
    <definedName name="OSRRefT22_7x_0" localSheetId="89">'501'!$T$54</definedName>
    <definedName name="OSRRefT22_7x_0" localSheetId="39">'Div 2'!$T$54</definedName>
    <definedName name="OSRRefT22_7x_0" localSheetId="47">'Div 3'!$T$92</definedName>
    <definedName name="OSRRefT22_7x_0" localSheetId="69">'Div 4'!$T$62</definedName>
    <definedName name="OSRRefT22_7x_0" localSheetId="88">'Div 5'!$T$54</definedName>
    <definedName name="OSRRefT22_7x_0" localSheetId="61">'Div 6'!$T$67</definedName>
    <definedName name="OSRRefT22_7x_0" localSheetId="2">Summary!$T$100</definedName>
    <definedName name="OSRRefT22_8x_0" localSheetId="41">'201'!$T$53:$T$55</definedName>
    <definedName name="OSRRefT22_8x_0" localSheetId="42">'202'!$T$55</definedName>
    <definedName name="OSRRefT22_8x_0" localSheetId="43">'203'!$T$54:$T$56</definedName>
    <definedName name="OSRRefT22_8x_0" localSheetId="48">'300'!$T$90</definedName>
    <definedName name="OSRRefT22_8x_0" localSheetId="49">'300 &amp; 317'!$T$96</definedName>
    <definedName name="OSRRefT22_8x_0" localSheetId="50">'301'!$T$57</definedName>
    <definedName name="OSRRefT22_8x_0" localSheetId="52">'307'!$T$67</definedName>
    <definedName name="OSRRefT22_8x_0" localSheetId="53">'308'!$T$69:$T$71</definedName>
    <definedName name="OSRRefT22_8x_0" localSheetId="64">'310'!$T$61</definedName>
    <definedName name="OSRRefT22_8x_0" localSheetId="70">'310 &amp; 491'!$T$63</definedName>
    <definedName name="OSRRefT22_8x_0" localSheetId="54">'311'!$T$69:$T$71</definedName>
    <definedName name="OSRRefT22_8x_0" localSheetId="57">'315'!$T$78</definedName>
    <definedName name="OSRRefT22_8x_0" localSheetId="60">'316'!$T$63</definedName>
    <definedName name="OSRRefT22_8x_0" localSheetId="62">'317'!$T$69:$T$70</definedName>
    <definedName name="OSRRefT22_8x_0" localSheetId="66">'321'!$T$58:$T$59</definedName>
    <definedName name="OSRRefT22_8x_0" localSheetId="67">'325'!$T$59</definedName>
    <definedName name="OSRRefT22_8x_0" localSheetId="58">'326'!$T$62</definedName>
    <definedName name="OSRRefT22_8x_0" localSheetId="51">'330'!$T$67</definedName>
    <definedName name="OSRRefT22_8x_0" localSheetId="56">'331'!$T$78:$T$79</definedName>
    <definedName name="OSRRefT22_8x_0" localSheetId="59">'332'!$T$63</definedName>
    <definedName name="OSRRefT22_8x_0" localSheetId="72">'405'!$T$61</definedName>
    <definedName name="OSRRefT22_8x_0" localSheetId="74">'411'!$T$54:$T$56</definedName>
    <definedName name="OSRRefT22_8x_0" localSheetId="78">'415'!$T$61</definedName>
    <definedName name="OSRRefT22_8x_0" localSheetId="79">'418'!$T$58:$T$59</definedName>
    <definedName name="OSRRefT22_8x_0" localSheetId="84">'430'!$T$55</definedName>
    <definedName name="OSRRefT22_8x_0" localSheetId="85">'433'!$T$61</definedName>
    <definedName name="OSRRefT22_8x_0" localSheetId="86">'444'!$T$61</definedName>
    <definedName name="OSRRefT22_8x_0" localSheetId="87">'450'!$T$61</definedName>
    <definedName name="OSRRefT22_8x_0" localSheetId="71">'491'!$T$62</definedName>
    <definedName name="OSRRefT22_8x_0" localSheetId="83">'492'!$T$61</definedName>
    <definedName name="OSRRefT22_8x_0" localSheetId="89">'501'!$T$56</definedName>
    <definedName name="OSRRefT22_8x_0" localSheetId="39">'Div 2'!$T$56</definedName>
    <definedName name="OSRRefT22_8x_0" localSheetId="47">'Div 3'!$T$94</definedName>
    <definedName name="OSRRefT22_8x_0" localSheetId="69">'Div 4'!$T$64</definedName>
    <definedName name="OSRRefT22_8x_0" localSheetId="88">'Div 5'!$T$56</definedName>
    <definedName name="OSRRefT22_8x_0" localSheetId="61">'Div 6'!$T$69:$T$70</definedName>
    <definedName name="OSRRefT22_8x_0" localSheetId="2">Summary!$T$102</definedName>
    <definedName name="OSRRefT22_9x_0" localSheetId="41">'201'!$T$57:$T$58</definedName>
    <definedName name="OSRRefT22_9x_0" localSheetId="42">'202'!$T$57</definedName>
    <definedName name="OSRRefT22_9x_0" localSheetId="43">'203'!$T$58:$T$59</definedName>
    <definedName name="OSRRefT22_9x_0" localSheetId="48">'300'!$T$92</definedName>
    <definedName name="OSRRefT22_9x_0" localSheetId="49">'300 &amp; 317'!$T$98</definedName>
    <definedName name="OSRRefT22_9x_0" localSheetId="50">'301'!$T$59</definedName>
    <definedName name="OSRRefT22_9x_0" localSheetId="52">'307'!$T$69:$T$70</definedName>
    <definedName name="OSRRefT22_9x_0" localSheetId="53">'308'!$T$73</definedName>
    <definedName name="OSRRefT22_9x_0" localSheetId="64">'310'!$T$63</definedName>
    <definedName name="OSRRefT22_9x_0" localSheetId="70">'310 &amp; 491'!$T$65</definedName>
    <definedName name="OSRRefT22_9x_0" localSheetId="54">'311'!$T$73</definedName>
    <definedName name="OSRRefT22_9x_0" localSheetId="57">'315'!$T$80</definedName>
    <definedName name="OSRRefT22_9x_0" localSheetId="60">'316'!$T$65:$T$68</definedName>
    <definedName name="OSRRefT22_9x_0" localSheetId="62">'317'!$T$72</definedName>
    <definedName name="OSRRefT22_9x_0" localSheetId="66">'321'!$T$61:$T$64</definedName>
    <definedName name="OSRRefT22_9x_0" localSheetId="67">'325'!$T$61</definedName>
    <definedName name="OSRRefT22_9x_0" localSheetId="58">'326'!$T$64</definedName>
    <definedName name="OSRRefT22_9x_0" localSheetId="51">'330'!$T$69:$T$70</definedName>
    <definedName name="OSRRefT22_9x_0" localSheetId="56">'331'!$T$81</definedName>
    <definedName name="OSRRefT22_9x_0" localSheetId="59">'332'!$T$65:$T$68</definedName>
    <definedName name="OSRRefT22_9x_0" localSheetId="72">'405'!$T$63:$T$64</definedName>
    <definedName name="OSRRefT22_9x_0" localSheetId="74">'411'!$T$58:$T$60</definedName>
    <definedName name="OSRRefT22_9x_0" localSheetId="78">'415'!$T$63</definedName>
    <definedName name="OSRRefT22_9x_0" localSheetId="79">'418'!$T$61:$T$64</definedName>
    <definedName name="OSRRefT22_9x_0" localSheetId="85">'433'!$T$63</definedName>
    <definedName name="OSRRefT22_9x_0" localSheetId="86">'444'!$T$63</definedName>
    <definedName name="OSRRefT22_9x_0" localSheetId="87">'450'!$T$63</definedName>
    <definedName name="OSRRefT22_9x_0" localSheetId="71">'491'!$T$64</definedName>
    <definedName name="OSRRefT22_9x_0" localSheetId="83">'492'!$T$63</definedName>
    <definedName name="OSRRefT22_9x_0" localSheetId="89">'501'!$T$58:$T$60</definedName>
    <definedName name="OSRRefT22_9x_0" localSheetId="39">'Div 2'!$T$58</definedName>
    <definedName name="OSRRefT22_9x_0" localSheetId="47">'Div 3'!$T$96</definedName>
    <definedName name="OSRRefT22_9x_0" localSheetId="69">'Div 4'!$T$66</definedName>
    <definedName name="OSRRefT22_9x_0" localSheetId="88">'Div 5'!$T$58:$T$60</definedName>
    <definedName name="OSRRefT22_9x_0" localSheetId="61">'Div 6'!$T$72</definedName>
    <definedName name="OSRRefT22_9x_0" localSheetId="2">Summary!$T$104</definedName>
    <definedName name="OSRRefT22x_0" localSheetId="40">'200'!$T$20,'200'!$T$22,'200'!$T$24,'200'!$T$26:$T$27</definedName>
    <definedName name="OSRRefT22x_0" localSheetId="41">'201'!$T$20:$T$28,'201'!$T$30:$T$39,'201'!$T$41,'201'!$T$43,'201'!$T$45,'201'!$T$47,'201'!$T$49,'201'!$T$51,'201'!$T$53:$T$55,'201'!$T$57:$T$58,'201'!$T$60,'201'!$T$62:$T$63,'201'!$T$65,'201'!$T$67</definedName>
    <definedName name="OSRRefT22x_0" localSheetId="42">'202'!$T$20:$T$28,'202'!$T$30:$T$39,'202'!$T$41,'202'!$T$43,'202'!$T$45,'202'!$T$47,'202'!$T$49:$T$51,'202'!$T$53,'202'!$T$55,'202'!$T$57,'202'!$T$59,'202'!$T$61</definedName>
    <definedName name="OSRRefT22x_0" localSheetId="43">'203'!$T$20:$T$29,'203'!$T$31:$T$40,'203'!$T$42,'203'!$T$44,'203'!$T$46,'203'!$T$48,'203'!$T$50,'203'!$T$52,'203'!$T$54:$T$56,'203'!$T$58:$T$59,'203'!$T$61,'203'!$T$63:$T$66,'203'!$T$68,'203'!$T$70,'203'!$T$72</definedName>
    <definedName name="OSRRefT22x_0" localSheetId="44">'204'!$T$20:$T$28,'204'!$T$30:$T$39,'204'!$T$41,'204'!$T$43:$T$44,'204'!$T$46,'204'!$T$48:$T$51,'204'!$T$53,'204'!$T$55:$T$56</definedName>
    <definedName name="OSRRefT22x_0" localSheetId="45">'205'!$T$20:$T$28,'205'!$T$30:$T$39,'205'!$T$41,'205'!$T$43,'205'!$T$45:$T$46,'205'!$T$48,'205'!$T$50:$T$52,'205'!$T$54</definedName>
    <definedName name="OSRRefT22x_0" localSheetId="46">'206'!$T$20:$T$28,'206'!$T$30:$T$39,'206'!$T$41,'206'!$T$43,'206'!$T$45:$T$46,'206'!$T$48,'206'!$T$50:$T$51,'206'!$T$53</definedName>
    <definedName name="OSRRefT22x_0" localSheetId="48">'300'!$T$54:$T$63,'300'!$T$65:$T$74,'300'!$T$76,'300'!$T$78,'300'!$T$80,'300'!$T$82:$T$83,'300'!$T$85:$T$86,'300'!$T$88,'300'!$T$90,'300'!$T$92,'300'!$T$94:$T$95,'300'!$T$97:$T$98,'300'!$T$100,'300'!$T$102,'300'!$T$104,'300'!$T$106,'300'!$T$108:$T$111,'300'!$T$113:$T$116,'300'!$T$118:$T$120,'300'!$T$122:$T$123,'300'!$T$125:$T$131,'300'!$T$133:$T$134,'300'!$T$136,'300'!$T$138:$T$140,'300'!$T$142</definedName>
    <definedName name="OSRRefT22x_0" localSheetId="49">'300 &amp; 317'!$T$60:$T$69,'300 &amp; 317'!$T$71:$T$80,'300 &amp; 317'!$T$82,'300 &amp; 317'!$T$84,'300 &amp; 317'!$T$86,'300 &amp; 317'!$T$88:$T$89,'300 &amp; 317'!$T$91:$T$92,'300 &amp; 317'!$T$94,'300 &amp; 317'!$T$96,'300 &amp; 317'!$T$98,'300 &amp; 317'!$T$100:$T$101,'300 &amp; 317'!$T$103:$T$104,'300 &amp; 317'!$T$106,'300 &amp; 317'!$T$108,'300 &amp; 317'!$T$110,'300 &amp; 317'!$T$112,'300 &amp; 317'!$T$114:$T$117,'300 &amp; 317'!$T$119:$T$122,'300 &amp; 317'!$T$124:$T$126,'300 &amp; 317'!$T$128:$T$129,'300 &amp; 317'!$T$131:$T$137,'300 &amp; 317'!$T$139:$T$140,'300 &amp; 317'!$T$142,'300 &amp; 317'!$T$144:$T$146,'300 &amp; 317'!$T$148</definedName>
    <definedName name="OSRRefT22x_0" localSheetId="50">'301'!$T$21:$T$30,'301'!$T$32:$T$41,'301'!$T$43,'301'!$T$45,'301'!$T$47,'301'!$T$49:$T$50,'301'!$T$52:$T$53,'301'!$T$55,'301'!$T$57,'301'!$T$59,'301'!$T$61,'301'!$T$63,'301'!$T$65,'301'!$T$67,'301'!$T$69,'301'!$T$71:$T$74,'301'!$T$76:$T$77,'301'!$T$79,'301'!$T$81:$T$86,'301'!$T$88,'301'!$T$90,'301'!$T$92:$T$93,'301'!$T$95</definedName>
    <definedName name="OSRRefT22x_0" localSheetId="52">'307'!$T$34:$T$41,'307'!$T$43:$T$52,'307'!$T$54,'307'!$T$56,'307'!$T$58,'307'!$T$60:$T$61,'307'!$T$63,'307'!$T$65,'307'!$T$67,'307'!$T$69:$T$70,'307'!$T$72:$T$73,'307'!$T$75:$T$78,'307'!$T$80</definedName>
    <definedName name="OSRRefT22x_0" localSheetId="53">'308'!$T$35:$T$44,'308'!$T$46:$T$55,'308'!$T$57,'308'!$T$59,'308'!$T$61,'308'!$T$63,'308'!$T$65,'308'!$T$67,'308'!$T$69:$T$71,'308'!$T$73,'308'!$T$75:$T$76,'308'!$T$78:$T$79,'308'!$T$81</definedName>
    <definedName name="OSRRefT22x_0" localSheetId="65">'309'!$T$20,'309'!$T$22,'309'!$T$24,'309'!$T$26:$T$27,'309'!$T$29</definedName>
    <definedName name="OSRRefT22x_0" localSheetId="64">'310'!$T$27:$T$35,'310'!$T$37:$T$46,'310'!$T$48,'310'!$T$50,'310'!$T$52,'310'!$T$54:$T$55,'310'!$T$57,'310'!$T$59,'310'!$T$61,'310'!$T$63,'310'!$T$65:$T$67,'310'!$T$69,'310'!$T$71:$T$73,'310'!$T$75:$T$79,'310'!$T$81:$T$82,'310'!$T$84,'310'!$T$86</definedName>
    <definedName name="OSRRefT22x_0" localSheetId="70">'310 &amp; 491'!$T$29:$T$37,'310 &amp; 491'!$T$39:$T$48,'310 &amp; 491'!$T$50,'310 &amp; 491'!$T$52,'310 &amp; 491'!$T$54,'310 &amp; 491'!$T$56:$T$57,'310 &amp; 491'!$T$59,'310 &amp; 491'!$T$61,'310 &amp; 491'!$T$63,'310 &amp; 491'!$T$65,'310 &amp; 491'!$T$67,'310 &amp; 491'!$T$69,'310 &amp; 491'!$T$71:$T$73,'310 &amp; 491'!$T$75:$T$76,'310 &amp; 491'!$T$78:$T$82,'310 &amp; 491'!$T$84,'310 &amp; 491'!$T$86:$T$95,'310 &amp; 491'!$T$97:$T$98,'310 &amp; 491'!$T$100,'310 &amp; 491'!$T$102,'310 &amp; 491'!$T$104</definedName>
    <definedName name="OSRRefT22x_0" localSheetId="54">'311'!$T$35:$T$44,'311'!$T$46:$T$55,'311'!$T$57,'311'!$T$59,'311'!$T$61,'311'!$T$63,'311'!$T$65,'311'!$T$67,'311'!$T$69:$T$71,'311'!$T$73,'311'!$T$75:$T$76,'311'!$T$78:$T$79,'311'!$T$81</definedName>
    <definedName name="OSRRefT22x_0" localSheetId="57">'315'!$T$44:$T$52,'315'!$T$54:$T$63,'315'!$T$65,'315'!$T$67,'315'!$T$69,'315'!$T$71,'315'!$T$73,'315'!$T$75:$T$76,'315'!$T$78,'315'!$T$80,'315'!$T$82,'315'!$T$84:$T$85,'315'!$T$87:$T$89,'315'!$T$91:$T$92,'315'!$T$94:$T$96,'315'!$T$98,'315'!$T$100</definedName>
    <definedName name="OSRRefT22x_0" localSheetId="60">'316'!$T$27:$T$35,'316'!$T$37:$T$46,'316'!$T$48,'316'!$T$50,'316'!$T$52,'316'!$T$54:$T$55,'316'!$T$57,'316'!$T$59:$T$61,'316'!$T$63,'316'!$T$65:$T$68,'316'!$T$70</definedName>
    <definedName name="OSRRefT22x_0" localSheetId="62">'317'!$T$35:$T$44,'317'!$T$46:$T$55,'317'!$T$57,'317'!$T$59,'317'!$T$61,'317'!$T$63,'317'!$T$65,'317'!$T$67,'317'!$T$69:$T$70,'317'!$T$72</definedName>
    <definedName name="OSRRefT22x_0" localSheetId="66">'321'!$T$24:$T$32,'321'!$T$34:$T$43,'321'!$T$45,'321'!$T$47,'321'!$T$49,'321'!$T$51,'321'!$T$53:$T$54,'321'!$T$56,'321'!$T$58:$T$59,'321'!$T$61:$T$64,'321'!$T$66,'321'!$T$68</definedName>
    <definedName name="OSRRefT22x_0" localSheetId="67">'325'!$T$25:$T$33,'325'!$T$35:$T$44,'325'!$T$46,'325'!$T$48,'325'!$T$50,'325'!$T$52:$T$53,'325'!$T$55,'325'!$T$57,'325'!$T$59,'325'!$T$61,'325'!$T$63:$T$65,'325'!$T$67:$T$69,'325'!$T$71:$T$75,'325'!$T$77:$T$78,'325'!$T$80</definedName>
    <definedName name="OSRRefT22x_0" localSheetId="58">'326'!$T$28:$T$36,'326'!$T$38:$T$47,'326'!$T$49,'326'!$T$51,'326'!$T$53,'326'!$T$55,'326'!$T$57:$T$58,'326'!$T$60,'326'!$T$62,'326'!$T$64,'326'!$T$66,'326'!$T$68:$T$69,'326'!$T$71:$T$72,'326'!$T$74:$T$75,'326'!$T$77:$T$79,'326'!$T$81,'326'!$T$83:$T$84,'326'!$T$86</definedName>
    <definedName name="OSRRefT22x_0" localSheetId="68">'327'!$T$26</definedName>
    <definedName name="OSRRefT22x_0" localSheetId="51">'330'!$T$34:$T$41,'330'!$T$43:$T$52,'330'!$T$54,'330'!$T$56,'330'!$T$58,'330'!$T$60:$T$61,'330'!$T$63,'330'!$T$65,'330'!$T$67,'330'!$T$69:$T$70,'330'!$T$72:$T$73,'330'!$T$75:$T$78,'330'!$T$80</definedName>
    <definedName name="OSRRefT22x_0" localSheetId="56">'331'!$T$44:$T$52,'331'!$T$54:$T$63,'331'!$T$65,'331'!$T$67,'331'!$T$69,'331'!$T$71,'331'!$T$73,'331'!$T$75:$T$76,'331'!$T$78:$T$79,'331'!$T$81,'331'!$T$83,'331'!$T$85,'331'!$T$87,'331'!$T$89:$T$90,'331'!$T$92:$T$94,'331'!$T$96:$T$97,'331'!$T$99:$T$100,'331'!$T$102:$T$105,'331'!$T$107,'331'!$T$109:$T$110,'331'!$T$112</definedName>
    <definedName name="OSRRefT22x_0" localSheetId="59">'332'!$T$27:$T$35,'332'!$T$37:$T$46,'332'!$T$48,'332'!$T$50,'332'!$T$52,'332'!$T$54:$T$55,'332'!$T$57,'332'!$T$59:$T$61,'332'!$T$63,'332'!$T$65:$T$68,'332'!$T$70</definedName>
    <definedName name="OSRRefT22x_0" localSheetId="72">'405'!$T$27:$T$35,'405'!$T$37:$T$46,'405'!$T$48,'405'!$T$50,'405'!$T$52,'405'!$T$54:$T$55,'405'!$T$57,'405'!$T$59,'405'!$T$61,'405'!$T$63:$T$64,'405'!$T$66:$T$69,'405'!$T$71,'405'!$T$73:$T$80,'405'!$T$82,'405'!$T$84,'405'!$T$86</definedName>
    <definedName name="OSRRefT22x_0" localSheetId="73">'406'!$T$20,'406'!$T$22</definedName>
    <definedName name="OSRRefT22x_0" localSheetId="74">'411'!$T$20:$T$28,'411'!$T$30:$T$39,'411'!$T$41,'411'!$T$43:$T$44,'411'!$T$46,'411'!$T$48,'411'!$T$50,'411'!$T$52,'411'!$T$54:$T$56,'411'!$T$58:$T$60,'411'!$T$62,'411'!$T$64,'411'!$T$66,'411'!$T$68,'411'!$T$70</definedName>
    <definedName name="OSRRefT22x_0" localSheetId="75">'412'!$T$20,'412'!$T$22,'412'!$T$24,'412'!$T$26</definedName>
    <definedName name="OSRRefT22x_0" localSheetId="76">'413'!$T$20,'413'!$T$22,'413'!$T$24</definedName>
    <definedName name="OSRRefT22x_0" localSheetId="77">'414'!$T$20,'414'!$T$22,'414'!$T$24</definedName>
    <definedName name="OSRRefT22x_0" localSheetId="78">'415'!$T$27:$T$35,'415'!$T$37:$T$46,'415'!$T$48,'415'!$T$50,'415'!$T$52,'415'!$T$54:$T$55,'415'!$T$57,'415'!$T$59,'415'!$T$61,'415'!$T$63,'415'!$T$65:$T$66,'415'!$T$68:$T$71,'415'!$T$73,'415'!$T$75:$T$80,'415'!$T$82:$T$83,'415'!$T$85,'415'!$T$87</definedName>
    <definedName name="OSRRefT22x_0" localSheetId="79">'418'!$T$24:$T$32,'418'!$T$34:$T$43,'418'!$T$45,'418'!$T$47,'418'!$T$49:$T$50,'418'!$T$52,'418'!$T$54,'418'!$T$56,'418'!$T$58:$T$59,'418'!$T$61:$T$64,'418'!$T$66,'418'!$T$68:$T$75,'418'!$T$77:$T$78,'418'!$T$80,'418'!$T$82</definedName>
    <definedName name="OSRRefT22x_0" localSheetId="80">'423'!$T$20:$T$27,'423'!$T$29:$T$38,'423'!$T$40,'423'!$T$42,'423'!$T$44,'423'!$T$46</definedName>
    <definedName name="OSRRefT22x_0" localSheetId="81">'424'!$T$20,'424'!$T$22</definedName>
    <definedName name="OSRRefT22x_0" localSheetId="82">'425'!$T$22,'425'!$T$24,'425'!$T$26,'425'!$T$28,'425'!$T$30,'425'!$T$32</definedName>
    <definedName name="OSRRefT22x_0" localSheetId="84">'430'!$T$20:$T$28,'430'!$T$30:$T$39,'430'!$T$41,'430'!$T$43,'430'!$T$45,'430'!$T$47:$T$48,'430'!$T$50:$T$51,'430'!$T$53,'430'!$T$55</definedName>
    <definedName name="OSRRefT22x_0" localSheetId="85">'433'!$T$27:$T$36,'433'!$T$38:$T$47,'433'!$T$49,'433'!$T$51,'433'!$T$53,'433'!$T$55,'433'!$T$57,'433'!$T$59,'433'!$T$61,'433'!$T$63,'433'!$T$65,'433'!$T$67:$T$69,'433'!$T$71:$T$74,'433'!$T$76:$T$83,'433'!$T$85</definedName>
    <definedName name="OSRRefT22x_0" localSheetId="86">'444'!$T$27:$T$36,'444'!$T$38:$T$47,'444'!$T$49,'444'!$T$51,'444'!$T$53,'444'!$T$55,'444'!$T$57,'444'!$T$59,'444'!$T$61,'444'!$T$63,'444'!$T$65,'444'!$T$67:$T$68,'444'!$T$70:$T$73,'444'!$T$75,'444'!$T$77:$T$83,'444'!$T$85,'444'!$T$87</definedName>
    <definedName name="OSRRefT22x_0" localSheetId="87">'450'!$T$27:$T$36,'450'!$T$38:$T$47,'450'!$T$49,'450'!$T$51,'450'!$T$53,'450'!$T$55,'450'!$T$57,'450'!$T$59,'450'!$T$61,'450'!$T$63,'450'!$T$65,'450'!$T$67:$T$69,'450'!$T$71:$T$74,'450'!$T$76:$T$82,'450'!$T$84,'450'!$T$86,'450'!$T$88</definedName>
    <definedName name="OSRRefT22x_0" localSheetId="71">'491'!$T$28:$T$36,'491'!$T$38:$T$47,'491'!$T$49,'491'!$T$51,'491'!$T$53,'491'!$T$55:$T$56,'491'!$T$58,'491'!$T$60,'491'!$T$62,'491'!$T$64,'491'!$T$66,'491'!$T$68,'491'!$T$70:$T$72,'491'!$T$74,'491'!$T$76:$T$80,'491'!$T$82,'491'!$T$84:$T$92,'491'!$T$94:$T$95,'491'!$T$97,'491'!$T$99,'491'!$T$101</definedName>
    <definedName name="OSRRefT22x_0" localSheetId="83">'492'!$T$27:$T$36,'492'!$T$38:$T$47,'492'!$T$49,'492'!$T$51,'492'!$T$53,'492'!$T$55,'492'!$T$57,'492'!$T$59,'492'!$T$61,'492'!$T$63,'492'!$T$65,'492'!$T$67,'492'!$T$69:$T$71,'492'!$T$73:$T$76,'492'!$T$78,'492'!$T$80:$T$87,'492'!$T$89:$T$90,'492'!$T$92,'492'!$T$94:$T$95</definedName>
    <definedName name="OSRRefT22x_0" localSheetId="89">'501'!$T$21:$T$30,'501'!$T$32:$T$41,'501'!$T$43,'501'!$T$45,'501'!$T$47,'501'!$T$49:$T$50,'501'!$T$52,'501'!$T$54,'501'!$T$56,'501'!$T$58:$T$60,'501'!$T$62,'501'!$T$64:$T$66,'501'!$T$68,'501'!$T$70</definedName>
    <definedName name="OSRRefT22x_0" localSheetId="39">'Div 2'!$T$20:$T$30,'Div 2'!$T$32:$T$41,'Div 2'!$T$43,'Div 2'!$T$45,'Div 2'!$T$47,'Div 2'!$T$49:$T$50,'Div 2'!$T$52,'Div 2'!$T$54,'Div 2'!$T$56,'Div 2'!$T$58,'Div 2'!$T$60,'Div 2'!$T$62,'Div 2'!$T$64:$T$67,'Div 2'!$T$69:$T$72,'Div 2'!$T$74:$T$75,'Div 2'!$T$77,'Div 2'!$T$79:$T$84,'Div 2'!$T$86:$T$87,'Div 2'!$T$89,'Div 2'!$T$91:$T$92</definedName>
    <definedName name="OSRRefT22x_0" localSheetId="47">'Div 3'!$T$58:$T$67,'Div 3'!$T$69:$T$78,'Div 3'!$T$80,'Div 3'!$T$82,'Div 3'!$T$84,'Div 3'!$T$86:$T$87,'Div 3'!$T$89:$T$90,'Div 3'!$T$92,'Div 3'!$T$94,'Div 3'!$T$96,'Div 3'!$T$98:$T$99,'Div 3'!$T$101:$T$102,'Div 3'!$T$104,'Div 3'!$T$106,'Div 3'!$T$108,'Div 3'!$T$110,'Div 3'!$T$112,'Div 3'!$T$114:$T$117,'Div 3'!$T$119:$T$122,'Div 3'!$T$124:$T$127,'Div 3'!$T$129:$T$130,'Div 3'!$T$132:$T$138,'Div 3'!$T$140:$T$141,'Div 3'!$T$143,'Div 3'!$T$145:$T$147,'Div 3'!$T$149</definedName>
    <definedName name="OSRRefT22x_0" localSheetId="69">'Div 4'!$T$29:$T$38,'Div 4'!$T$40:$T$49,'Div 4'!$T$51,'Div 4'!$T$53,'Div 4'!$T$55,'Div 4'!$T$57:$T$58,'Div 4'!$T$60,'Div 4'!$T$62,'Div 4'!$T$64,'Div 4'!$T$66,'Div 4'!$T$68,'Div 4'!$T$70,'Div 4'!$T$72,'Div 4'!$T$74,'Div 4'!$T$76:$T$78,'Div 4'!$T$80,'Div 4'!$T$82:$T$86,'Div 4'!$T$88:$T$89,'Div 4'!$T$91:$T$100,'Div 4'!$T$102:$T$103,'Div 4'!$T$105,'Div 4'!$T$107:$T$108,'Div 4'!$T$110</definedName>
    <definedName name="OSRRefT22x_0" localSheetId="88">'Div 5'!$T$21:$T$30,'Div 5'!$T$32:$T$41,'Div 5'!$T$43,'Div 5'!$T$45,'Div 5'!$T$47,'Div 5'!$T$49:$T$50,'Div 5'!$T$52,'Div 5'!$T$54,'Div 5'!$T$56,'Div 5'!$T$58:$T$60,'Div 5'!$T$62,'Div 5'!$T$64:$T$66,'Div 5'!$T$68,'Div 5'!$T$70</definedName>
    <definedName name="OSRRefT22x_0" localSheetId="61">'Div 6'!$T$35:$T$44,'Div 6'!$T$46:$T$55,'Div 6'!$T$57,'Div 6'!$T$59,'Div 6'!$T$61,'Div 6'!$T$63,'Div 6'!$T$65,'Div 6'!$T$67,'Div 6'!$T$69:$T$70,'Div 6'!$T$72</definedName>
    <definedName name="OSRRefT22x_0" localSheetId="2">Summary!$T$66:$T$75,Summary!$T$77:$T$86,Summary!$T$88,Summary!$T$90,Summary!$T$92,Summary!$T$94:$T$95,Summary!$T$97:$T$98,Summary!$T$100,Summary!$T$102,Summary!$T$104,Summary!$T$106:$T$107,Summary!$T$109:$T$110,Summary!$T$112,Summary!$T$114,Summary!$T$116,Summary!$T$118,Summary!$T$120,Summary!$T$122,Summary!$T$124:$T$127,Summary!$T$129:$T$132,Summary!$T$134:$T$138,Summary!$T$140:$T$141,Summary!$T$143:$T$152,Summary!$T$154:$T$155,Summary!$T$157,Summary!$T$159:$T$161,Summary!$T$163</definedName>
    <definedName name="OSRRefT25x_0" localSheetId="48">'300'!$T$145:$T$149</definedName>
    <definedName name="OSRRefT25x_0" localSheetId="49">'300 &amp; 317'!$T$151:$T$157</definedName>
    <definedName name="OSRRefT25x_0" localSheetId="50">'301'!$T$98:$T$99</definedName>
    <definedName name="OSRRefT25x_0" localSheetId="53">'308'!$T$84:$T$87</definedName>
    <definedName name="OSRRefT25x_0" localSheetId="70">'310 &amp; 491'!$T$107:$T$109</definedName>
    <definedName name="OSRRefT25x_0" localSheetId="54">'311'!$T$84:$T$87</definedName>
    <definedName name="OSRRefT25x_0" localSheetId="57">'315'!$T$103:$T$105</definedName>
    <definedName name="OSRRefT25x_0" localSheetId="60">'316'!$T$73</definedName>
    <definedName name="OSRRefT25x_0" localSheetId="62">'317'!$T$75:$T$77</definedName>
    <definedName name="OSRRefT25x_0" localSheetId="56">'331'!$T$115:$T$117</definedName>
    <definedName name="OSRRefT25x_0" localSheetId="59">'332'!$T$73</definedName>
    <definedName name="OSRRefT25x_0" localSheetId="72">'405'!$T$89</definedName>
    <definedName name="OSRRefT25x_0" localSheetId="74">'411'!$T$73</definedName>
    <definedName name="OSRRefT25x_0" localSheetId="78">'415'!$T$90</definedName>
    <definedName name="OSRRefT25x_0" localSheetId="79">'418'!$T$85</definedName>
    <definedName name="OSRRefT25x_0" localSheetId="80">'423'!$T$49</definedName>
    <definedName name="OSRRefT25x_0" localSheetId="71">'491'!$T$104:$T$106</definedName>
    <definedName name="OSRRefT25x_0" localSheetId="89">'501'!$T$73</definedName>
    <definedName name="OSRRefT25x_0" localSheetId="47">'Div 3'!$T$152:$T$156</definedName>
    <definedName name="OSRRefT25x_0" localSheetId="69">'Div 4'!$T$113:$T$115</definedName>
    <definedName name="OSRRefT25x_0" localSheetId="88">'Div 5'!$T$73</definedName>
    <definedName name="OSRRefT25x_0" localSheetId="61">'Div 6'!$T$75:$T$77</definedName>
    <definedName name="OSRRefT25x_0" localSheetId="2">Summary!$T$166:$T$173</definedName>
    <definedName name="_xlnm.Print_Area" localSheetId="38">'100'!$A$1:$Z$34</definedName>
    <definedName name="_xlnm.Print_Area" localSheetId="40">'200'!$A$1:$Z$41</definedName>
    <definedName name="_xlnm.Print_Area" localSheetId="41">'201'!$A$1:$Z$81</definedName>
    <definedName name="_xlnm.Print_Area" localSheetId="42">'202'!$A$1:$Z$75</definedName>
    <definedName name="_xlnm.Print_Area" localSheetId="43">'203'!$A$1:$Z$86</definedName>
    <definedName name="_xlnm.Print_Area" localSheetId="44">'204'!$A$1:$Z$70</definedName>
    <definedName name="_xlnm.Print_Area" localSheetId="45">'205'!$A$1:$Z$68</definedName>
    <definedName name="_xlnm.Print_Area" localSheetId="46">'206'!$A$1:$Z$67</definedName>
    <definedName name="_xlnm.Print_Area" localSheetId="48">'300'!$A$1:$Z$161</definedName>
    <definedName name="_xlnm.Print_Area" localSheetId="49">'300 &amp; 317'!$A$1:$Z$169</definedName>
    <definedName name="_xlnm.Print_Area" localSheetId="50">'301'!$A$1:$Z$111</definedName>
    <definedName name="_xlnm.Print_Area" localSheetId="52">'307'!$A$1:$Z$94</definedName>
    <definedName name="_xlnm.Print_Area" localSheetId="53">'308'!$A$1:$Z$99</definedName>
    <definedName name="_xlnm.Print_Area" localSheetId="65">'309'!$A$1:$Z$43</definedName>
    <definedName name="_xlnm.Print_Area" localSheetId="64">'310'!$A$1:$Z$100</definedName>
    <definedName name="_xlnm.Print_Area" localSheetId="70">'310 &amp; 491'!$A$1:$Z$121</definedName>
    <definedName name="_xlnm.Print_Area" localSheetId="54">'311'!$A$1:$Z$99</definedName>
    <definedName name="_xlnm.Print_Area" localSheetId="57">'315'!$A$1:$Z$117</definedName>
    <definedName name="_xlnm.Print_Area" localSheetId="60">'316'!$A$1:$Z$85</definedName>
    <definedName name="_xlnm.Print_Area" localSheetId="62">'317'!$A$1:$Z$89</definedName>
    <definedName name="_xlnm.Print_Area" localSheetId="63">'320'!$A$1:$Z$39</definedName>
    <definedName name="_xlnm.Print_Area" localSheetId="66">'321'!$A$1:$Z$82</definedName>
    <definedName name="_xlnm.Print_Area" localSheetId="55">'324'!$A$1:$Z$35</definedName>
    <definedName name="_xlnm.Print_Area" localSheetId="67">'325'!$A$1:$Z$94</definedName>
    <definedName name="_xlnm.Print_Area" localSheetId="58">'326'!$A$1:$Z$100</definedName>
    <definedName name="_xlnm.Print_Area" localSheetId="68">'327'!$A$1:$Z$40</definedName>
    <definedName name="_xlnm.Print_Area" localSheetId="51">'330'!$A$1:$Z$94</definedName>
    <definedName name="_xlnm.Print_Area" localSheetId="56">'331'!$A$1:$Z$129</definedName>
    <definedName name="_xlnm.Print_Area" localSheetId="59">'332'!$A$1:$Z$85</definedName>
    <definedName name="_xlnm.Print_Area" localSheetId="72">'405'!$A$1:$Z$101</definedName>
    <definedName name="_xlnm.Print_Area" localSheetId="73">'406'!$A$1:$Z$36</definedName>
    <definedName name="_xlnm.Print_Area" localSheetId="74">'411'!$A$1:$Z$85</definedName>
    <definedName name="_xlnm.Print_Area" localSheetId="75">'412'!$A$1:$Z$40</definedName>
    <definedName name="_xlnm.Print_Area" localSheetId="76">'413'!$A$1:$Z$38</definedName>
    <definedName name="_xlnm.Print_Area" localSheetId="77">'414'!$A$1:$Z$38</definedName>
    <definedName name="_xlnm.Print_Area" localSheetId="78">'415'!$A$1:$Z$102</definedName>
    <definedName name="_xlnm.Print_Area" localSheetId="79">'418'!$A$1:$Z$97</definedName>
    <definedName name="_xlnm.Print_Area" localSheetId="80">'423'!$A$1:$Z$61</definedName>
    <definedName name="_xlnm.Print_Area" localSheetId="81">'424'!$A$1:$Z$36</definedName>
    <definedName name="_xlnm.Print_Area" localSheetId="82">'425'!$A$1:$Z$46</definedName>
    <definedName name="_xlnm.Print_Area" localSheetId="84">'430'!$A$1:$Z$69</definedName>
    <definedName name="_xlnm.Print_Area" localSheetId="85">'433'!$A$1:$Z$99</definedName>
    <definedName name="_xlnm.Print_Area" localSheetId="86">'444'!$A$1:$Z$101</definedName>
    <definedName name="_xlnm.Print_Area" localSheetId="87">'450'!$A$1:$Z$102</definedName>
    <definedName name="_xlnm.Print_Area" localSheetId="71">'491'!$A$1:$Z$118</definedName>
    <definedName name="_xlnm.Print_Area" localSheetId="83">'492'!$A$1:$Z$109</definedName>
    <definedName name="_xlnm.Print_Area" localSheetId="89">'501'!$A$1:$Z$85</definedName>
    <definedName name="_xlnm.Print_Area" localSheetId="90">Dept!$A$1:$Z$39</definedName>
    <definedName name="_xlnm.Print_Area" localSheetId="5">'Div 1'!$A$1:$Z$34</definedName>
    <definedName name="_xlnm.Print_Area" localSheetId="39">'Div 2'!$A$1:$Z$106</definedName>
    <definedName name="_xlnm.Print_Area" localSheetId="47">'Div 3'!$A$1:$Z$168</definedName>
    <definedName name="_xlnm.Print_Area" localSheetId="69">'Div 4'!$A$1:$Z$127</definedName>
    <definedName name="_xlnm.Print_Area" localSheetId="88">'Div 5'!$A$1:$Z$85</definedName>
    <definedName name="_xlnm.Print_Area" localSheetId="61">'Div 6'!$A$1:$Z$89</definedName>
    <definedName name="_xlnm.Print_Area" localSheetId="14">'OSR_300 &amp; 317_1C00ID4'!$A$1:$Z$39</definedName>
    <definedName name="_xlnm.Print_Area" localSheetId="15">'OSR_300 (2)_...6aa5a22d_14M6XO4'!$A$1:$Z$39</definedName>
    <definedName name="_xlnm.Print_Area" localSheetId="11">'OSR_300 (2)_7...54cb56fc_UFX0O2'!$A$1:$Z$39</definedName>
    <definedName name="_xlnm.Print_Area" localSheetId="17">'OSR_300 (2)_e...5d0da5bf_6BPGAO'!$A$1:$Z$39</definedName>
    <definedName name="_xlnm.Print_Area" localSheetId="12">OSR_300_IYZXI6!$A$1:$Z$39</definedName>
    <definedName name="_xlnm.Print_Area" localSheetId="23">'OSR_308 (2)_...47685838_1YQW4QY'!$A$1:$Z$39</definedName>
    <definedName name="_xlnm.Print_Area" localSheetId="20">OSR_308_UAWDAG!$A$1:$Z$39</definedName>
    <definedName name="_xlnm.Print_Area" localSheetId="28">'OSR_310 &amp; 491_1NGRCS9'!$A$1:$Z$39</definedName>
    <definedName name="_xlnm.Print_Area" localSheetId="19">'OSR_310 (2)_...6e684f08_1FLCNJG'!$A$1:$Z$39</definedName>
    <definedName name="_xlnm.Print_Area" localSheetId="27">'OSR_310 (2)_...8cac1423_1JTU33X'!$A$1:$Z$39</definedName>
    <definedName name="_xlnm.Print_Area" localSheetId="13">'OSR_310 (2)_5...3d931dee_QNK8R2'!$A$1:$Z$39</definedName>
    <definedName name="_xlnm.Print_Area" localSheetId="16">OSR_310_1CMTOSB!$A$1:$Z$39</definedName>
    <definedName name="_xlnm.Print_Area" localSheetId="21">'OSR_330 (2)_...8a14c83e_1NSH7XI'!$A$1:$Z$39</definedName>
    <definedName name="_xlnm.Print_Area" localSheetId="18">OSR_330_10VFP5Y!$A$1:$Z$39</definedName>
    <definedName name="_xlnm.Print_Area" localSheetId="25">'OSR_331 (2)_...7280af70_1P5SPLT'!$A$1:$Z$39</definedName>
    <definedName name="_xlnm.Print_Area" localSheetId="22">OSR_331_10VKQAJ!$A$1:$Z$39</definedName>
    <definedName name="_xlnm.Print_Area" localSheetId="24">OSR_332_6NDVBW!$A$1:$Z$39</definedName>
    <definedName name="_xlnm.Print_Area" localSheetId="29">'OSR_491 (2)_...853a34aa_1UNC34K'!$A$1:$Z$39</definedName>
    <definedName name="_xlnm.Print_Area" localSheetId="30">OSR_491_9Z9JH5!$A$1:$Z$39</definedName>
    <definedName name="_xlnm.Print_Area" localSheetId="35">'OSR_492 (2)_...cd97c6a6_13HYXEV'!$A$1:$Z$39</definedName>
    <definedName name="_xlnm.Print_Area" localSheetId="32">OSR_492_943FP1!$A$1:$Z$39</definedName>
    <definedName name="_xlnm.Print_Area" localSheetId="4">'OSR_Current ...69b7dd8c_1IEQKFK'!$A$1:$Z$39</definedName>
    <definedName name="_xlnm.Print_Area" localSheetId="91">OSR_Dept_Y0WUKY!$A$1:$Z$39</definedName>
    <definedName name="_xlnm.Print_Area" localSheetId="9">'OSR_Div 1 (2)...789fe994_2NV3KA'!$A$1:$Z$39</definedName>
    <definedName name="_xlnm.Print_Area" localSheetId="6">'OSR_Div 1_7H47HR'!$A$1:$Z$39</definedName>
    <definedName name="_xlnm.Print_Area" localSheetId="8">'OSR_Div 2_1PQ800A'!$A$1:$Z$39</definedName>
    <definedName name="_xlnm.Print_Area" localSheetId="7">'OSR_Div 3 (2)...4cb81c06_PBSMLS'!$A$1:$Z$39</definedName>
    <definedName name="_xlnm.Print_Area" localSheetId="10">'OSR_Div 3_18723PH'!$A$1:$Z$39</definedName>
    <definedName name="_xlnm.Print_Area" localSheetId="33">'OSR_Div 4 (2)...1a9a4454_CQFRNE'!$A$1:$Z$39</definedName>
    <definedName name="_xlnm.Print_Area" localSheetId="31">'OSR_Div 4 (2...2533da42_174R6QX'!$A$1:$Z$39</definedName>
    <definedName name="_xlnm.Print_Area" localSheetId="26">'OSR_Div 4_1740TMT'!$A$1:$Z$39</definedName>
    <definedName name="_xlnm.Print_Area" localSheetId="37">'OSR_Div 5 (2)...32d16c57_IVJ1QO'!$A$1:$Z$39</definedName>
    <definedName name="_xlnm.Print_Area" localSheetId="34">'OSR_Div 5_16NAZO2'!$A$1:$Z$39</definedName>
    <definedName name="_xlnm.Print_Area" localSheetId="36">'OSR_Div 6_P37YY7'!$A$1:$Z$39</definedName>
    <definedName name="_xlnm.Print_Area" localSheetId="92">'OSR_Summary (...56e5d78f_5JEYZH'!$A$1:$Z$39</definedName>
    <definedName name="_xlnm.Print_Area" localSheetId="3">OSR_Summary_18VAVWG!$A$1:$Z$39</definedName>
    <definedName name="_xlnm.Print_Area" localSheetId="2">Summary!$A$1:$Z$187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2">'307'!$A:$C,'307'!$1:$10</definedName>
    <definedName name="_xlnm.Print_Titles" localSheetId="53">'308'!$A:$C,'308'!$1:$10</definedName>
    <definedName name="_xlnm.Print_Titles" localSheetId="65">'309'!$A:$C,'309'!$1:$10</definedName>
    <definedName name="_xlnm.Print_Titles" localSheetId="64">'310'!$A:$C,'310'!$1:$10</definedName>
    <definedName name="_xlnm.Print_Titles" localSheetId="70">'310 &amp; 491'!$A:$C,'310 &amp; 491'!$1:$10</definedName>
    <definedName name="_xlnm.Print_Titles" localSheetId="54">'311'!$A:$C,'311'!$1:$10</definedName>
    <definedName name="_xlnm.Print_Titles" localSheetId="57">'315'!$A:$C,'315'!$1:$10</definedName>
    <definedName name="_xlnm.Print_Titles" localSheetId="60">'316'!$A:$C,'316'!$1:$10</definedName>
    <definedName name="_xlnm.Print_Titles" localSheetId="62">'317'!$A:$C,'317'!$1:$10</definedName>
    <definedName name="_xlnm.Print_Titles" localSheetId="63">'320'!$A:$C,'320'!$1:$10</definedName>
    <definedName name="_xlnm.Print_Titles" localSheetId="66">'321'!$A:$C,'321'!$1:$10</definedName>
    <definedName name="_xlnm.Print_Titles" localSheetId="55">'324'!$A:$C,'324'!$1:$10</definedName>
    <definedName name="_xlnm.Print_Titles" localSheetId="67">'325'!$A:$C,'325'!$1:$10</definedName>
    <definedName name="_xlnm.Print_Titles" localSheetId="58">'326'!$A:$C,'326'!$1:$10</definedName>
    <definedName name="_xlnm.Print_Titles" localSheetId="68">'327'!$A:$C,'327'!$1:$10</definedName>
    <definedName name="_xlnm.Print_Titles" localSheetId="51">'330'!$A:$C,'330'!$1:$10</definedName>
    <definedName name="_xlnm.Print_Titles" localSheetId="56">'331'!$A:$C,'331'!$1:$10</definedName>
    <definedName name="_xlnm.Print_Titles" localSheetId="59">'332'!$A:$C,'332'!$1:$10</definedName>
    <definedName name="_xlnm.Print_Titles" localSheetId="72">'405'!$A:$C,'405'!$1:$10</definedName>
    <definedName name="_xlnm.Print_Titles" localSheetId="73">'406'!$A:$C,'406'!$1:$10</definedName>
    <definedName name="_xlnm.Print_Titles" localSheetId="74">'411'!$A:$C,'411'!$1:$10</definedName>
    <definedName name="_xlnm.Print_Titles" localSheetId="75">'412'!$A:$C,'412'!$1:$10</definedName>
    <definedName name="_xlnm.Print_Titles" localSheetId="76">'413'!$A:$C,'413'!$1:$10</definedName>
    <definedName name="_xlnm.Print_Titles" localSheetId="77">'414'!$A:$C,'414'!$1:$10</definedName>
    <definedName name="_xlnm.Print_Titles" localSheetId="78">'415'!$A:$C,'415'!$1:$10</definedName>
    <definedName name="_xlnm.Print_Titles" localSheetId="79">'418'!$A:$C,'418'!$1:$10</definedName>
    <definedName name="_xlnm.Print_Titles" localSheetId="80">'423'!$A:$C,'423'!$1:$10</definedName>
    <definedName name="_xlnm.Print_Titles" localSheetId="81">'424'!$A:$C,'424'!$1:$10</definedName>
    <definedName name="_xlnm.Print_Titles" localSheetId="82">'425'!$A:$C,'425'!$1:$10</definedName>
    <definedName name="_xlnm.Print_Titles" localSheetId="84">'430'!$A:$C,'430'!$1:$10</definedName>
    <definedName name="_xlnm.Print_Titles" localSheetId="85">'433'!$A:$C,'433'!$1:$10</definedName>
    <definedName name="_xlnm.Print_Titles" localSheetId="86">'444'!$A:$C,'444'!$1:$10</definedName>
    <definedName name="_xlnm.Print_Titles" localSheetId="87">'450'!$A:$C,'450'!$1:$10</definedName>
    <definedName name="_xlnm.Print_Titles" localSheetId="71">'491'!$A:$C,'491'!$1:$10</definedName>
    <definedName name="_xlnm.Print_Titles" localSheetId="83">'492'!$A:$C,'492'!$1:$10</definedName>
    <definedName name="_xlnm.Print_Titles" localSheetId="89">'501'!$A:$C,'501'!$1:$10</definedName>
    <definedName name="_xlnm.Print_Titles" localSheetId="90">Dept!$A:$C,Dept!$1:$10</definedName>
    <definedName name="_xlnm.Print_Titles" localSheetId="5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69">'Div 4'!$A:$C,'Div 4'!$1:$10</definedName>
    <definedName name="_xlnm.Print_Titles" localSheetId="88">'Div 5'!$A:$C,'Div 5'!$1:$10</definedName>
    <definedName name="_xlnm.Print_Titles" localSheetId="61">'Div 6'!$A:$C,'Div 6'!$1:$10</definedName>
    <definedName name="_xlnm.Print_Titles" localSheetId="14">'OSR_300 &amp; 317_1C00ID4'!$A:$C,'OSR_300 &amp; 317_1C00ID4'!$1:$10</definedName>
    <definedName name="_xlnm.Print_Titles" localSheetId="15">'OSR_300 (2)_...6aa5a22d_14M6XO4'!$A:$C,'OSR_300 (2)_...6aa5a22d_14M6XO4'!$1:$10</definedName>
    <definedName name="_xlnm.Print_Titles" localSheetId="11">'OSR_300 (2)_7...54cb56fc_UFX0O2'!$A:$C,'OSR_300 (2)_7...54cb56fc_UFX0O2'!$1:$10</definedName>
    <definedName name="_xlnm.Print_Titles" localSheetId="17">'OSR_300 (2)_e...5d0da5bf_6BPGAO'!$A:$C,'OSR_300 (2)_e...5d0da5bf_6BPGAO'!$1:$10</definedName>
    <definedName name="_xlnm.Print_Titles" localSheetId="12">OSR_300_IYZXI6!$A:$C,OSR_300_IYZXI6!$1:$10</definedName>
    <definedName name="_xlnm.Print_Titles" localSheetId="23">'OSR_308 (2)_...47685838_1YQW4QY'!$A:$C,'OSR_308 (2)_...47685838_1YQW4QY'!$1:$10</definedName>
    <definedName name="_xlnm.Print_Titles" localSheetId="20">OSR_308_UAWDAG!$A:$C,OSR_308_UAWDAG!$1:$10</definedName>
    <definedName name="_xlnm.Print_Titles" localSheetId="28">'OSR_310 &amp; 491_1NGRCS9'!$A:$C,'OSR_310 &amp; 491_1NGRCS9'!$1:$10</definedName>
    <definedName name="_xlnm.Print_Titles" localSheetId="19">'OSR_310 (2)_...6e684f08_1FLCNJG'!$A:$C,'OSR_310 (2)_...6e684f08_1FLCNJG'!$1:$10</definedName>
    <definedName name="_xlnm.Print_Titles" localSheetId="27">'OSR_310 (2)_...8cac1423_1JTU33X'!$A:$C,'OSR_310 (2)_...8cac1423_1JTU33X'!$1:$10</definedName>
    <definedName name="_xlnm.Print_Titles" localSheetId="13">'OSR_310 (2)_5...3d931dee_QNK8R2'!$A:$C,'OSR_310 (2)_5...3d931dee_QNK8R2'!$1:$10</definedName>
    <definedName name="_xlnm.Print_Titles" localSheetId="16">OSR_310_1CMTOSB!$A:$C,OSR_310_1CMTOSB!$1:$10</definedName>
    <definedName name="_xlnm.Print_Titles" localSheetId="21">'OSR_330 (2)_...8a14c83e_1NSH7XI'!$A:$C,'OSR_330 (2)_...8a14c83e_1NSH7XI'!$1:$10</definedName>
    <definedName name="_xlnm.Print_Titles" localSheetId="18">OSR_330_10VFP5Y!$A:$C,OSR_330_10VFP5Y!$1:$10</definedName>
    <definedName name="_xlnm.Print_Titles" localSheetId="25">'OSR_331 (2)_...7280af70_1P5SPLT'!$A:$C,'OSR_331 (2)_...7280af70_1P5SPLT'!$1:$10</definedName>
    <definedName name="_xlnm.Print_Titles" localSheetId="22">OSR_331_10VKQAJ!$A:$C,OSR_331_10VKQAJ!$1:$10</definedName>
    <definedName name="_xlnm.Print_Titles" localSheetId="24">OSR_332_6NDVBW!$A:$C,OSR_332_6NDVBW!$1:$10</definedName>
    <definedName name="_xlnm.Print_Titles" localSheetId="29">'OSR_491 (2)_...853a34aa_1UNC34K'!$A:$C,'OSR_491 (2)_...853a34aa_1UNC34K'!$1:$10</definedName>
    <definedName name="_xlnm.Print_Titles" localSheetId="30">OSR_491_9Z9JH5!$A:$C,OSR_491_9Z9JH5!$1:$10</definedName>
    <definedName name="_xlnm.Print_Titles" localSheetId="35">'OSR_492 (2)_...cd97c6a6_13HYXEV'!$A:$C,'OSR_492 (2)_...cd97c6a6_13HYXEV'!$1:$10</definedName>
    <definedName name="_xlnm.Print_Titles" localSheetId="32">OSR_492_943FP1!$A:$C,OSR_492_943FP1!$1:$10</definedName>
    <definedName name="_xlnm.Print_Titles" localSheetId="4">'OSR_Current ...69b7dd8c_1IEQKFK'!$A:$C,'OSR_Current ...69b7dd8c_1IEQKFK'!$1:$10</definedName>
    <definedName name="_xlnm.Print_Titles" localSheetId="91">OSR_Dept_Y0WUKY!$A:$C,OSR_Dept_Y0WUKY!$1:$10</definedName>
    <definedName name="_xlnm.Print_Titles" localSheetId="9">'OSR_Div 1 (2)...789fe994_2NV3KA'!$A:$C,'OSR_Div 1 (2)...789fe994_2NV3KA'!$1:$10</definedName>
    <definedName name="_xlnm.Print_Titles" localSheetId="6">'OSR_Div 1_7H47HR'!$A:$C,'OSR_Div 1_7H47HR'!$1:$10</definedName>
    <definedName name="_xlnm.Print_Titles" localSheetId="8">'OSR_Div 2_1PQ800A'!$A:$C,'OSR_Div 2_1PQ800A'!$1:$10</definedName>
    <definedName name="_xlnm.Print_Titles" localSheetId="7">'OSR_Div 3 (2)...4cb81c06_PBSMLS'!$A:$C,'OSR_Div 3 (2)...4cb81c06_PBSMLS'!$1:$10</definedName>
    <definedName name="_xlnm.Print_Titles" localSheetId="10">'OSR_Div 3_18723PH'!$A:$C,'OSR_Div 3_18723PH'!$1:$10</definedName>
    <definedName name="_xlnm.Print_Titles" localSheetId="33">'OSR_Div 4 (2)...1a9a4454_CQFRNE'!$A:$C,'OSR_Div 4 (2)...1a9a4454_CQFRNE'!$1:$10</definedName>
    <definedName name="_xlnm.Print_Titles" localSheetId="31">'OSR_Div 4 (2...2533da42_174R6QX'!$A:$C,'OSR_Div 4 (2...2533da42_174R6QX'!$1:$10</definedName>
    <definedName name="_xlnm.Print_Titles" localSheetId="26">'OSR_Div 4_1740TMT'!$A:$C,'OSR_Div 4_1740TMT'!$1:$10</definedName>
    <definedName name="_xlnm.Print_Titles" localSheetId="37">'OSR_Div 5 (2)...32d16c57_IVJ1QO'!$A:$C,'OSR_Div 5 (2)...32d16c57_IVJ1QO'!$1:$10</definedName>
    <definedName name="_xlnm.Print_Titles" localSheetId="34">'OSR_Div 5_16NAZO2'!$A:$C,'OSR_Div 5_16NAZO2'!$1:$10</definedName>
    <definedName name="_xlnm.Print_Titles" localSheetId="36">'OSR_Div 6_P37YY7'!$A:$C,'OSR_Div 6_P37YY7'!$1:$10</definedName>
    <definedName name="_xlnm.Print_Titles" localSheetId="92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9" i="94" l="1"/>
  <c r="B38" i="94"/>
  <c r="T34" i="94"/>
  <c r="Z34" i="94" s="1"/>
  <c r="P34" i="94"/>
  <c r="H34" i="94"/>
  <c r="N34" i="94" s="1"/>
  <c r="D34" i="94"/>
  <c r="T33" i="94"/>
  <c r="Z33" i="94" s="1"/>
  <c r="P33" i="94"/>
  <c r="H33" i="94"/>
  <c r="N33" i="94" s="1"/>
  <c r="D33" i="94"/>
  <c r="T29" i="94"/>
  <c r="Z29" i="94" s="1"/>
  <c r="P29" i="94"/>
  <c r="H29" i="94"/>
  <c r="N29" i="94" s="1"/>
  <c r="D29" i="94"/>
  <c r="T25" i="94"/>
  <c r="Z25" i="94" s="1"/>
  <c r="P25" i="94"/>
  <c r="X25" i="94" s="1"/>
  <c r="H25" i="94"/>
  <c r="N25" i="94" s="1"/>
  <c r="D25" i="94"/>
  <c r="B25" i="94"/>
  <c r="T24" i="94"/>
  <c r="Z24" i="94" s="1"/>
  <c r="P24" i="94"/>
  <c r="H24" i="94"/>
  <c r="N24" i="94" s="1"/>
  <c r="D24" i="94"/>
  <c r="T22" i="94"/>
  <c r="Z22" i="94" s="1"/>
  <c r="P22" i="94"/>
  <c r="H22" i="94"/>
  <c r="N22" i="94" s="1"/>
  <c r="D22" i="94"/>
  <c r="B22" i="94"/>
  <c r="T21" i="94"/>
  <c r="Z21" i="94" s="1"/>
  <c r="P21" i="94"/>
  <c r="H21" i="94"/>
  <c r="N21" i="94" s="1"/>
  <c r="D21" i="94"/>
  <c r="B21" i="94"/>
  <c r="T20" i="94"/>
  <c r="Z20" i="94" s="1"/>
  <c r="P20" i="94"/>
  <c r="H20" i="94"/>
  <c r="N20" i="94" s="1"/>
  <c r="D20" i="94"/>
  <c r="T16" i="94"/>
  <c r="Z16" i="94" s="1"/>
  <c r="P16" i="94"/>
  <c r="H16" i="94"/>
  <c r="N16" i="94" s="1"/>
  <c r="D16" i="94"/>
  <c r="B16" i="94"/>
  <c r="T15" i="94"/>
  <c r="Z15" i="94" s="1"/>
  <c r="P15" i="94"/>
  <c r="H15" i="94"/>
  <c r="N15" i="94" s="1"/>
  <c r="D15" i="94"/>
  <c r="T13" i="94"/>
  <c r="Z13" i="94" s="1"/>
  <c r="P13" i="94"/>
  <c r="X13" i="94" s="1"/>
  <c r="H13" i="94"/>
  <c r="N13" i="94" s="1"/>
  <c r="D13" i="94"/>
  <c r="B13" i="94"/>
  <c r="T12" i="94"/>
  <c r="P12" i="94"/>
  <c r="R34" i="94" s="1"/>
  <c r="H12" i="94"/>
  <c r="D12" i="94"/>
  <c r="F34" i="94" s="1"/>
  <c r="D6" i="94"/>
  <c r="D5" i="94"/>
  <c r="D4" i="94"/>
  <c r="B39" i="93"/>
  <c r="B38" i="93"/>
  <c r="T34" i="93"/>
  <c r="Z34" i="93" s="1"/>
  <c r="P34" i="93"/>
  <c r="H34" i="93"/>
  <c r="N34" i="93" s="1"/>
  <c r="D34" i="93"/>
  <c r="L34" i="93" s="1"/>
  <c r="T33" i="93"/>
  <c r="Z33" i="93" s="1"/>
  <c r="P33" i="93"/>
  <c r="H33" i="93"/>
  <c r="N33" i="93" s="1"/>
  <c r="D33" i="93"/>
  <c r="T29" i="93"/>
  <c r="Z29" i="93" s="1"/>
  <c r="P29" i="93"/>
  <c r="H29" i="93"/>
  <c r="N29" i="93" s="1"/>
  <c r="D29" i="93"/>
  <c r="T25" i="93"/>
  <c r="Z25" i="93" s="1"/>
  <c r="P25" i="93"/>
  <c r="H25" i="93"/>
  <c r="N25" i="93" s="1"/>
  <c r="D25" i="93"/>
  <c r="B25" i="93"/>
  <c r="T24" i="93"/>
  <c r="Z24" i="93" s="1"/>
  <c r="P24" i="93"/>
  <c r="H24" i="93"/>
  <c r="N24" i="93" s="1"/>
  <c r="D24" i="93"/>
  <c r="T22" i="93"/>
  <c r="Z22" i="93" s="1"/>
  <c r="P22" i="93"/>
  <c r="H22" i="93"/>
  <c r="N22" i="93" s="1"/>
  <c r="D22" i="93"/>
  <c r="B22" i="93"/>
  <c r="T21" i="93"/>
  <c r="Z21" i="93" s="1"/>
  <c r="P21" i="93"/>
  <c r="H21" i="93"/>
  <c r="N21" i="93" s="1"/>
  <c r="D21" i="93"/>
  <c r="B21" i="93"/>
  <c r="T20" i="93"/>
  <c r="Z20" i="93" s="1"/>
  <c r="P20" i="93"/>
  <c r="H20" i="93"/>
  <c r="N20" i="93" s="1"/>
  <c r="D20" i="93"/>
  <c r="T16" i="93"/>
  <c r="Z16" i="93" s="1"/>
  <c r="P16" i="93"/>
  <c r="H16" i="93"/>
  <c r="N16" i="93" s="1"/>
  <c r="D16" i="93"/>
  <c r="B16" i="93"/>
  <c r="T15" i="93"/>
  <c r="Z15" i="93" s="1"/>
  <c r="P15" i="93"/>
  <c r="H15" i="93"/>
  <c r="N15" i="93" s="1"/>
  <c r="D15" i="93"/>
  <c r="T13" i="93"/>
  <c r="Z13" i="93" s="1"/>
  <c r="P13" i="93"/>
  <c r="H13" i="93"/>
  <c r="N13" i="93" s="1"/>
  <c r="D13" i="93"/>
  <c r="B13" i="93"/>
  <c r="T12" i="93"/>
  <c r="P12" i="93"/>
  <c r="H12" i="93"/>
  <c r="J34" i="93" s="1"/>
  <c r="D12" i="93"/>
  <c r="F34" i="93" s="1"/>
  <c r="D6" i="93"/>
  <c r="D5" i="93"/>
  <c r="D4" i="93"/>
  <c r="B39" i="92"/>
  <c r="B38" i="92"/>
  <c r="T34" i="92"/>
  <c r="Z34" i="92" s="1"/>
  <c r="P34" i="92"/>
  <c r="H34" i="92"/>
  <c r="N34" i="92" s="1"/>
  <c r="D34" i="92"/>
  <c r="T33" i="92"/>
  <c r="Z33" i="92" s="1"/>
  <c r="P33" i="92"/>
  <c r="H33" i="92"/>
  <c r="N33" i="92" s="1"/>
  <c r="D33" i="92"/>
  <c r="T29" i="92"/>
  <c r="Z29" i="92" s="1"/>
  <c r="P29" i="92"/>
  <c r="H29" i="92"/>
  <c r="N29" i="92" s="1"/>
  <c r="D29" i="92"/>
  <c r="T25" i="92"/>
  <c r="Z25" i="92" s="1"/>
  <c r="P25" i="92"/>
  <c r="H25" i="92"/>
  <c r="N25" i="92" s="1"/>
  <c r="D25" i="92"/>
  <c r="B25" i="92"/>
  <c r="T24" i="92"/>
  <c r="Z24" i="92" s="1"/>
  <c r="P24" i="92"/>
  <c r="H24" i="92"/>
  <c r="N24" i="92" s="1"/>
  <c r="D24" i="92"/>
  <c r="T22" i="92"/>
  <c r="Z22" i="92" s="1"/>
  <c r="P22" i="92"/>
  <c r="H22" i="92"/>
  <c r="N22" i="92" s="1"/>
  <c r="D22" i="92"/>
  <c r="B22" i="92"/>
  <c r="T21" i="92"/>
  <c r="Z21" i="92" s="1"/>
  <c r="P21" i="92"/>
  <c r="H21" i="92"/>
  <c r="N21" i="92" s="1"/>
  <c r="D21" i="92"/>
  <c r="B21" i="92"/>
  <c r="T20" i="92"/>
  <c r="Z20" i="92" s="1"/>
  <c r="P20" i="92"/>
  <c r="H20" i="92"/>
  <c r="N20" i="92" s="1"/>
  <c r="D20" i="92"/>
  <c r="T16" i="92"/>
  <c r="Z16" i="92" s="1"/>
  <c r="P16" i="92"/>
  <c r="H16" i="92"/>
  <c r="N16" i="92" s="1"/>
  <c r="D16" i="92"/>
  <c r="B16" i="92"/>
  <c r="T15" i="92"/>
  <c r="Z15" i="92" s="1"/>
  <c r="P15" i="92"/>
  <c r="H15" i="92"/>
  <c r="D15" i="92"/>
  <c r="T13" i="92"/>
  <c r="Z13" i="92" s="1"/>
  <c r="P13" i="92"/>
  <c r="H13" i="92"/>
  <c r="N13" i="92" s="1"/>
  <c r="D13" i="92"/>
  <c r="B13" i="92"/>
  <c r="T12" i="92"/>
  <c r="P12" i="92"/>
  <c r="R21" i="92" s="1"/>
  <c r="H12" i="92"/>
  <c r="N12" i="92" s="1"/>
  <c r="D12" i="92"/>
  <c r="F20" i="92" s="1"/>
  <c r="D6" i="92"/>
  <c r="D5" i="92"/>
  <c r="D4" i="92"/>
  <c r="Z77" i="91"/>
  <c r="X77" i="91"/>
  <c r="N77" i="91"/>
  <c r="L77" i="91"/>
  <c r="P73" i="91"/>
  <c r="P72" i="91" s="1"/>
  <c r="X72" i="91" s="1"/>
  <c r="Z72" i="91" s="1"/>
  <c r="N73" i="91"/>
  <c r="L73" i="91"/>
  <c r="D73" i="91"/>
  <c r="B73" i="91"/>
  <c r="T72" i="91"/>
  <c r="L72" i="91"/>
  <c r="H72" i="91"/>
  <c r="N72" i="91" s="1"/>
  <c r="D72" i="91"/>
  <c r="Z70" i="91"/>
  <c r="X70" i="91"/>
  <c r="N70" i="91"/>
  <c r="L70" i="91"/>
  <c r="B70" i="91"/>
  <c r="T69" i="91"/>
  <c r="Z69" i="91" s="1"/>
  <c r="P69" i="91"/>
  <c r="N69" i="91"/>
  <c r="H69" i="91"/>
  <c r="D69" i="91"/>
  <c r="L69" i="91" s="1"/>
  <c r="B69" i="91"/>
  <c r="Z68" i="91"/>
  <c r="X68" i="91"/>
  <c r="L68" i="91"/>
  <c r="N68" i="91" s="1"/>
  <c r="B68" i="91"/>
  <c r="T67" i="91"/>
  <c r="P67" i="91"/>
  <c r="X67" i="91" s="1"/>
  <c r="Z67" i="91" s="1"/>
  <c r="H67" i="91"/>
  <c r="L67" i="91" s="1"/>
  <c r="N67" i="91" s="1"/>
  <c r="D67" i="91"/>
  <c r="B67" i="91"/>
  <c r="Z66" i="91"/>
  <c r="X66" i="91"/>
  <c r="N66" i="91"/>
  <c r="L66" i="91"/>
  <c r="B66" i="91"/>
  <c r="Z65" i="91"/>
  <c r="X65" i="91"/>
  <c r="N65" i="91"/>
  <c r="L65" i="91"/>
  <c r="B65" i="91"/>
  <c r="Z64" i="91"/>
  <c r="X64" i="91"/>
  <c r="L64" i="91"/>
  <c r="N64" i="91" s="1"/>
  <c r="B64" i="91"/>
  <c r="T63" i="91"/>
  <c r="P63" i="91"/>
  <c r="X63" i="91" s="1"/>
  <c r="Z63" i="91" s="1"/>
  <c r="N63" i="91"/>
  <c r="L63" i="91"/>
  <c r="H63" i="91"/>
  <c r="D63" i="91"/>
  <c r="B63" i="91"/>
  <c r="Z62" i="91"/>
  <c r="X62" i="91"/>
  <c r="N62" i="91"/>
  <c r="L62" i="91"/>
  <c r="B62" i="91"/>
  <c r="Z61" i="91"/>
  <c r="X61" i="91"/>
  <c r="T61" i="91"/>
  <c r="P61" i="91"/>
  <c r="L61" i="91"/>
  <c r="N61" i="91" s="1"/>
  <c r="H61" i="91"/>
  <c r="D61" i="91"/>
  <c r="B61" i="91"/>
  <c r="Z60" i="91"/>
  <c r="X60" i="91"/>
  <c r="N60" i="91"/>
  <c r="L60" i="91"/>
  <c r="B60" i="91"/>
  <c r="Z59" i="91"/>
  <c r="X59" i="91"/>
  <c r="L59" i="91"/>
  <c r="N59" i="91" s="1"/>
  <c r="B59" i="91"/>
  <c r="Z58" i="91"/>
  <c r="X58" i="91"/>
  <c r="N58" i="91"/>
  <c r="L58" i="91"/>
  <c r="B58" i="91"/>
  <c r="X57" i="91"/>
  <c r="Z57" i="91" s="1"/>
  <c r="T57" i="91"/>
  <c r="P57" i="91"/>
  <c r="L57" i="91"/>
  <c r="N57" i="91" s="1"/>
  <c r="H57" i="91"/>
  <c r="D57" i="91"/>
  <c r="B57" i="91"/>
  <c r="X56" i="91"/>
  <c r="Z56" i="91" s="1"/>
  <c r="N56" i="91"/>
  <c r="L56" i="91"/>
  <c r="B56" i="91"/>
  <c r="X55" i="91"/>
  <c r="Z55" i="91" s="1"/>
  <c r="T55" i="91"/>
  <c r="P55" i="91"/>
  <c r="H55" i="91"/>
  <c r="D55" i="91"/>
  <c r="L55" i="91" s="1"/>
  <c r="B55" i="91"/>
  <c r="Z54" i="91"/>
  <c r="X54" i="91"/>
  <c r="N54" i="91"/>
  <c r="L54" i="91"/>
  <c r="B54" i="91"/>
  <c r="V53" i="91"/>
  <c r="T53" i="91"/>
  <c r="P53" i="91"/>
  <c r="X53" i="91" s="1"/>
  <c r="H53" i="91"/>
  <c r="D53" i="91"/>
  <c r="L53" i="91" s="1"/>
  <c r="B53" i="91"/>
  <c r="Z52" i="91"/>
  <c r="X52" i="91"/>
  <c r="L52" i="91"/>
  <c r="N52" i="91" s="1"/>
  <c r="B52" i="91"/>
  <c r="X51" i="91"/>
  <c r="T51" i="91"/>
  <c r="R51" i="91"/>
  <c r="P51" i="91"/>
  <c r="L51" i="91"/>
  <c r="H51" i="91"/>
  <c r="D51" i="91"/>
  <c r="B51" i="91"/>
  <c r="Z50" i="91"/>
  <c r="X50" i="91"/>
  <c r="V50" i="91"/>
  <c r="N50" i="91"/>
  <c r="L50" i="91"/>
  <c r="B50" i="91"/>
  <c r="Z49" i="91"/>
  <c r="X49" i="91"/>
  <c r="N49" i="91"/>
  <c r="L49" i="91"/>
  <c r="B49" i="91"/>
  <c r="T48" i="91"/>
  <c r="P48" i="91"/>
  <c r="X48" i="91" s="1"/>
  <c r="Z48" i="91" s="1"/>
  <c r="L48" i="91"/>
  <c r="N48" i="91" s="1"/>
  <c r="H48" i="91"/>
  <c r="D48" i="91"/>
  <c r="B48" i="91"/>
  <c r="Z47" i="91"/>
  <c r="X47" i="91"/>
  <c r="L47" i="91"/>
  <c r="N47" i="91" s="1"/>
  <c r="B47" i="91"/>
  <c r="Z46" i="91"/>
  <c r="X46" i="91"/>
  <c r="V46" i="91"/>
  <c r="T46" i="91"/>
  <c r="P46" i="91"/>
  <c r="L46" i="91"/>
  <c r="H46" i="91"/>
  <c r="D46" i="91"/>
  <c r="B46" i="91"/>
  <c r="X45" i="91"/>
  <c r="Z45" i="91" s="1"/>
  <c r="N45" i="91"/>
  <c r="L45" i="91"/>
  <c r="B45" i="91"/>
  <c r="X44" i="91"/>
  <c r="T44" i="91"/>
  <c r="P44" i="91"/>
  <c r="H44" i="91"/>
  <c r="D44" i="91"/>
  <c r="L44" i="91" s="1"/>
  <c r="N44" i="91" s="1"/>
  <c r="B44" i="91"/>
  <c r="X43" i="91"/>
  <c r="Z43" i="91" s="1"/>
  <c r="L43" i="91"/>
  <c r="N43" i="91" s="1"/>
  <c r="B43" i="91"/>
  <c r="T42" i="91"/>
  <c r="P42" i="91"/>
  <c r="H42" i="91"/>
  <c r="D42" i="91"/>
  <c r="L42" i="91" s="1"/>
  <c r="N42" i="91" s="1"/>
  <c r="B42" i="91"/>
  <c r="Z41" i="91"/>
  <c r="X41" i="91"/>
  <c r="N41" i="91"/>
  <c r="L41" i="91"/>
  <c r="B41" i="91"/>
  <c r="Z40" i="91"/>
  <c r="X40" i="91"/>
  <c r="N40" i="91"/>
  <c r="L40" i="91"/>
  <c r="B40" i="91"/>
  <c r="X39" i="91"/>
  <c r="Z39" i="91" s="1"/>
  <c r="L39" i="91"/>
  <c r="N39" i="91" s="1"/>
  <c r="B39" i="91"/>
  <c r="Z38" i="91"/>
  <c r="X38" i="91"/>
  <c r="N38" i="91"/>
  <c r="L38" i="91"/>
  <c r="B38" i="91"/>
  <c r="Z37" i="91"/>
  <c r="X37" i="91"/>
  <c r="N37" i="91"/>
  <c r="L37" i="91"/>
  <c r="B37" i="91"/>
  <c r="Z36" i="91"/>
  <c r="X36" i="91"/>
  <c r="N36" i="91"/>
  <c r="L36" i="91"/>
  <c r="B36" i="91"/>
  <c r="X35" i="91"/>
  <c r="Z35" i="91" s="1"/>
  <c r="L35" i="91"/>
  <c r="N35" i="91" s="1"/>
  <c r="B35" i="91"/>
  <c r="Z34" i="91"/>
  <c r="X34" i="91"/>
  <c r="V34" i="91"/>
  <c r="N34" i="91"/>
  <c r="L34" i="91"/>
  <c r="B34" i="91"/>
  <c r="X33" i="91"/>
  <c r="Z33" i="91" s="1"/>
  <c r="R33" i="91"/>
  <c r="L33" i="91"/>
  <c r="N33" i="91" s="1"/>
  <c r="B33" i="91"/>
  <c r="Z32" i="91"/>
  <c r="X32" i="91"/>
  <c r="L32" i="91"/>
  <c r="N32" i="91" s="1"/>
  <c r="B32" i="91"/>
  <c r="X31" i="91"/>
  <c r="T31" i="91"/>
  <c r="Z31" i="91" s="1"/>
  <c r="R31" i="91"/>
  <c r="P31" i="91"/>
  <c r="L31" i="91"/>
  <c r="H31" i="91"/>
  <c r="D31" i="91"/>
  <c r="B31" i="91"/>
  <c r="Z30" i="91"/>
  <c r="X30" i="91"/>
  <c r="V30" i="91"/>
  <c r="N30" i="91"/>
  <c r="L30" i="91"/>
  <c r="B30" i="91"/>
  <c r="X29" i="91"/>
  <c r="Z29" i="91" s="1"/>
  <c r="R29" i="91"/>
  <c r="L29" i="91"/>
  <c r="N29" i="91" s="1"/>
  <c r="B29" i="91"/>
  <c r="Z28" i="91"/>
  <c r="X28" i="91"/>
  <c r="L28" i="91"/>
  <c r="N28" i="91" s="1"/>
  <c r="B28" i="91"/>
  <c r="Z27" i="91"/>
  <c r="X27" i="91"/>
  <c r="R27" i="91"/>
  <c r="N27" i="91"/>
  <c r="L27" i="91"/>
  <c r="B27" i="91"/>
  <c r="Z26" i="91"/>
  <c r="X26" i="91"/>
  <c r="R26" i="91"/>
  <c r="N26" i="91"/>
  <c r="L26" i="91"/>
  <c r="J26" i="91"/>
  <c r="B26" i="91"/>
  <c r="X25" i="91"/>
  <c r="Z25" i="91" s="1"/>
  <c r="L25" i="91"/>
  <c r="N25" i="91" s="1"/>
  <c r="B25" i="91"/>
  <c r="X24" i="91"/>
  <c r="Z24" i="91" s="1"/>
  <c r="N24" i="91"/>
  <c r="L24" i="91"/>
  <c r="B24" i="91"/>
  <c r="Z23" i="91"/>
  <c r="X23" i="91"/>
  <c r="R23" i="91"/>
  <c r="L23" i="91"/>
  <c r="N23" i="91" s="1"/>
  <c r="B23" i="91"/>
  <c r="Z22" i="91"/>
  <c r="X22" i="91"/>
  <c r="V22" i="91"/>
  <c r="R22" i="91"/>
  <c r="N22" i="91"/>
  <c r="L22" i="91"/>
  <c r="B22" i="91"/>
  <c r="X21" i="91"/>
  <c r="Z21" i="91" s="1"/>
  <c r="R21" i="91"/>
  <c r="L21" i="91"/>
  <c r="N21" i="91" s="1"/>
  <c r="B21" i="91"/>
  <c r="T20" i="91"/>
  <c r="P20" i="91"/>
  <c r="R20" i="91" s="1"/>
  <c r="J20" i="91"/>
  <c r="H20" i="91"/>
  <c r="D20" i="91"/>
  <c r="B20" i="91"/>
  <c r="T19" i="91"/>
  <c r="P19" i="91"/>
  <c r="H19" i="91"/>
  <c r="D19" i="91"/>
  <c r="L19" i="91" s="1"/>
  <c r="H17" i="91"/>
  <c r="T15" i="91"/>
  <c r="Z15" i="91" s="1"/>
  <c r="P15" i="91"/>
  <c r="P17" i="91" s="1"/>
  <c r="H15" i="91"/>
  <c r="N15" i="91" s="1"/>
  <c r="D15" i="91"/>
  <c r="L15" i="91" s="1"/>
  <c r="X13" i="91"/>
  <c r="Z13" i="91" s="1"/>
  <c r="P13" i="91"/>
  <c r="D13" i="91"/>
  <c r="L13" i="91" s="1"/>
  <c r="N13" i="91" s="1"/>
  <c r="B13" i="91"/>
  <c r="T12" i="91"/>
  <c r="P12" i="91"/>
  <c r="R45" i="91" s="1"/>
  <c r="H12" i="91"/>
  <c r="J41" i="91" s="1"/>
  <c r="D6" i="91"/>
  <c r="D4" i="91"/>
  <c r="Z94" i="90"/>
  <c r="X94" i="90"/>
  <c r="N94" i="90"/>
  <c r="L94" i="90"/>
  <c r="T90" i="90"/>
  <c r="Z90" i="90" s="1"/>
  <c r="P90" i="90"/>
  <c r="X90" i="90" s="1"/>
  <c r="N90" i="90"/>
  <c r="H90" i="90"/>
  <c r="D90" i="90"/>
  <c r="L90" i="90" s="1"/>
  <c r="Z88" i="90"/>
  <c r="X88" i="90"/>
  <c r="N88" i="90"/>
  <c r="L88" i="90"/>
  <c r="B88" i="90"/>
  <c r="T87" i="90"/>
  <c r="Z87" i="90" s="1"/>
  <c r="P87" i="90"/>
  <c r="X87" i="90" s="1"/>
  <c r="N87" i="90"/>
  <c r="L87" i="90"/>
  <c r="H87" i="90"/>
  <c r="D87" i="90"/>
  <c r="B87" i="90"/>
  <c r="Z86" i="90"/>
  <c r="X86" i="90"/>
  <c r="L86" i="90"/>
  <c r="N86" i="90" s="1"/>
  <c r="B86" i="90"/>
  <c r="Z85" i="90"/>
  <c r="X85" i="90"/>
  <c r="T85" i="90"/>
  <c r="P85" i="90"/>
  <c r="L85" i="90"/>
  <c r="H85" i="90"/>
  <c r="N85" i="90" s="1"/>
  <c r="D85" i="90"/>
  <c r="B85" i="90"/>
  <c r="Z84" i="90"/>
  <c r="X84" i="90"/>
  <c r="N84" i="90"/>
  <c r="L84" i="90"/>
  <c r="B84" i="90"/>
  <c r="X83" i="90"/>
  <c r="T83" i="90"/>
  <c r="Z83" i="90" s="1"/>
  <c r="P83" i="90"/>
  <c r="H83" i="90"/>
  <c r="D83" i="90"/>
  <c r="B83" i="90"/>
  <c r="X82" i="90"/>
  <c r="Z82" i="90" s="1"/>
  <c r="N82" i="90"/>
  <c r="L82" i="90"/>
  <c r="B82" i="90"/>
  <c r="Z81" i="90"/>
  <c r="X81" i="90"/>
  <c r="N81" i="90"/>
  <c r="L81" i="90"/>
  <c r="B81" i="90"/>
  <c r="Z80" i="90"/>
  <c r="X80" i="90"/>
  <c r="N80" i="90"/>
  <c r="L80" i="90"/>
  <c r="B80" i="90"/>
  <c r="X79" i="90"/>
  <c r="Z79" i="90" s="1"/>
  <c r="L79" i="90"/>
  <c r="N79" i="90" s="1"/>
  <c r="B79" i="90"/>
  <c r="Z78" i="90"/>
  <c r="X78" i="90"/>
  <c r="L78" i="90"/>
  <c r="N78" i="90" s="1"/>
  <c r="B78" i="90"/>
  <c r="Z77" i="90"/>
  <c r="X77" i="90"/>
  <c r="L77" i="90"/>
  <c r="N77" i="90" s="1"/>
  <c r="B77" i="90"/>
  <c r="Z76" i="90"/>
  <c r="X76" i="90"/>
  <c r="N76" i="90"/>
  <c r="L76" i="90"/>
  <c r="B76" i="90"/>
  <c r="T75" i="90"/>
  <c r="P75" i="90"/>
  <c r="X75" i="90" s="1"/>
  <c r="N75" i="90"/>
  <c r="L75" i="90"/>
  <c r="H75" i="90"/>
  <c r="D75" i="90"/>
  <c r="B75" i="90"/>
  <c r="Z74" i="90"/>
  <c r="X74" i="90"/>
  <c r="L74" i="90"/>
  <c r="N74" i="90" s="1"/>
  <c r="B74" i="90"/>
  <c r="Z73" i="90"/>
  <c r="X73" i="90"/>
  <c r="L73" i="90"/>
  <c r="N73" i="90" s="1"/>
  <c r="B73" i="90"/>
  <c r="Z72" i="90"/>
  <c r="X72" i="90"/>
  <c r="N72" i="90"/>
  <c r="L72" i="90"/>
  <c r="B72" i="90"/>
  <c r="X71" i="90"/>
  <c r="Z71" i="90" s="1"/>
  <c r="L71" i="90"/>
  <c r="N71" i="90" s="1"/>
  <c r="B71" i="90"/>
  <c r="T70" i="90"/>
  <c r="P70" i="90"/>
  <c r="X70" i="90" s="1"/>
  <c r="Z70" i="90" s="1"/>
  <c r="H70" i="90"/>
  <c r="D70" i="90"/>
  <c r="L70" i="90" s="1"/>
  <c r="N70" i="90" s="1"/>
  <c r="B70" i="90"/>
  <c r="Z69" i="90"/>
  <c r="X69" i="90"/>
  <c r="L69" i="90"/>
  <c r="N69" i="90" s="1"/>
  <c r="B69" i="90"/>
  <c r="Z68" i="90"/>
  <c r="X68" i="90"/>
  <c r="N68" i="90"/>
  <c r="L68" i="90"/>
  <c r="B68" i="90"/>
  <c r="Z67" i="90"/>
  <c r="X67" i="90"/>
  <c r="N67" i="90"/>
  <c r="L67" i="90"/>
  <c r="B67" i="90"/>
  <c r="T66" i="90"/>
  <c r="P66" i="90"/>
  <c r="X66" i="90" s="1"/>
  <c r="Z66" i="90" s="1"/>
  <c r="H66" i="90"/>
  <c r="D66" i="90"/>
  <c r="L66" i="90" s="1"/>
  <c r="N66" i="90" s="1"/>
  <c r="B66" i="90"/>
  <c r="Z65" i="90"/>
  <c r="X65" i="90"/>
  <c r="L65" i="90"/>
  <c r="N65" i="90" s="1"/>
  <c r="B65" i="90"/>
  <c r="T64" i="90"/>
  <c r="P64" i="90"/>
  <c r="X64" i="90" s="1"/>
  <c r="Z64" i="90" s="1"/>
  <c r="N64" i="90"/>
  <c r="L64" i="90"/>
  <c r="H64" i="90"/>
  <c r="D64" i="90"/>
  <c r="B64" i="90"/>
  <c r="X63" i="90"/>
  <c r="Z63" i="90" s="1"/>
  <c r="L63" i="90"/>
  <c r="N63" i="90" s="1"/>
  <c r="B63" i="90"/>
  <c r="Z62" i="90"/>
  <c r="X62" i="90"/>
  <c r="T62" i="90"/>
  <c r="P62" i="90"/>
  <c r="J62" i="90"/>
  <c r="H62" i="90"/>
  <c r="D62" i="90"/>
  <c r="B62" i="90"/>
  <c r="X61" i="90"/>
  <c r="Z61" i="90" s="1"/>
  <c r="N61" i="90"/>
  <c r="L61" i="90"/>
  <c r="B61" i="90"/>
  <c r="T60" i="90"/>
  <c r="P60" i="90"/>
  <c r="N60" i="90"/>
  <c r="H60" i="90"/>
  <c r="D60" i="90"/>
  <c r="L60" i="90" s="1"/>
  <c r="B60" i="90"/>
  <c r="X59" i="90"/>
  <c r="Z59" i="90" s="1"/>
  <c r="L59" i="90"/>
  <c r="N59" i="90" s="1"/>
  <c r="B59" i="90"/>
  <c r="T58" i="90"/>
  <c r="P58" i="90"/>
  <c r="X58" i="90" s="1"/>
  <c r="Z58" i="90" s="1"/>
  <c r="H58" i="90"/>
  <c r="D58" i="90"/>
  <c r="L58" i="90" s="1"/>
  <c r="N58" i="90" s="1"/>
  <c r="B58" i="90"/>
  <c r="Z57" i="90"/>
  <c r="X57" i="90"/>
  <c r="L57" i="90"/>
  <c r="N57" i="90" s="1"/>
  <c r="B57" i="90"/>
  <c r="T56" i="90"/>
  <c r="P56" i="90"/>
  <c r="X56" i="90" s="1"/>
  <c r="Z56" i="90" s="1"/>
  <c r="N56" i="90"/>
  <c r="L56" i="90"/>
  <c r="H56" i="90"/>
  <c r="D56" i="90"/>
  <c r="B56" i="90"/>
  <c r="X55" i="90"/>
  <c r="Z55" i="90" s="1"/>
  <c r="V55" i="90"/>
  <c r="L55" i="90"/>
  <c r="N55" i="90" s="1"/>
  <c r="B55" i="90"/>
  <c r="X54" i="90"/>
  <c r="Z54" i="90" s="1"/>
  <c r="T54" i="90"/>
  <c r="P54" i="90"/>
  <c r="H54" i="90"/>
  <c r="D54" i="90"/>
  <c r="B54" i="90"/>
  <c r="X53" i="90"/>
  <c r="Z53" i="90" s="1"/>
  <c r="N53" i="90"/>
  <c r="L53" i="90"/>
  <c r="B53" i="90"/>
  <c r="V52" i="90"/>
  <c r="T52" i="90"/>
  <c r="P52" i="90"/>
  <c r="H52" i="90"/>
  <c r="D52" i="90"/>
  <c r="L52" i="90" s="1"/>
  <c r="B52" i="90"/>
  <c r="X51" i="90"/>
  <c r="Z51" i="90" s="1"/>
  <c r="L51" i="90"/>
  <c r="N51" i="90" s="1"/>
  <c r="B51" i="90"/>
  <c r="T50" i="90"/>
  <c r="Z50" i="90" s="1"/>
  <c r="P50" i="90"/>
  <c r="X50" i="90" s="1"/>
  <c r="H50" i="90"/>
  <c r="L50" i="90" s="1"/>
  <c r="N50" i="90" s="1"/>
  <c r="D50" i="90"/>
  <c r="B50" i="90"/>
  <c r="X49" i="90"/>
  <c r="Z49" i="90" s="1"/>
  <c r="L49" i="90"/>
  <c r="N49" i="90" s="1"/>
  <c r="B49" i="90"/>
  <c r="Z48" i="90"/>
  <c r="T48" i="90"/>
  <c r="P48" i="90"/>
  <c r="X48" i="90" s="1"/>
  <c r="L48" i="90"/>
  <c r="N48" i="90" s="1"/>
  <c r="H48" i="90"/>
  <c r="D48" i="90"/>
  <c r="B48" i="90"/>
  <c r="Z47" i="90"/>
  <c r="X47" i="90"/>
  <c r="N47" i="90"/>
  <c r="L47" i="90"/>
  <c r="B47" i="90"/>
  <c r="Z46" i="90"/>
  <c r="X46" i="90"/>
  <c r="N46" i="90"/>
  <c r="L46" i="90"/>
  <c r="B46" i="90"/>
  <c r="X45" i="90"/>
  <c r="Z45" i="90" s="1"/>
  <c r="L45" i="90"/>
  <c r="N45" i="90" s="1"/>
  <c r="B45" i="90"/>
  <c r="Z44" i="90"/>
  <c r="X44" i="90"/>
  <c r="N44" i="90"/>
  <c r="L44" i="90"/>
  <c r="B44" i="90"/>
  <c r="Z43" i="90"/>
  <c r="X43" i="90"/>
  <c r="N43" i="90"/>
  <c r="L43" i="90"/>
  <c r="B43" i="90"/>
  <c r="X42" i="90"/>
  <c r="Z42" i="90" s="1"/>
  <c r="N42" i="90"/>
  <c r="L42" i="90"/>
  <c r="B42" i="90"/>
  <c r="X41" i="90"/>
  <c r="Z41" i="90" s="1"/>
  <c r="N41" i="90"/>
  <c r="L41" i="90"/>
  <c r="B41" i="90"/>
  <c r="Z40" i="90"/>
  <c r="X40" i="90"/>
  <c r="N40" i="90"/>
  <c r="L40" i="90"/>
  <c r="B40" i="90"/>
  <c r="X39" i="90"/>
  <c r="Z39" i="90" s="1"/>
  <c r="L39" i="90"/>
  <c r="N39" i="90" s="1"/>
  <c r="B39" i="90"/>
  <c r="Z38" i="90"/>
  <c r="X38" i="90"/>
  <c r="N38" i="90"/>
  <c r="L38" i="90"/>
  <c r="B38" i="90"/>
  <c r="T37" i="90"/>
  <c r="P37" i="90"/>
  <c r="X37" i="90" s="1"/>
  <c r="Z37" i="90" s="1"/>
  <c r="L37" i="90"/>
  <c r="H37" i="90"/>
  <c r="D37" i="90"/>
  <c r="B37" i="90"/>
  <c r="Z36" i="90"/>
  <c r="X36" i="90"/>
  <c r="V36" i="90"/>
  <c r="N36" i="90"/>
  <c r="L36" i="90"/>
  <c r="B36" i="90"/>
  <c r="X35" i="90"/>
  <c r="Z35" i="90" s="1"/>
  <c r="L35" i="90"/>
  <c r="N35" i="90" s="1"/>
  <c r="B35" i="90"/>
  <c r="X34" i="90"/>
  <c r="Z34" i="90" s="1"/>
  <c r="L34" i="90"/>
  <c r="N34" i="90" s="1"/>
  <c r="B34" i="90"/>
  <c r="Z33" i="90"/>
  <c r="X33" i="90"/>
  <c r="N33" i="90"/>
  <c r="L33" i="90"/>
  <c r="B33" i="90"/>
  <c r="Z32" i="90"/>
  <c r="X32" i="90"/>
  <c r="N32" i="90"/>
  <c r="L32" i="90"/>
  <c r="B32" i="90"/>
  <c r="X31" i="90"/>
  <c r="Z31" i="90" s="1"/>
  <c r="V31" i="90"/>
  <c r="L31" i="90"/>
  <c r="N31" i="90" s="1"/>
  <c r="B31" i="90"/>
  <c r="X30" i="90"/>
  <c r="Z30" i="90" s="1"/>
  <c r="N30" i="90"/>
  <c r="L30" i="90"/>
  <c r="B30" i="90"/>
  <c r="Z29" i="90"/>
  <c r="X29" i="90"/>
  <c r="L29" i="90"/>
  <c r="N29" i="90" s="1"/>
  <c r="B29" i="90"/>
  <c r="Z28" i="90"/>
  <c r="X28" i="90"/>
  <c r="N28" i="90"/>
  <c r="L28" i="90"/>
  <c r="B28" i="90"/>
  <c r="X27" i="90"/>
  <c r="Z27" i="90" s="1"/>
  <c r="L27" i="90"/>
  <c r="N27" i="90" s="1"/>
  <c r="J27" i="90"/>
  <c r="B27" i="90"/>
  <c r="T26" i="90"/>
  <c r="Z26" i="90" s="1"/>
  <c r="P26" i="90"/>
  <c r="X26" i="90" s="1"/>
  <c r="H26" i="90"/>
  <c r="N26" i="90" s="1"/>
  <c r="D26" i="90"/>
  <c r="L26" i="90" s="1"/>
  <c r="B26" i="90"/>
  <c r="T25" i="90"/>
  <c r="P25" i="90"/>
  <c r="X25" i="90" s="1"/>
  <c r="Z25" i="90" s="1"/>
  <c r="J25" i="90"/>
  <c r="H25" i="90"/>
  <c r="D25" i="90"/>
  <c r="T23" i="90"/>
  <c r="T92" i="90" s="1"/>
  <c r="Z21" i="90"/>
  <c r="X21" i="90"/>
  <c r="N21" i="90"/>
  <c r="L21" i="90"/>
  <c r="B21" i="90"/>
  <c r="Z20" i="90"/>
  <c r="X20" i="90"/>
  <c r="N20" i="90"/>
  <c r="L20" i="90"/>
  <c r="B20" i="90"/>
  <c r="X19" i="90"/>
  <c r="Z19" i="90" s="1"/>
  <c r="V19" i="90"/>
  <c r="L19" i="90"/>
  <c r="N19" i="90" s="1"/>
  <c r="J19" i="90"/>
  <c r="B19" i="90"/>
  <c r="T18" i="90"/>
  <c r="P18" i="90"/>
  <c r="X18" i="90" s="1"/>
  <c r="Z18" i="90" s="1"/>
  <c r="H18" i="90"/>
  <c r="N18" i="90" s="1"/>
  <c r="D18" i="90"/>
  <c r="L18" i="90" s="1"/>
  <c r="Z16" i="90"/>
  <c r="X16" i="90"/>
  <c r="P16" i="90"/>
  <c r="N16" i="90"/>
  <c r="D16" i="90"/>
  <c r="L16" i="90" s="1"/>
  <c r="B16" i="90"/>
  <c r="Z15" i="90"/>
  <c r="P15" i="90"/>
  <c r="X15" i="90" s="1"/>
  <c r="N15" i="90"/>
  <c r="D15" i="90"/>
  <c r="L15" i="90" s="1"/>
  <c r="B15" i="90"/>
  <c r="P14" i="90"/>
  <c r="X14" i="90" s="1"/>
  <c r="Z14" i="90" s="1"/>
  <c r="N14" i="90"/>
  <c r="L14" i="90"/>
  <c r="D14" i="90"/>
  <c r="B14" i="90"/>
  <c r="Z13" i="90"/>
  <c r="X13" i="90"/>
  <c r="P13" i="90"/>
  <c r="N13" i="90"/>
  <c r="L13" i="90"/>
  <c r="D13" i="90"/>
  <c r="D12" i="90" s="1"/>
  <c r="B13" i="90"/>
  <c r="T12" i="90"/>
  <c r="V35" i="90" s="1"/>
  <c r="L12" i="90"/>
  <c r="H12" i="90"/>
  <c r="J37" i="90" s="1"/>
  <c r="D6" i="90"/>
  <c r="D4" i="90"/>
  <c r="X93" i="89"/>
  <c r="Z93" i="89" s="1"/>
  <c r="N93" i="89"/>
  <c r="L93" i="89"/>
  <c r="T89" i="89"/>
  <c r="Z89" i="89" s="1"/>
  <c r="P89" i="89"/>
  <c r="X89" i="89" s="1"/>
  <c r="N89" i="89"/>
  <c r="L89" i="89"/>
  <c r="H89" i="89"/>
  <c r="D89" i="89"/>
  <c r="X87" i="89"/>
  <c r="Z87" i="89" s="1"/>
  <c r="N87" i="89"/>
  <c r="L87" i="89"/>
  <c r="B87" i="89"/>
  <c r="T86" i="89"/>
  <c r="P86" i="89"/>
  <c r="H86" i="89"/>
  <c r="D86" i="89"/>
  <c r="L86" i="89" s="1"/>
  <c r="N86" i="89" s="1"/>
  <c r="B86" i="89"/>
  <c r="X85" i="89"/>
  <c r="Z85" i="89" s="1"/>
  <c r="L85" i="89"/>
  <c r="N85" i="89" s="1"/>
  <c r="B85" i="89"/>
  <c r="T84" i="89"/>
  <c r="P84" i="89"/>
  <c r="X84" i="89" s="1"/>
  <c r="Z84" i="89" s="1"/>
  <c r="H84" i="89"/>
  <c r="D84" i="89"/>
  <c r="L84" i="89" s="1"/>
  <c r="B84" i="89"/>
  <c r="Z83" i="89"/>
  <c r="X83" i="89"/>
  <c r="N83" i="89"/>
  <c r="L83" i="89"/>
  <c r="B83" i="89"/>
  <c r="Z82" i="89"/>
  <c r="X82" i="89"/>
  <c r="N82" i="89"/>
  <c r="L82" i="89"/>
  <c r="B82" i="89"/>
  <c r="X81" i="89"/>
  <c r="Z81" i="89" s="1"/>
  <c r="L81" i="89"/>
  <c r="N81" i="89" s="1"/>
  <c r="B81" i="89"/>
  <c r="Z80" i="89"/>
  <c r="X80" i="89"/>
  <c r="N80" i="89"/>
  <c r="L80" i="89"/>
  <c r="B80" i="89"/>
  <c r="Z79" i="89"/>
  <c r="X79" i="89"/>
  <c r="N79" i="89"/>
  <c r="L79" i="89"/>
  <c r="B79" i="89"/>
  <c r="X78" i="89"/>
  <c r="Z78" i="89" s="1"/>
  <c r="V78" i="89"/>
  <c r="L78" i="89"/>
  <c r="N78" i="89" s="1"/>
  <c r="B78" i="89"/>
  <c r="X77" i="89"/>
  <c r="Z77" i="89" s="1"/>
  <c r="L77" i="89"/>
  <c r="N77" i="89" s="1"/>
  <c r="B77" i="89"/>
  <c r="Z76" i="89"/>
  <c r="X76" i="89"/>
  <c r="T76" i="89"/>
  <c r="P76" i="89"/>
  <c r="H76" i="89"/>
  <c r="N76" i="89" s="1"/>
  <c r="D76" i="89"/>
  <c r="L76" i="89" s="1"/>
  <c r="B76" i="89"/>
  <c r="X75" i="89"/>
  <c r="Z75" i="89" s="1"/>
  <c r="N75" i="89"/>
  <c r="L75" i="89"/>
  <c r="B75" i="89"/>
  <c r="V74" i="89"/>
  <c r="T74" i="89"/>
  <c r="Z74" i="89" s="1"/>
  <c r="P74" i="89"/>
  <c r="X74" i="89" s="1"/>
  <c r="H74" i="89"/>
  <c r="D74" i="89"/>
  <c r="L74" i="89" s="1"/>
  <c r="N74" i="89" s="1"/>
  <c r="B74" i="89"/>
  <c r="X73" i="89"/>
  <c r="Z73" i="89" s="1"/>
  <c r="L73" i="89"/>
  <c r="N73" i="89" s="1"/>
  <c r="B73" i="89"/>
  <c r="Z72" i="89"/>
  <c r="X72" i="89"/>
  <c r="N72" i="89"/>
  <c r="L72" i="89"/>
  <c r="B72" i="89"/>
  <c r="Z71" i="89"/>
  <c r="X71" i="89"/>
  <c r="N71" i="89"/>
  <c r="L71" i="89"/>
  <c r="B71" i="89"/>
  <c r="X70" i="89"/>
  <c r="Z70" i="89" s="1"/>
  <c r="L70" i="89"/>
  <c r="N70" i="89" s="1"/>
  <c r="B70" i="89"/>
  <c r="X69" i="89"/>
  <c r="Z69" i="89" s="1"/>
  <c r="T69" i="89"/>
  <c r="P69" i="89"/>
  <c r="H69" i="89"/>
  <c r="D69" i="89"/>
  <c r="B69" i="89"/>
  <c r="Z68" i="89"/>
  <c r="X68" i="89"/>
  <c r="N68" i="89"/>
  <c r="L68" i="89"/>
  <c r="B68" i="89"/>
  <c r="X67" i="89"/>
  <c r="Z67" i="89" s="1"/>
  <c r="N67" i="89"/>
  <c r="L67" i="89"/>
  <c r="B67" i="89"/>
  <c r="T66" i="89"/>
  <c r="P66" i="89"/>
  <c r="X66" i="89" s="1"/>
  <c r="H66" i="89"/>
  <c r="D66" i="89"/>
  <c r="L66" i="89" s="1"/>
  <c r="N66" i="89" s="1"/>
  <c r="B66" i="89"/>
  <c r="X65" i="89"/>
  <c r="Z65" i="89" s="1"/>
  <c r="L65" i="89"/>
  <c r="N65" i="89" s="1"/>
  <c r="B65" i="89"/>
  <c r="T64" i="89"/>
  <c r="P64" i="89"/>
  <c r="X64" i="89" s="1"/>
  <c r="Z64" i="89" s="1"/>
  <c r="L64" i="89"/>
  <c r="H64" i="89"/>
  <c r="N64" i="89" s="1"/>
  <c r="D64" i="89"/>
  <c r="B64" i="89"/>
  <c r="Z63" i="89"/>
  <c r="X63" i="89"/>
  <c r="N63" i="89"/>
  <c r="L63" i="89"/>
  <c r="B63" i="89"/>
  <c r="X62" i="89"/>
  <c r="T62" i="89"/>
  <c r="Z62" i="89" s="1"/>
  <c r="P62" i="89"/>
  <c r="N62" i="89"/>
  <c r="H62" i="89"/>
  <c r="L62" i="89" s="1"/>
  <c r="D62" i="89"/>
  <c r="B62" i="89"/>
  <c r="X61" i="89"/>
  <c r="Z61" i="89" s="1"/>
  <c r="L61" i="89"/>
  <c r="N61" i="89" s="1"/>
  <c r="B61" i="89"/>
  <c r="Z60" i="89"/>
  <c r="T60" i="89"/>
  <c r="P60" i="89"/>
  <c r="X60" i="89" s="1"/>
  <c r="H60" i="89"/>
  <c r="N60" i="89" s="1"/>
  <c r="D60" i="89"/>
  <c r="L60" i="89" s="1"/>
  <c r="B60" i="89"/>
  <c r="Z59" i="89"/>
  <c r="X59" i="89"/>
  <c r="N59" i="89"/>
  <c r="L59" i="89"/>
  <c r="B59" i="89"/>
  <c r="T58" i="89"/>
  <c r="Z58" i="89" s="1"/>
  <c r="P58" i="89"/>
  <c r="X58" i="89" s="1"/>
  <c r="H58" i="89"/>
  <c r="D58" i="89"/>
  <c r="L58" i="89" s="1"/>
  <c r="N58" i="89" s="1"/>
  <c r="B58" i="89"/>
  <c r="X57" i="89"/>
  <c r="Z57" i="89" s="1"/>
  <c r="L57" i="89"/>
  <c r="N57" i="89" s="1"/>
  <c r="B57" i="89"/>
  <c r="T56" i="89"/>
  <c r="P56" i="89"/>
  <c r="X56" i="89" s="1"/>
  <c r="Z56" i="89" s="1"/>
  <c r="L56" i="89"/>
  <c r="H56" i="89"/>
  <c r="N56" i="89" s="1"/>
  <c r="D56" i="89"/>
  <c r="B56" i="89"/>
  <c r="Z55" i="89"/>
  <c r="X55" i="89"/>
  <c r="N55" i="89"/>
  <c r="L55" i="89"/>
  <c r="B55" i="89"/>
  <c r="X54" i="89"/>
  <c r="T54" i="89"/>
  <c r="Z54" i="89" s="1"/>
  <c r="P54" i="89"/>
  <c r="N54" i="89"/>
  <c r="H54" i="89"/>
  <c r="L54" i="89" s="1"/>
  <c r="D54" i="89"/>
  <c r="B54" i="89"/>
  <c r="X53" i="89"/>
  <c r="Z53" i="89" s="1"/>
  <c r="L53" i="89"/>
  <c r="N53" i="89" s="1"/>
  <c r="B53" i="89"/>
  <c r="Z52" i="89"/>
  <c r="T52" i="89"/>
  <c r="X52" i="89" s="1"/>
  <c r="P52" i="89"/>
  <c r="H52" i="89"/>
  <c r="D52" i="89"/>
  <c r="L52" i="89" s="1"/>
  <c r="B52" i="89"/>
  <c r="Z51" i="89"/>
  <c r="X51" i="89"/>
  <c r="N51" i="89"/>
  <c r="L51" i="89"/>
  <c r="B51" i="89"/>
  <c r="V50" i="89"/>
  <c r="T50" i="89"/>
  <c r="P50" i="89"/>
  <c r="X50" i="89" s="1"/>
  <c r="H50" i="89"/>
  <c r="D50" i="89"/>
  <c r="L50" i="89" s="1"/>
  <c r="N50" i="89" s="1"/>
  <c r="B50" i="89"/>
  <c r="X49" i="89"/>
  <c r="Z49" i="89" s="1"/>
  <c r="L49" i="89"/>
  <c r="N49" i="89" s="1"/>
  <c r="B49" i="89"/>
  <c r="T48" i="89"/>
  <c r="P48" i="89"/>
  <c r="X48" i="89" s="1"/>
  <c r="Z48" i="89" s="1"/>
  <c r="L48" i="89"/>
  <c r="H48" i="89"/>
  <c r="N48" i="89" s="1"/>
  <c r="D48" i="89"/>
  <c r="B48" i="89"/>
  <c r="Z47" i="89"/>
  <c r="X47" i="89"/>
  <c r="N47" i="89"/>
  <c r="L47" i="89"/>
  <c r="B47" i="89"/>
  <c r="Z46" i="89"/>
  <c r="X46" i="89"/>
  <c r="N46" i="89"/>
  <c r="L46" i="89"/>
  <c r="B46" i="89"/>
  <c r="X45" i="89"/>
  <c r="Z45" i="89" s="1"/>
  <c r="L45" i="89"/>
  <c r="N45" i="89" s="1"/>
  <c r="B45" i="89"/>
  <c r="Z44" i="89"/>
  <c r="X44" i="89"/>
  <c r="N44" i="89"/>
  <c r="L44" i="89"/>
  <c r="B44" i="89"/>
  <c r="Z43" i="89"/>
  <c r="X43" i="89"/>
  <c r="N43" i="89"/>
  <c r="L43" i="89"/>
  <c r="B43" i="89"/>
  <c r="X42" i="89"/>
  <c r="Z42" i="89" s="1"/>
  <c r="L42" i="89"/>
  <c r="N42" i="89" s="1"/>
  <c r="B42" i="89"/>
  <c r="X41" i="89"/>
  <c r="Z41" i="89" s="1"/>
  <c r="L41" i="89"/>
  <c r="N41" i="89" s="1"/>
  <c r="B41" i="89"/>
  <c r="Z40" i="89"/>
  <c r="X40" i="89"/>
  <c r="N40" i="89"/>
  <c r="L40" i="89"/>
  <c r="B40" i="89"/>
  <c r="Z39" i="89"/>
  <c r="X39" i="89"/>
  <c r="N39" i="89"/>
  <c r="L39" i="89"/>
  <c r="B39" i="89"/>
  <c r="Z38" i="89"/>
  <c r="X38" i="89"/>
  <c r="N38" i="89"/>
  <c r="L38" i="89"/>
  <c r="B38" i="89"/>
  <c r="T37" i="89"/>
  <c r="P37" i="89"/>
  <c r="X37" i="89" s="1"/>
  <c r="Z37" i="89" s="1"/>
  <c r="H37" i="89"/>
  <c r="D37" i="89"/>
  <c r="L37" i="89" s="1"/>
  <c r="B37" i="89"/>
  <c r="Z36" i="89"/>
  <c r="X36" i="89"/>
  <c r="N36" i="89"/>
  <c r="L36" i="89"/>
  <c r="B36" i="89"/>
  <c r="Z35" i="89"/>
  <c r="X35" i="89"/>
  <c r="L35" i="89"/>
  <c r="N35" i="89" s="1"/>
  <c r="B35" i="89"/>
  <c r="X34" i="89"/>
  <c r="Z34" i="89" s="1"/>
  <c r="N34" i="89"/>
  <c r="L34" i="89"/>
  <c r="B34" i="89"/>
  <c r="Z33" i="89"/>
  <c r="X33" i="89"/>
  <c r="N33" i="89"/>
  <c r="L33" i="89"/>
  <c r="B33" i="89"/>
  <c r="Z32" i="89"/>
  <c r="X32" i="89"/>
  <c r="N32" i="89"/>
  <c r="L32" i="89"/>
  <c r="B32" i="89"/>
  <c r="X31" i="89"/>
  <c r="Z31" i="89" s="1"/>
  <c r="N31" i="89"/>
  <c r="L31" i="89"/>
  <c r="B31" i="89"/>
  <c r="Z30" i="89"/>
  <c r="X30" i="89"/>
  <c r="V30" i="89"/>
  <c r="L30" i="89"/>
  <c r="N30" i="89" s="1"/>
  <c r="B30" i="89"/>
  <c r="X29" i="89"/>
  <c r="Z29" i="89" s="1"/>
  <c r="L29" i="89"/>
  <c r="N29" i="89" s="1"/>
  <c r="B29" i="89"/>
  <c r="Z28" i="89"/>
  <c r="X28" i="89"/>
  <c r="N28" i="89"/>
  <c r="L28" i="89"/>
  <c r="B28" i="89"/>
  <c r="Z27" i="89"/>
  <c r="X27" i="89"/>
  <c r="L27" i="89"/>
  <c r="N27" i="89" s="1"/>
  <c r="B27" i="89"/>
  <c r="T26" i="89"/>
  <c r="P26" i="89"/>
  <c r="X26" i="89" s="1"/>
  <c r="N26" i="89"/>
  <c r="L26" i="89"/>
  <c r="H26" i="89"/>
  <c r="D26" i="89"/>
  <c r="B26" i="89"/>
  <c r="T25" i="89"/>
  <c r="P25" i="89"/>
  <c r="X25" i="89" s="1"/>
  <c r="H25" i="89"/>
  <c r="D25" i="89"/>
  <c r="Z21" i="89"/>
  <c r="X21" i="89"/>
  <c r="N21" i="89"/>
  <c r="L21" i="89"/>
  <c r="B21" i="89"/>
  <c r="Z20" i="89"/>
  <c r="X20" i="89"/>
  <c r="V20" i="89"/>
  <c r="N20" i="89"/>
  <c r="L20" i="89"/>
  <c r="B20" i="89"/>
  <c r="X19" i="89"/>
  <c r="Z19" i="89" s="1"/>
  <c r="L19" i="89"/>
  <c r="N19" i="89" s="1"/>
  <c r="B19" i="89"/>
  <c r="Z18" i="89"/>
  <c r="T18" i="89"/>
  <c r="P18" i="89"/>
  <c r="X18" i="89" s="1"/>
  <c r="N18" i="89"/>
  <c r="L18" i="89"/>
  <c r="H18" i="89"/>
  <c r="D18" i="89"/>
  <c r="Z16" i="89"/>
  <c r="P16" i="89"/>
  <c r="X16" i="89" s="1"/>
  <c r="N16" i="89"/>
  <c r="D16" i="89"/>
  <c r="L16" i="89" s="1"/>
  <c r="B16" i="89"/>
  <c r="Z15" i="89"/>
  <c r="X15" i="89"/>
  <c r="P15" i="89"/>
  <c r="N15" i="89"/>
  <c r="D15" i="89"/>
  <c r="L15" i="89" s="1"/>
  <c r="B15" i="89"/>
  <c r="P14" i="89"/>
  <c r="L14" i="89"/>
  <c r="N14" i="89" s="1"/>
  <c r="D14" i="89"/>
  <c r="B14" i="89"/>
  <c r="Z13" i="89"/>
  <c r="X13" i="89"/>
  <c r="P13" i="89"/>
  <c r="N13" i="89"/>
  <c r="D13" i="89"/>
  <c r="B13" i="89"/>
  <c r="T12" i="89"/>
  <c r="V86" i="89" s="1"/>
  <c r="H12" i="89"/>
  <c r="D6" i="89"/>
  <c r="D4" i="89"/>
  <c r="Z91" i="88"/>
  <c r="X91" i="88"/>
  <c r="V91" i="88"/>
  <c r="N91" i="88"/>
  <c r="L91" i="88"/>
  <c r="T87" i="88"/>
  <c r="P87" i="88"/>
  <c r="N87" i="88"/>
  <c r="J87" i="88"/>
  <c r="H87" i="88"/>
  <c r="D87" i="88"/>
  <c r="L87" i="88" s="1"/>
  <c r="Z85" i="88"/>
  <c r="X85" i="88"/>
  <c r="V85" i="88"/>
  <c r="N85" i="88"/>
  <c r="L85" i="88"/>
  <c r="B85" i="88"/>
  <c r="T84" i="88"/>
  <c r="P84" i="88"/>
  <c r="H84" i="88"/>
  <c r="D84" i="88"/>
  <c r="B84" i="88"/>
  <c r="X83" i="88"/>
  <c r="Z83" i="88" s="1"/>
  <c r="N83" i="88"/>
  <c r="L83" i="88"/>
  <c r="J83" i="88"/>
  <c r="B83" i="88"/>
  <c r="Z82" i="88"/>
  <c r="X82" i="88"/>
  <c r="N82" i="88"/>
  <c r="L82" i="88"/>
  <c r="B82" i="88"/>
  <c r="Z81" i="88"/>
  <c r="X81" i="88"/>
  <c r="V81" i="88"/>
  <c r="N81" i="88"/>
  <c r="L81" i="88"/>
  <c r="B81" i="88"/>
  <c r="X80" i="88"/>
  <c r="Z80" i="88" s="1"/>
  <c r="L80" i="88"/>
  <c r="N80" i="88" s="1"/>
  <c r="J80" i="88"/>
  <c r="B80" i="88"/>
  <c r="Z79" i="88"/>
  <c r="X79" i="88"/>
  <c r="V79" i="88"/>
  <c r="L79" i="88"/>
  <c r="N79" i="88" s="1"/>
  <c r="B79" i="88"/>
  <c r="X78" i="88"/>
  <c r="Z78" i="88" s="1"/>
  <c r="N78" i="88"/>
  <c r="L78" i="88"/>
  <c r="B78" i="88"/>
  <c r="Z77" i="88"/>
  <c r="X77" i="88"/>
  <c r="N77" i="88"/>
  <c r="L77" i="88"/>
  <c r="J77" i="88"/>
  <c r="B77" i="88"/>
  <c r="Z76" i="88"/>
  <c r="X76" i="88"/>
  <c r="V76" i="88"/>
  <c r="N76" i="88"/>
  <c r="L76" i="88"/>
  <c r="B76" i="88"/>
  <c r="X75" i="88"/>
  <c r="Z75" i="88" s="1"/>
  <c r="T75" i="88"/>
  <c r="P75" i="88"/>
  <c r="H75" i="88"/>
  <c r="D75" i="88"/>
  <c r="B75" i="88"/>
  <c r="X74" i="88"/>
  <c r="Z74" i="88" s="1"/>
  <c r="N74" i="88"/>
  <c r="L74" i="88"/>
  <c r="B74" i="88"/>
  <c r="Z73" i="88"/>
  <c r="X73" i="88"/>
  <c r="N73" i="88"/>
  <c r="L73" i="88"/>
  <c r="J73" i="88"/>
  <c r="B73" i="88"/>
  <c r="Z72" i="88"/>
  <c r="X72" i="88"/>
  <c r="V72" i="88"/>
  <c r="L72" i="88"/>
  <c r="N72" i="88" s="1"/>
  <c r="B72" i="88"/>
  <c r="X71" i="88"/>
  <c r="Z71" i="88" s="1"/>
  <c r="N71" i="88"/>
  <c r="L71" i="88"/>
  <c r="J71" i="88"/>
  <c r="B71" i="88"/>
  <c r="T70" i="88"/>
  <c r="Z70" i="88" s="1"/>
  <c r="P70" i="88"/>
  <c r="X70" i="88" s="1"/>
  <c r="J70" i="88"/>
  <c r="H70" i="88"/>
  <c r="N70" i="88" s="1"/>
  <c r="D70" i="88"/>
  <c r="L70" i="88" s="1"/>
  <c r="B70" i="88"/>
  <c r="Z69" i="88"/>
  <c r="X69" i="88"/>
  <c r="N69" i="88"/>
  <c r="L69" i="88"/>
  <c r="J69" i="88"/>
  <c r="B69" i="88"/>
  <c r="Z68" i="88"/>
  <c r="X68" i="88"/>
  <c r="V68" i="88"/>
  <c r="L68" i="88"/>
  <c r="N68" i="88" s="1"/>
  <c r="B68" i="88"/>
  <c r="Z67" i="88"/>
  <c r="X67" i="88"/>
  <c r="N67" i="88"/>
  <c r="L67" i="88"/>
  <c r="J67" i="88"/>
  <c r="B67" i="88"/>
  <c r="T66" i="88"/>
  <c r="P66" i="88"/>
  <c r="X66" i="88" s="1"/>
  <c r="Z66" i="88" s="1"/>
  <c r="J66" i="88"/>
  <c r="H66" i="88"/>
  <c r="N66" i="88" s="1"/>
  <c r="D66" i="88"/>
  <c r="L66" i="88" s="1"/>
  <c r="B66" i="88"/>
  <c r="Z65" i="88"/>
  <c r="X65" i="88"/>
  <c r="N65" i="88"/>
  <c r="L65" i="88"/>
  <c r="J65" i="88"/>
  <c r="B65" i="88"/>
  <c r="V64" i="88"/>
  <c r="T64" i="88"/>
  <c r="P64" i="88"/>
  <c r="X64" i="88" s="1"/>
  <c r="L64" i="88"/>
  <c r="H64" i="88"/>
  <c r="N64" i="88" s="1"/>
  <c r="D64" i="88"/>
  <c r="B64" i="88"/>
  <c r="Z63" i="88"/>
  <c r="X63" i="88"/>
  <c r="V63" i="88"/>
  <c r="L63" i="88"/>
  <c r="N63" i="88" s="1"/>
  <c r="B63" i="88"/>
  <c r="X62" i="88"/>
  <c r="T62" i="88"/>
  <c r="Z62" i="88" s="1"/>
  <c r="P62" i="88"/>
  <c r="H62" i="88"/>
  <c r="L62" i="88" s="1"/>
  <c r="D62" i="88"/>
  <c r="B62" i="88"/>
  <c r="Z61" i="88"/>
  <c r="X61" i="88"/>
  <c r="V61" i="88"/>
  <c r="N61" i="88"/>
  <c r="L61" i="88"/>
  <c r="B61" i="88"/>
  <c r="X60" i="88"/>
  <c r="T60" i="88"/>
  <c r="P60" i="88"/>
  <c r="N60" i="88"/>
  <c r="H60" i="88"/>
  <c r="D60" i="88"/>
  <c r="L60" i="88" s="1"/>
  <c r="B60" i="88"/>
  <c r="X59" i="88"/>
  <c r="Z59" i="88" s="1"/>
  <c r="N59" i="88"/>
  <c r="L59" i="88"/>
  <c r="J59" i="88"/>
  <c r="B59" i="88"/>
  <c r="T58" i="88"/>
  <c r="Z58" i="88" s="1"/>
  <c r="P58" i="88"/>
  <c r="X58" i="88" s="1"/>
  <c r="J58" i="88"/>
  <c r="H58" i="88"/>
  <c r="N58" i="88" s="1"/>
  <c r="D58" i="88"/>
  <c r="L58" i="88" s="1"/>
  <c r="B58" i="88"/>
  <c r="Z57" i="88"/>
  <c r="X57" i="88"/>
  <c r="N57" i="88"/>
  <c r="L57" i="88"/>
  <c r="J57" i="88"/>
  <c r="B57" i="88"/>
  <c r="V56" i="88"/>
  <c r="T56" i="88"/>
  <c r="Z56" i="88" s="1"/>
  <c r="P56" i="88"/>
  <c r="X56" i="88" s="1"/>
  <c r="L56" i="88"/>
  <c r="H56" i="88"/>
  <c r="N56" i="88" s="1"/>
  <c r="D56" i="88"/>
  <c r="B56" i="88"/>
  <c r="Z55" i="88"/>
  <c r="X55" i="88"/>
  <c r="V55" i="88"/>
  <c r="N55" i="88"/>
  <c r="L55" i="88"/>
  <c r="B55" i="88"/>
  <c r="X54" i="88"/>
  <c r="T54" i="88"/>
  <c r="Z54" i="88" s="1"/>
  <c r="P54" i="88"/>
  <c r="H54" i="88"/>
  <c r="N54" i="88" s="1"/>
  <c r="D54" i="88"/>
  <c r="B54" i="88"/>
  <c r="Z53" i="88"/>
  <c r="X53" i="88"/>
  <c r="V53" i="88"/>
  <c r="N53" i="88"/>
  <c r="L53" i="88"/>
  <c r="B53" i="88"/>
  <c r="T52" i="88"/>
  <c r="P52" i="88"/>
  <c r="H52" i="88"/>
  <c r="D52" i="88"/>
  <c r="B52" i="88"/>
  <c r="X51" i="88"/>
  <c r="Z51" i="88" s="1"/>
  <c r="N51" i="88"/>
  <c r="L51" i="88"/>
  <c r="J51" i="88"/>
  <c r="B51" i="88"/>
  <c r="Z50" i="88"/>
  <c r="T50" i="88"/>
  <c r="P50" i="88"/>
  <c r="X50" i="88" s="1"/>
  <c r="J50" i="88"/>
  <c r="H50" i="88"/>
  <c r="D50" i="88"/>
  <c r="L50" i="88" s="1"/>
  <c r="B50" i="88"/>
  <c r="Z49" i="88"/>
  <c r="X49" i="88"/>
  <c r="N49" i="88"/>
  <c r="L49" i="88"/>
  <c r="J49" i="88"/>
  <c r="B49" i="88"/>
  <c r="V48" i="88"/>
  <c r="T48" i="88"/>
  <c r="P48" i="88"/>
  <c r="X48" i="88" s="1"/>
  <c r="L48" i="88"/>
  <c r="H48" i="88"/>
  <c r="N48" i="88" s="1"/>
  <c r="D48" i="88"/>
  <c r="B48" i="88"/>
  <c r="Z47" i="88"/>
  <c r="X47" i="88"/>
  <c r="V47" i="88"/>
  <c r="N47" i="88"/>
  <c r="L47" i="88"/>
  <c r="B47" i="88"/>
  <c r="Z46" i="88"/>
  <c r="X46" i="88"/>
  <c r="N46" i="88"/>
  <c r="L46" i="88"/>
  <c r="B46" i="88"/>
  <c r="Z45" i="88"/>
  <c r="X45" i="88"/>
  <c r="N45" i="88"/>
  <c r="L45" i="88"/>
  <c r="J45" i="88"/>
  <c r="B45" i="88"/>
  <c r="Z44" i="88"/>
  <c r="X44" i="88"/>
  <c r="V44" i="88"/>
  <c r="N44" i="88"/>
  <c r="L44" i="88"/>
  <c r="B44" i="88"/>
  <c r="Z43" i="88"/>
  <c r="X43" i="88"/>
  <c r="N43" i="88"/>
  <c r="L43" i="88"/>
  <c r="J43" i="88"/>
  <c r="B43" i="88"/>
  <c r="Z42" i="88"/>
  <c r="X42" i="88"/>
  <c r="N42" i="88"/>
  <c r="L42" i="88"/>
  <c r="B42" i="88"/>
  <c r="Z41" i="88"/>
  <c r="X41" i="88"/>
  <c r="V41" i="88"/>
  <c r="N41" i="88"/>
  <c r="L41" i="88"/>
  <c r="B41" i="88"/>
  <c r="Z40" i="88"/>
  <c r="X40" i="88"/>
  <c r="N40" i="88"/>
  <c r="L40" i="88"/>
  <c r="J40" i="88"/>
  <c r="B40" i="88"/>
  <c r="Z39" i="88"/>
  <c r="X39" i="88"/>
  <c r="V39" i="88"/>
  <c r="L39" i="88"/>
  <c r="N39" i="88" s="1"/>
  <c r="B39" i="88"/>
  <c r="Z38" i="88"/>
  <c r="X38" i="88"/>
  <c r="N38" i="88"/>
  <c r="L38" i="88"/>
  <c r="B38" i="88"/>
  <c r="Z37" i="88"/>
  <c r="T37" i="88"/>
  <c r="X37" i="88" s="1"/>
  <c r="P37" i="88"/>
  <c r="N37" i="88"/>
  <c r="J37" i="88"/>
  <c r="H37" i="88"/>
  <c r="D37" i="88"/>
  <c r="L37" i="88" s="1"/>
  <c r="B37" i="88"/>
  <c r="Z36" i="88"/>
  <c r="X36" i="88"/>
  <c r="N36" i="88"/>
  <c r="L36" i="88"/>
  <c r="J36" i="88"/>
  <c r="B36" i="88"/>
  <c r="Z35" i="88"/>
  <c r="X35" i="88"/>
  <c r="V35" i="88"/>
  <c r="L35" i="88"/>
  <c r="N35" i="88" s="1"/>
  <c r="B35" i="88"/>
  <c r="X34" i="88"/>
  <c r="Z34" i="88" s="1"/>
  <c r="N34" i="88"/>
  <c r="L34" i="88"/>
  <c r="B34" i="88"/>
  <c r="Z33" i="88"/>
  <c r="X33" i="88"/>
  <c r="N33" i="88"/>
  <c r="L33" i="88"/>
  <c r="J33" i="88"/>
  <c r="B33" i="88"/>
  <c r="Z32" i="88"/>
  <c r="X32" i="88"/>
  <c r="V32" i="88"/>
  <c r="N32" i="88"/>
  <c r="L32" i="88"/>
  <c r="B32" i="88"/>
  <c r="X31" i="88"/>
  <c r="Z31" i="88" s="1"/>
  <c r="N31" i="88"/>
  <c r="L31" i="88"/>
  <c r="J31" i="88"/>
  <c r="B31" i="88"/>
  <c r="Z30" i="88"/>
  <c r="X30" i="88"/>
  <c r="L30" i="88"/>
  <c r="N30" i="88" s="1"/>
  <c r="B30" i="88"/>
  <c r="Z29" i="88"/>
  <c r="X29" i="88"/>
  <c r="V29" i="88"/>
  <c r="N29" i="88"/>
  <c r="L29" i="88"/>
  <c r="B29" i="88"/>
  <c r="X28" i="88"/>
  <c r="Z28" i="88" s="1"/>
  <c r="L28" i="88"/>
  <c r="N28" i="88" s="1"/>
  <c r="J28" i="88"/>
  <c r="B28" i="88"/>
  <c r="Z27" i="88"/>
  <c r="X27" i="88"/>
  <c r="V27" i="88"/>
  <c r="L27" i="88"/>
  <c r="N27" i="88" s="1"/>
  <c r="B27" i="88"/>
  <c r="X26" i="88"/>
  <c r="T26" i="88"/>
  <c r="P26" i="88"/>
  <c r="L26" i="88"/>
  <c r="H26" i="88"/>
  <c r="D26" i="88"/>
  <c r="B26" i="88"/>
  <c r="T25" i="88"/>
  <c r="V25" i="88" s="1"/>
  <c r="P25" i="88"/>
  <c r="H25" i="88"/>
  <c r="D25" i="88"/>
  <c r="L25" i="88" s="1"/>
  <c r="N25" i="88" s="1"/>
  <c r="T23" i="88"/>
  <c r="Z21" i="88"/>
  <c r="X21" i="88"/>
  <c r="V21" i="88"/>
  <c r="N21" i="88"/>
  <c r="L21" i="88"/>
  <c r="B21" i="88"/>
  <c r="Z20" i="88"/>
  <c r="X20" i="88"/>
  <c r="N20" i="88"/>
  <c r="L20" i="88"/>
  <c r="J20" i="88"/>
  <c r="B20" i="88"/>
  <c r="Z19" i="88"/>
  <c r="X19" i="88"/>
  <c r="V19" i="88"/>
  <c r="L19" i="88"/>
  <c r="N19" i="88" s="1"/>
  <c r="J19" i="88"/>
  <c r="B19" i="88"/>
  <c r="X18" i="88"/>
  <c r="Z18" i="88" s="1"/>
  <c r="T18" i="88"/>
  <c r="P18" i="88"/>
  <c r="H18" i="88"/>
  <c r="D18" i="88"/>
  <c r="Z16" i="88"/>
  <c r="X16" i="88"/>
  <c r="P16" i="88"/>
  <c r="N16" i="88"/>
  <c r="D16" i="88"/>
  <c r="L16" i="88" s="1"/>
  <c r="B16" i="88"/>
  <c r="Z15" i="88"/>
  <c r="X15" i="88"/>
  <c r="P15" i="88"/>
  <c r="N15" i="88"/>
  <c r="L15" i="88"/>
  <c r="D15" i="88"/>
  <c r="B15" i="88"/>
  <c r="P14" i="88"/>
  <c r="D14" i="88"/>
  <c r="L14" i="88" s="1"/>
  <c r="N14" i="88" s="1"/>
  <c r="B14" i="88"/>
  <c r="Z13" i="88"/>
  <c r="X13" i="88"/>
  <c r="P13" i="88"/>
  <c r="N13" i="88"/>
  <c r="L13" i="88"/>
  <c r="D13" i="88"/>
  <c r="B13" i="88"/>
  <c r="T12" i="88"/>
  <c r="V84" i="88" s="1"/>
  <c r="H12" i="88"/>
  <c r="J76" i="88" s="1"/>
  <c r="D6" i="88"/>
  <c r="D4" i="88"/>
  <c r="F66" i="87"/>
  <c r="Z61" i="87"/>
  <c r="X61" i="87"/>
  <c r="V61" i="87"/>
  <c r="N61" i="87"/>
  <c r="L61" i="87"/>
  <c r="F59" i="87"/>
  <c r="X57" i="87"/>
  <c r="T57" i="87"/>
  <c r="Z57" i="87" s="1"/>
  <c r="P57" i="87"/>
  <c r="H57" i="87"/>
  <c r="N57" i="87" s="1"/>
  <c r="D57" i="87"/>
  <c r="L57" i="87" s="1"/>
  <c r="Z55" i="87"/>
  <c r="X55" i="87"/>
  <c r="N55" i="87"/>
  <c r="L55" i="87"/>
  <c r="F55" i="87"/>
  <c r="B55" i="87"/>
  <c r="Z54" i="87"/>
  <c r="X54" i="87"/>
  <c r="T54" i="87"/>
  <c r="P54" i="87"/>
  <c r="N54" i="87"/>
  <c r="L54" i="87"/>
  <c r="H54" i="87"/>
  <c r="D54" i="87"/>
  <c r="B54" i="87"/>
  <c r="X53" i="87"/>
  <c r="Z53" i="87" s="1"/>
  <c r="L53" i="87"/>
  <c r="N53" i="87" s="1"/>
  <c r="F53" i="87"/>
  <c r="B53" i="87"/>
  <c r="X52" i="87"/>
  <c r="Z52" i="87" s="1"/>
  <c r="T52" i="87"/>
  <c r="P52" i="87"/>
  <c r="J52" i="87"/>
  <c r="H52" i="87"/>
  <c r="D52" i="87"/>
  <c r="B52" i="87"/>
  <c r="X51" i="87"/>
  <c r="Z51" i="87" s="1"/>
  <c r="N51" i="87"/>
  <c r="L51" i="87"/>
  <c r="B51" i="87"/>
  <c r="Z50" i="87"/>
  <c r="X50" i="87"/>
  <c r="L50" i="87"/>
  <c r="N50" i="87" s="1"/>
  <c r="B50" i="87"/>
  <c r="X49" i="87"/>
  <c r="Z49" i="87" s="1"/>
  <c r="T49" i="87"/>
  <c r="P49" i="87"/>
  <c r="H49" i="87"/>
  <c r="F49" i="87"/>
  <c r="D49" i="87"/>
  <c r="B49" i="87"/>
  <c r="Z48" i="87"/>
  <c r="X48" i="87"/>
  <c r="N48" i="87"/>
  <c r="L48" i="87"/>
  <c r="B48" i="87"/>
  <c r="X47" i="87"/>
  <c r="Z47" i="87" s="1"/>
  <c r="N47" i="87"/>
  <c r="L47" i="87"/>
  <c r="B47" i="87"/>
  <c r="V46" i="87"/>
  <c r="T46" i="87"/>
  <c r="P46" i="87"/>
  <c r="H46" i="87"/>
  <c r="F46" i="87"/>
  <c r="D46" i="87"/>
  <c r="L46" i="87" s="1"/>
  <c r="N46" i="87" s="1"/>
  <c r="B46" i="87"/>
  <c r="X45" i="87"/>
  <c r="Z45" i="87" s="1"/>
  <c r="L45" i="87"/>
  <c r="N45" i="87" s="1"/>
  <c r="J45" i="87"/>
  <c r="B45" i="87"/>
  <c r="T44" i="87"/>
  <c r="P44" i="87"/>
  <c r="X44" i="87" s="1"/>
  <c r="Z44" i="87" s="1"/>
  <c r="H44" i="87"/>
  <c r="F44" i="87"/>
  <c r="D44" i="87"/>
  <c r="B44" i="87"/>
  <c r="Z43" i="87"/>
  <c r="X43" i="87"/>
  <c r="L43" i="87"/>
  <c r="N43" i="87" s="1"/>
  <c r="F43" i="87"/>
  <c r="B43" i="87"/>
  <c r="T42" i="87"/>
  <c r="P42" i="87"/>
  <c r="N42" i="87"/>
  <c r="L42" i="87"/>
  <c r="H42" i="87"/>
  <c r="D42" i="87"/>
  <c r="B42" i="87"/>
  <c r="Z41" i="87"/>
  <c r="X41" i="87"/>
  <c r="V41" i="87"/>
  <c r="N41" i="87"/>
  <c r="L41" i="87"/>
  <c r="F41" i="87"/>
  <c r="B41" i="87"/>
  <c r="Z40" i="87"/>
  <c r="X40" i="87"/>
  <c r="T40" i="87"/>
  <c r="P40" i="87"/>
  <c r="J40" i="87"/>
  <c r="H40" i="87"/>
  <c r="N40" i="87" s="1"/>
  <c r="D40" i="87"/>
  <c r="B40" i="87"/>
  <c r="Z39" i="87"/>
  <c r="X39" i="87"/>
  <c r="N39" i="87"/>
  <c r="L39" i="87"/>
  <c r="F39" i="87"/>
  <c r="B39" i="87"/>
  <c r="Z38" i="87"/>
  <c r="X38" i="87"/>
  <c r="V38" i="87"/>
  <c r="N38" i="87"/>
  <c r="L38" i="87"/>
  <c r="B38" i="87"/>
  <c r="Z37" i="87"/>
  <c r="X37" i="87"/>
  <c r="V37" i="87"/>
  <c r="N37" i="87"/>
  <c r="L37" i="87"/>
  <c r="F37" i="87"/>
  <c r="B37" i="87"/>
  <c r="Z36" i="87"/>
  <c r="X36" i="87"/>
  <c r="N36" i="87"/>
  <c r="L36" i="87"/>
  <c r="B36" i="87"/>
  <c r="Z35" i="87"/>
  <c r="X35" i="87"/>
  <c r="N35" i="87"/>
  <c r="L35" i="87"/>
  <c r="F35" i="87"/>
  <c r="B35" i="87"/>
  <c r="Z34" i="87"/>
  <c r="X34" i="87"/>
  <c r="N34" i="87"/>
  <c r="L34" i="87"/>
  <c r="J34" i="87"/>
  <c r="F34" i="87"/>
  <c r="B34" i="87"/>
  <c r="Z33" i="87"/>
  <c r="X33" i="87"/>
  <c r="N33" i="87"/>
  <c r="L33" i="87"/>
  <c r="J33" i="87"/>
  <c r="B33" i="87"/>
  <c r="Z32" i="87"/>
  <c r="X32" i="87"/>
  <c r="N32" i="87"/>
  <c r="L32" i="87"/>
  <c r="B32" i="87"/>
  <c r="X31" i="87"/>
  <c r="Z31" i="87" s="1"/>
  <c r="R31" i="87"/>
  <c r="N31" i="87"/>
  <c r="L31" i="87"/>
  <c r="F31" i="87"/>
  <c r="B31" i="87"/>
  <c r="Z30" i="87"/>
  <c r="X30" i="87"/>
  <c r="R30" i="87"/>
  <c r="N30" i="87"/>
  <c r="L30" i="87"/>
  <c r="B30" i="87"/>
  <c r="X29" i="87"/>
  <c r="Z29" i="87" s="1"/>
  <c r="V29" i="87"/>
  <c r="T29" i="87"/>
  <c r="P29" i="87"/>
  <c r="H29" i="87"/>
  <c r="F29" i="87"/>
  <c r="D29" i="87"/>
  <c r="B29" i="87"/>
  <c r="Z28" i="87"/>
  <c r="X28" i="87"/>
  <c r="N28" i="87"/>
  <c r="L28" i="87"/>
  <c r="B28" i="87"/>
  <c r="X27" i="87"/>
  <c r="Z27" i="87" s="1"/>
  <c r="N27" i="87"/>
  <c r="L27" i="87"/>
  <c r="F27" i="87"/>
  <c r="B27" i="87"/>
  <c r="Z26" i="87"/>
  <c r="X26" i="87"/>
  <c r="L26" i="87"/>
  <c r="N26" i="87" s="1"/>
  <c r="B26" i="87"/>
  <c r="Z25" i="87"/>
  <c r="X25" i="87"/>
  <c r="N25" i="87"/>
  <c r="L25" i="87"/>
  <c r="F25" i="87"/>
  <c r="B25" i="87"/>
  <c r="X24" i="87"/>
  <c r="Z24" i="87" s="1"/>
  <c r="N24" i="87"/>
  <c r="L24" i="87"/>
  <c r="J24" i="87"/>
  <c r="B24" i="87"/>
  <c r="Z23" i="87"/>
  <c r="X23" i="87"/>
  <c r="L23" i="87"/>
  <c r="N23" i="87" s="1"/>
  <c r="F23" i="87"/>
  <c r="B23" i="87"/>
  <c r="X22" i="87"/>
  <c r="Z22" i="87" s="1"/>
  <c r="N22" i="87"/>
  <c r="L22" i="87"/>
  <c r="J22" i="87"/>
  <c r="F22" i="87"/>
  <c r="B22" i="87"/>
  <c r="X21" i="87"/>
  <c r="Z21" i="87" s="1"/>
  <c r="L21" i="87"/>
  <c r="N21" i="87" s="1"/>
  <c r="J21" i="87"/>
  <c r="B21" i="87"/>
  <c r="Z20" i="87"/>
  <c r="X20" i="87"/>
  <c r="L20" i="87"/>
  <c r="N20" i="87" s="1"/>
  <c r="B20" i="87"/>
  <c r="T19" i="87"/>
  <c r="P19" i="87"/>
  <c r="H19" i="87"/>
  <c r="N19" i="87" s="1"/>
  <c r="D19" i="87"/>
  <c r="L19" i="87" s="1"/>
  <c r="B19" i="87"/>
  <c r="T18" i="87"/>
  <c r="P18" i="87"/>
  <c r="X18" i="87" s="1"/>
  <c r="H18" i="87"/>
  <c r="F18" i="87"/>
  <c r="D18" i="87"/>
  <c r="L18" i="87" s="1"/>
  <c r="N18" i="87" s="1"/>
  <c r="J16" i="87"/>
  <c r="F16" i="87"/>
  <c r="D16" i="87"/>
  <c r="T14" i="87"/>
  <c r="Z14" i="87" s="1"/>
  <c r="P14" i="87"/>
  <c r="N14" i="87"/>
  <c r="L14" i="87"/>
  <c r="H14" i="87"/>
  <c r="F14" i="87"/>
  <c r="D14" i="87"/>
  <c r="T12" i="87"/>
  <c r="V26" i="87" s="1"/>
  <c r="P12" i="87"/>
  <c r="H12" i="87"/>
  <c r="J53" i="87" s="1"/>
  <c r="D12" i="87"/>
  <c r="F63" i="87" s="1"/>
  <c r="D6" i="87"/>
  <c r="D4" i="87"/>
  <c r="V40" i="86"/>
  <c r="Z38" i="86"/>
  <c r="X38" i="86"/>
  <c r="N38" i="86"/>
  <c r="L38" i="86"/>
  <c r="Z34" i="86"/>
  <c r="V34" i="86"/>
  <c r="T34" i="86"/>
  <c r="P34" i="86"/>
  <c r="H34" i="86"/>
  <c r="N34" i="86" s="1"/>
  <c r="D34" i="86"/>
  <c r="Z32" i="86"/>
  <c r="X32" i="86"/>
  <c r="N32" i="86"/>
  <c r="L32" i="86"/>
  <c r="B32" i="86"/>
  <c r="Z31" i="86"/>
  <c r="T31" i="86"/>
  <c r="P31" i="86"/>
  <c r="X31" i="86" s="1"/>
  <c r="N31" i="86"/>
  <c r="L31" i="86"/>
  <c r="J31" i="86"/>
  <c r="H31" i="86"/>
  <c r="D31" i="86"/>
  <c r="B31" i="86"/>
  <c r="Z30" i="86"/>
  <c r="X30" i="86"/>
  <c r="V30" i="86"/>
  <c r="R30" i="86"/>
  <c r="N30" i="86"/>
  <c r="L30" i="86"/>
  <c r="B30" i="86"/>
  <c r="Z29" i="86"/>
  <c r="X29" i="86"/>
  <c r="V29" i="86"/>
  <c r="T29" i="86"/>
  <c r="P29" i="86"/>
  <c r="H29" i="86"/>
  <c r="D29" i="86"/>
  <c r="B29" i="86"/>
  <c r="Z28" i="86"/>
  <c r="X28" i="86"/>
  <c r="V28" i="86"/>
  <c r="N28" i="86"/>
  <c r="L28" i="86"/>
  <c r="B28" i="86"/>
  <c r="T27" i="86"/>
  <c r="R27" i="86"/>
  <c r="P27" i="86"/>
  <c r="H27" i="86"/>
  <c r="N27" i="86" s="1"/>
  <c r="D27" i="86"/>
  <c r="L27" i="86" s="1"/>
  <c r="B27" i="86"/>
  <c r="Z26" i="86"/>
  <c r="X26" i="86"/>
  <c r="V26" i="86"/>
  <c r="N26" i="86"/>
  <c r="L26" i="86"/>
  <c r="B26" i="86"/>
  <c r="V25" i="86"/>
  <c r="T25" i="86"/>
  <c r="Z25" i="86" s="1"/>
  <c r="P25" i="86"/>
  <c r="X25" i="86" s="1"/>
  <c r="N25" i="86"/>
  <c r="H25" i="86"/>
  <c r="D25" i="86"/>
  <c r="L25" i="86" s="1"/>
  <c r="B25" i="86"/>
  <c r="X24" i="86"/>
  <c r="Z24" i="86" s="1"/>
  <c r="N24" i="86"/>
  <c r="L24" i="86"/>
  <c r="B24" i="86"/>
  <c r="T23" i="86"/>
  <c r="P23" i="86"/>
  <c r="L23" i="86"/>
  <c r="N23" i="86" s="1"/>
  <c r="H23" i="86"/>
  <c r="D23" i="86"/>
  <c r="B23" i="86"/>
  <c r="Z22" i="86"/>
  <c r="X22" i="86"/>
  <c r="V22" i="86"/>
  <c r="R22" i="86"/>
  <c r="N22" i="86"/>
  <c r="L22" i="86"/>
  <c r="B22" i="86"/>
  <c r="Z21" i="86"/>
  <c r="X21" i="86"/>
  <c r="V21" i="86"/>
  <c r="T21" i="86"/>
  <c r="P21" i="86"/>
  <c r="H21" i="86"/>
  <c r="D21" i="86"/>
  <c r="B21" i="86"/>
  <c r="V20" i="86"/>
  <c r="T20" i="86"/>
  <c r="P20" i="86"/>
  <c r="J20" i="86"/>
  <c r="H20" i="86"/>
  <c r="D20" i="86"/>
  <c r="L20" i="86" s="1"/>
  <c r="R18" i="86"/>
  <c r="P18" i="86"/>
  <c r="Z16" i="86"/>
  <c r="X16" i="86"/>
  <c r="V16" i="86"/>
  <c r="R16" i="86"/>
  <c r="N16" i="86"/>
  <c r="L16" i="86"/>
  <c r="B16" i="86"/>
  <c r="V15" i="86"/>
  <c r="T15" i="86"/>
  <c r="X15" i="86" s="1"/>
  <c r="R15" i="86"/>
  <c r="P15" i="86"/>
  <c r="H15" i="86"/>
  <c r="D15" i="86"/>
  <c r="Z13" i="86"/>
  <c r="P13" i="86"/>
  <c r="X13" i="86" s="1"/>
  <c r="N13" i="86"/>
  <c r="D13" i="86"/>
  <c r="B13" i="86"/>
  <c r="Z12" i="86"/>
  <c r="X12" i="86"/>
  <c r="T12" i="86"/>
  <c r="V27" i="86" s="1"/>
  <c r="P12" i="86"/>
  <c r="R31" i="86" s="1"/>
  <c r="H12" i="86"/>
  <c r="J43" i="86" s="1"/>
  <c r="D6" i="86"/>
  <c r="D4" i="86"/>
  <c r="R33" i="85"/>
  <c r="V30" i="85"/>
  <c r="J30" i="85"/>
  <c r="Z28" i="85"/>
  <c r="X28" i="85"/>
  <c r="V28" i="85"/>
  <c r="N28" i="85"/>
  <c r="L28" i="85"/>
  <c r="J28" i="85"/>
  <c r="R26" i="85"/>
  <c r="Z24" i="85"/>
  <c r="V24" i="85"/>
  <c r="T24" i="85"/>
  <c r="X24" i="85" s="1"/>
  <c r="P24" i="85"/>
  <c r="N24" i="85"/>
  <c r="H24" i="85"/>
  <c r="D24" i="85"/>
  <c r="L24" i="85" s="1"/>
  <c r="Z22" i="85"/>
  <c r="X22" i="85"/>
  <c r="N22" i="85"/>
  <c r="L22" i="85"/>
  <c r="J22" i="85"/>
  <c r="B22" i="85"/>
  <c r="X21" i="85"/>
  <c r="T21" i="85"/>
  <c r="Z21" i="85" s="1"/>
  <c r="P21" i="85"/>
  <c r="H21" i="85"/>
  <c r="N21" i="85" s="1"/>
  <c r="D21" i="85"/>
  <c r="L21" i="85" s="1"/>
  <c r="B21" i="85"/>
  <c r="X20" i="85"/>
  <c r="Z20" i="85" s="1"/>
  <c r="N20" i="85"/>
  <c r="L20" i="85"/>
  <c r="B20" i="85"/>
  <c r="T19" i="85"/>
  <c r="P19" i="85"/>
  <c r="L19" i="85"/>
  <c r="N19" i="85" s="1"/>
  <c r="H19" i="85"/>
  <c r="D19" i="85"/>
  <c r="B19" i="85"/>
  <c r="V18" i="85"/>
  <c r="T18" i="85"/>
  <c r="P18" i="85"/>
  <c r="H18" i="85"/>
  <c r="D18" i="85"/>
  <c r="L18" i="85" s="1"/>
  <c r="N18" i="85" s="1"/>
  <c r="V16" i="85"/>
  <c r="R16" i="85"/>
  <c r="T14" i="85"/>
  <c r="X14" i="85" s="1"/>
  <c r="P14" i="85"/>
  <c r="N14" i="85"/>
  <c r="J14" i="85"/>
  <c r="H14" i="85"/>
  <c r="D14" i="85"/>
  <c r="L14" i="85" s="1"/>
  <c r="T12" i="85"/>
  <c r="V33" i="85" s="1"/>
  <c r="P12" i="85"/>
  <c r="R28" i="85" s="1"/>
  <c r="N12" i="85"/>
  <c r="H12" i="85"/>
  <c r="J19" i="85" s="1"/>
  <c r="D12" i="85"/>
  <c r="D6" i="85"/>
  <c r="D4" i="85"/>
  <c r="V58" i="84"/>
  <c r="J58" i="84"/>
  <c r="R55" i="84"/>
  <c r="J55" i="84"/>
  <c r="Z53" i="84"/>
  <c r="X53" i="84"/>
  <c r="N53" i="84"/>
  <c r="L53" i="84"/>
  <c r="F51" i="84"/>
  <c r="P49" i="84"/>
  <c r="X49" i="84" s="1"/>
  <c r="Z49" i="84" s="1"/>
  <c r="N49" i="84"/>
  <c r="L49" i="84"/>
  <c r="J49" i="84"/>
  <c r="D49" i="84"/>
  <c r="B49" i="84"/>
  <c r="V48" i="84"/>
  <c r="T48" i="84"/>
  <c r="R48" i="84"/>
  <c r="H48" i="84"/>
  <c r="N48" i="84" s="1"/>
  <c r="D48" i="84"/>
  <c r="L48" i="84" s="1"/>
  <c r="Z46" i="84"/>
  <c r="X46" i="84"/>
  <c r="N46" i="84"/>
  <c r="L46" i="84"/>
  <c r="B46" i="84"/>
  <c r="Z45" i="84"/>
  <c r="T45" i="84"/>
  <c r="P45" i="84"/>
  <c r="X45" i="84" s="1"/>
  <c r="N45" i="84"/>
  <c r="L45" i="84"/>
  <c r="J45" i="84"/>
  <c r="H45" i="84"/>
  <c r="D45" i="84"/>
  <c r="B45" i="84"/>
  <c r="Z44" i="84"/>
  <c r="X44" i="84"/>
  <c r="R44" i="84"/>
  <c r="N44" i="84"/>
  <c r="L44" i="84"/>
  <c r="B44" i="84"/>
  <c r="Z43" i="84"/>
  <c r="X43" i="84"/>
  <c r="V43" i="84"/>
  <c r="T43" i="84"/>
  <c r="P43" i="84"/>
  <c r="L43" i="84"/>
  <c r="H43" i="84"/>
  <c r="N43" i="84" s="1"/>
  <c r="F43" i="84"/>
  <c r="D43" i="84"/>
  <c r="B43" i="84"/>
  <c r="Z42" i="84"/>
  <c r="X42" i="84"/>
  <c r="V42" i="84"/>
  <c r="R42" i="84"/>
  <c r="N42" i="84"/>
  <c r="L42" i="84"/>
  <c r="B42" i="84"/>
  <c r="X41" i="84"/>
  <c r="V41" i="84"/>
  <c r="T41" i="84"/>
  <c r="Z41" i="84" s="1"/>
  <c r="R41" i="84"/>
  <c r="P41" i="84"/>
  <c r="H41" i="84"/>
  <c r="N41" i="84" s="1"/>
  <c r="D41" i="84"/>
  <c r="L41" i="84" s="1"/>
  <c r="B41" i="84"/>
  <c r="Z40" i="84"/>
  <c r="X40" i="84"/>
  <c r="N40" i="84"/>
  <c r="L40" i="84"/>
  <c r="F40" i="84"/>
  <c r="B40" i="84"/>
  <c r="T39" i="84"/>
  <c r="Z39" i="84" s="1"/>
  <c r="R39" i="84"/>
  <c r="P39" i="84"/>
  <c r="X39" i="84" s="1"/>
  <c r="N39" i="84"/>
  <c r="H39" i="84"/>
  <c r="D39" i="84"/>
  <c r="L39" i="84" s="1"/>
  <c r="B39" i="84"/>
  <c r="Z38" i="84"/>
  <c r="X38" i="84"/>
  <c r="N38" i="84"/>
  <c r="L38" i="84"/>
  <c r="B38" i="84"/>
  <c r="Z37" i="84"/>
  <c r="X37" i="84"/>
  <c r="N37" i="84"/>
  <c r="L37" i="84"/>
  <c r="B37" i="84"/>
  <c r="Z36" i="84"/>
  <c r="X36" i="84"/>
  <c r="N36" i="84"/>
  <c r="L36" i="84"/>
  <c r="F36" i="84"/>
  <c r="B36" i="84"/>
  <c r="Z35" i="84"/>
  <c r="X35" i="84"/>
  <c r="R35" i="84"/>
  <c r="N35" i="84"/>
  <c r="L35" i="84"/>
  <c r="J35" i="84"/>
  <c r="B35" i="84"/>
  <c r="Z34" i="84"/>
  <c r="X34" i="84"/>
  <c r="V34" i="84"/>
  <c r="R34" i="84"/>
  <c r="N34" i="84"/>
  <c r="L34" i="84"/>
  <c r="B34" i="84"/>
  <c r="Z33" i="84"/>
  <c r="X33" i="84"/>
  <c r="V33" i="84"/>
  <c r="N33" i="84"/>
  <c r="L33" i="84"/>
  <c r="B33" i="84"/>
  <c r="Z32" i="84"/>
  <c r="X32" i="84"/>
  <c r="R32" i="84"/>
  <c r="N32" i="84"/>
  <c r="L32" i="84"/>
  <c r="B32" i="84"/>
  <c r="Z31" i="84"/>
  <c r="X31" i="84"/>
  <c r="V31" i="84"/>
  <c r="N31" i="84"/>
  <c r="L31" i="84"/>
  <c r="B31" i="84"/>
  <c r="Z30" i="84"/>
  <c r="X30" i="84"/>
  <c r="N30" i="84"/>
  <c r="L30" i="84"/>
  <c r="B30" i="84"/>
  <c r="Z29" i="84"/>
  <c r="X29" i="84"/>
  <c r="N29" i="84"/>
  <c r="L29" i="84"/>
  <c r="B29" i="84"/>
  <c r="T28" i="84"/>
  <c r="Z28" i="84" s="1"/>
  <c r="R28" i="84"/>
  <c r="P28" i="84"/>
  <c r="X28" i="84" s="1"/>
  <c r="N28" i="84"/>
  <c r="L28" i="84"/>
  <c r="H28" i="84"/>
  <c r="D28" i="84"/>
  <c r="B28" i="84"/>
  <c r="Z27" i="84"/>
  <c r="X27" i="84"/>
  <c r="V27" i="84"/>
  <c r="N27" i="84"/>
  <c r="L27" i="84"/>
  <c r="B27" i="84"/>
  <c r="Z26" i="84"/>
  <c r="X26" i="84"/>
  <c r="N26" i="84"/>
  <c r="L26" i="84"/>
  <c r="B26" i="84"/>
  <c r="Z25" i="84"/>
  <c r="X25" i="84"/>
  <c r="N25" i="84"/>
  <c r="L25" i="84"/>
  <c r="B25" i="84"/>
  <c r="Z24" i="84"/>
  <c r="X24" i="84"/>
  <c r="N24" i="84"/>
  <c r="L24" i="84"/>
  <c r="F24" i="84"/>
  <c r="B24" i="84"/>
  <c r="Z23" i="84"/>
  <c r="X23" i="84"/>
  <c r="R23" i="84"/>
  <c r="N23" i="84"/>
  <c r="L23" i="84"/>
  <c r="J23" i="84"/>
  <c r="B23" i="84"/>
  <c r="Z22" i="84"/>
  <c r="X22" i="84"/>
  <c r="V22" i="84"/>
  <c r="R22" i="84"/>
  <c r="N22" i="84"/>
  <c r="L22" i="84"/>
  <c r="B22" i="84"/>
  <c r="Z21" i="84"/>
  <c r="X21" i="84"/>
  <c r="V21" i="84"/>
  <c r="R21" i="84"/>
  <c r="N21" i="84"/>
  <c r="L21" i="84"/>
  <c r="B21" i="84"/>
  <c r="Z20" i="84"/>
  <c r="X20" i="84"/>
  <c r="V20" i="84"/>
  <c r="R20" i="84"/>
  <c r="N20" i="84"/>
  <c r="L20" i="84"/>
  <c r="B20" i="84"/>
  <c r="Z19" i="84"/>
  <c r="X19" i="84"/>
  <c r="V19" i="84"/>
  <c r="T19" i="84"/>
  <c r="P19" i="84"/>
  <c r="L19" i="84"/>
  <c r="H19" i="84"/>
  <c r="N19" i="84" s="1"/>
  <c r="F19" i="84"/>
  <c r="D19" i="84"/>
  <c r="B19" i="84"/>
  <c r="V18" i="84"/>
  <c r="T18" i="84"/>
  <c r="Z18" i="84" s="1"/>
  <c r="R18" i="84"/>
  <c r="P18" i="84"/>
  <c r="X18" i="84" s="1"/>
  <c r="H18" i="84"/>
  <c r="N18" i="84" s="1"/>
  <c r="D18" i="84"/>
  <c r="L18" i="84" s="1"/>
  <c r="H16" i="84"/>
  <c r="V14" i="84"/>
  <c r="T14" i="84"/>
  <c r="Z14" i="84" s="1"/>
  <c r="R14" i="84"/>
  <c r="P14" i="84"/>
  <c r="H14" i="84"/>
  <c r="N14" i="84" s="1"/>
  <c r="D14" i="84"/>
  <c r="L14" i="84" s="1"/>
  <c r="Z12" i="84"/>
  <c r="X12" i="84"/>
  <c r="T12" i="84"/>
  <c r="V45" i="84" s="1"/>
  <c r="P12" i="84"/>
  <c r="R53" i="84" s="1"/>
  <c r="H12" i="84"/>
  <c r="J53" i="84" s="1"/>
  <c r="D12" i="84"/>
  <c r="F37" i="84" s="1"/>
  <c r="D6" i="84"/>
  <c r="D4" i="84"/>
  <c r="X89" i="83"/>
  <c r="Z89" i="83" s="1"/>
  <c r="L89" i="83"/>
  <c r="N89" i="83" s="1"/>
  <c r="Z85" i="83"/>
  <c r="X85" i="83"/>
  <c r="P85" i="83"/>
  <c r="N85" i="83"/>
  <c r="D85" i="83"/>
  <c r="L85" i="83" s="1"/>
  <c r="B85" i="83"/>
  <c r="Z84" i="83"/>
  <c r="T84" i="83"/>
  <c r="P84" i="83"/>
  <c r="X84" i="83" s="1"/>
  <c r="N84" i="83"/>
  <c r="H84" i="83"/>
  <c r="X82" i="83"/>
  <c r="Z82" i="83" s="1"/>
  <c r="N82" i="83"/>
  <c r="L82" i="83"/>
  <c r="B82" i="83"/>
  <c r="T81" i="83"/>
  <c r="P81" i="83"/>
  <c r="H81" i="83"/>
  <c r="D81" i="83"/>
  <c r="L81" i="83" s="1"/>
  <c r="B81" i="83"/>
  <c r="Z80" i="83"/>
  <c r="X80" i="83"/>
  <c r="N80" i="83"/>
  <c r="L80" i="83"/>
  <c r="B80" i="83"/>
  <c r="T79" i="83"/>
  <c r="Z79" i="83" s="1"/>
  <c r="P79" i="83"/>
  <c r="X79" i="83" s="1"/>
  <c r="H79" i="83"/>
  <c r="N79" i="83" s="1"/>
  <c r="D79" i="83"/>
  <c r="L79" i="83" s="1"/>
  <c r="B79" i="83"/>
  <c r="Z78" i="83"/>
  <c r="X78" i="83"/>
  <c r="N78" i="83"/>
  <c r="L78" i="83"/>
  <c r="B78" i="83"/>
  <c r="X77" i="83"/>
  <c r="Z77" i="83" s="1"/>
  <c r="L77" i="83"/>
  <c r="N77" i="83" s="1"/>
  <c r="B77" i="83"/>
  <c r="T76" i="83"/>
  <c r="P76" i="83"/>
  <c r="X76" i="83" s="1"/>
  <c r="H76" i="83"/>
  <c r="D76" i="83"/>
  <c r="L76" i="83" s="1"/>
  <c r="N76" i="83" s="1"/>
  <c r="B76" i="83"/>
  <c r="X75" i="83"/>
  <c r="Z75" i="83" s="1"/>
  <c r="N75" i="83"/>
  <c r="L75" i="83"/>
  <c r="B75" i="83"/>
  <c r="Z74" i="83"/>
  <c r="X74" i="83"/>
  <c r="L74" i="83"/>
  <c r="N74" i="83" s="1"/>
  <c r="B74" i="83"/>
  <c r="Z73" i="83"/>
  <c r="X73" i="83"/>
  <c r="N73" i="83"/>
  <c r="L73" i="83"/>
  <c r="B73" i="83"/>
  <c r="Z72" i="83"/>
  <c r="X72" i="83"/>
  <c r="N72" i="83"/>
  <c r="L72" i="83"/>
  <c r="B72" i="83"/>
  <c r="Z71" i="83"/>
  <c r="X71" i="83"/>
  <c r="N71" i="83"/>
  <c r="L71" i="83"/>
  <c r="B71" i="83"/>
  <c r="X70" i="83"/>
  <c r="Z70" i="83" s="1"/>
  <c r="N70" i="83"/>
  <c r="L70" i="83"/>
  <c r="B70" i="83"/>
  <c r="X69" i="83"/>
  <c r="Z69" i="83" s="1"/>
  <c r="N69" i="83"/>
  <c r="L69" i="83"/>
  <c r="B69" i="83"/>
  <c r="Z68" i="83"/>
  <c r="X68" i="83"/>
  <c r="N68" i="83"/>
  <c r="L68" i="83"/>
  <c r="B68" i="83"/>
  <c r="X67" i="83"/>
  <c r="Z67" i="83" s="1"/>
  <c r="T67" i="83"/>
  <c r="P67" i="83"/>
  <c r="H67" i="83"/>
  <c r="D67" i="83"/>
  <c r="B67" i="83"/>
  <c r="X66" i="83"/>
  <c r="Z66" i="83" s="1"/>
  <c r="N66" i="83"/>
  <c r="L66" i="83"/>
  <c r="B66" i="83"/>
  <c r="T65" i="83"/>
  <c r="P65" i="83"/>
  <c r="H65" i="83"/>
  <c r="N65" i="83" s="1"/>
  <c r="D65" i="83"/>
  <c r="L65" i="83" s="1"/>
  <c r="B65" i="83"/>
  <c r="Z64" i="83"/>
  <c r="X64" i="83"/>
  <c r="N64" i="83"/>
  <c r="L64" i="83"/>
  <c r="B64" i="83"/>
  <c r="X63" i="83"/>
  <c r="Z63" i="83" s="1"/>
  <c r="L63" i="83"/>
  <c r="N63" i="83" s="1"/>
  <c r="B63" i="83"/>
  <c r="Z62" i="83"/>
  <c r="X62" i="83"/>
  <c r="N62" i="83"/>
  <c r="L62" i="83"/>
  <c r="B62" i="83"/>
  <c r="X61" i="83"/>
  <c r="Z61" i="83" s="1"/>
  <c r="N61" i="83"/>
  <c r="L61" i="83"/>
  <c r="B61" i="83"/>
  <c r="Z60" i="83"/>
  <c r="X60" i="83"/>
  <c r="T60" i="83"/>
  <c r="P60" i="83"/>
  <c r="L60" i="83"/>
  <c r="H60" i="83"/>
  <c r="N60" i="83" s="1"/>
  <c r="F60" i="83"/>
  <c r="D60" i="83"/>
  <c r="B60" i="83"/>
  <c r="X59" i="83"/>
  <c r="Z59" i="83" s="1"/>
  <c r="L59" i="83"/>
  <c r="N59" i="83" s="1"/>
  <c r="B59" i="83"/>
  <c r="X58" i="83"/>
  <c r="Z58" i="83" s="1"/>
  <c r="N58" i="83"/>
  <c r="L58" i="83"/>
  <c r="B58" i="83"/>
  <c r="T57" i="83"/>
  <c r="P57" i="83"/>
  <c r="H57" i="83"/>
  <c r="D57" i="83"/>
  <c r="L57" i="83" s="1"/>
  <c r="B57" i="83"/>
  <c r="X56" i="83"/>
  <c r="Z56" i="83" s="1"/>
  <c r="N56" i="83"/>
  <c r="L56" i="83"/>
  <c r="B56" i="83"/>
  <c r="T55" i="83"/>
  <c r="P55" i="83"/>
  <c r="X55" i="83" s="1"/>
  <c r="H55" i="83"/>
  <c r="N55" i="83" s="1"/>
  <c r="D55" i="83"/>
  <c r="L55" i="83" s="1"/>
  <c r="B55" i="83"/>
  <c r="Z54" i="83"/>
  <c r="X54" i="83"/>
  <c r="L54" i="83"/>
  <c r="N54" i="83" s="1"/>
  <c r="B54" i="83"/>
  <c r="T53" i="83"/>
  <c r="Z53" i="83" s="1"/>
  <c r="P53" i="83"/>
  <c r="X53" i="83" s="1"/>
  <c r="L53" i="83"/>
  <c r="N53" i="83" s="1"/>
  <c r="H53" i="83"/>
  <c r="D53" i="83"/>
  <c r="B53" i="83"/>
  <c r="Z52" i="83"/>
  <c r="X52" i="83"/>
  <c r="N52" i="83"/>
  <c r="L52" i="83"/>
  <c r="B52" i="83"/>
  <c r="X51" i="83"/>
  <c r="Z51" i="83" s="1"/>
  <c r="T51" i="83"/>
  <c r="P51" i="83"/>
  <c r="H51" i="83"/>
  <c r="D51" i="83"/>
  <c r="B51" i="83"/>
  <c r="X50" i="83"/>
  <c r="Z50" i="83" s="1"/>
  <c r="N50" i="83"/>
  <c r="L50" i="83"/>
  <c r="B50" i="83"/>
  <c r="Z49" i="83"/>
  <c r="X49" i="83"/>
  <c r="N49" i="83"/>
  <c r="L49" i="83"/>
  <c r="B49" i="83"/>
  <c r="Z48" i="83"/>
  <c r="X48" i="83"/>
  <c r="T48" i="83"/>
  <c r="P48" i="83"/>
  <c r="L48" i="83"/>
  <c r="N48" i="83" s="1"/>
  <c r="H48" i="83"/>
  <c r="D48" i="83"/>
  <c r="B48" i="83"/>
  <c r="X47" i="83"/>
  <c r="Z47" i="83" s="1"/>
  <c r="L47" i="83"/>
  <c r="N47" i="83" s="1"/>
  <c r="B47" i="83"/>
  <c r="X46" i="83"/>
  <c r="Z46" i="83" s="1"/>
  <c r="T46" i="83"/>
  <c r="P46" i="83"/>
  <c r="H46" i="83"/>
  <c r="N46" i="83" s="1"/>
  <c r="D46" i="83"/>
  <c r="L46" i="83" s="1"/>
  <c r="B46" i="83"/>
  <c r="Z45" i="83"/>
  <c r="X45" i="83"/>
  <c r="N45" i="83"/>
  <c r="L45" i="83"/>
  <c r="B45" i="83"/>
  <c r="T44" i="83"/>
  <c r="Z44" i="83" s="1"/>
  <c r="P44" i="83"/>
  <c r="X44" i="83" s="1"/>
  <c r="N44" i="83"/>
  <c r="H44" i="83"/>
  <c r="D44" i="83"/>
  <c r="L44" i="83" s="1"/>
  <c r="B44" i="83"/>
  <c r="Z43" i="83"/>
  <c r="X43" i="83"/>
  <c r="N43" i="83"/>
  <c r="L43" i="83"/>
  <c r="B43" i="83"/>
  <c r="Z42" i="83"/>
  <c r="X42" i="83"/>
  <c r="N42" i="83"/>
  <c r="L42" i="83"/>
  <c r="B42" i="83"/>
  <c r="Z41" i="83"/>
  <c r="X41" i="83"/>
  <c r="L41" i="83"/>
  <c r="N41" i="83" s="1"/>
  <c r="F41" i="83"/>
  <c r="B41" i="83"/>
  <c r="X40" i="83"/>
  <c r="Z40" i="83" s="1"/>
  <c r="N40" i="83"/>
  <c r="L40" i="83"/>
  <c r="B40" i="83"/>
  <c r="Z39" i="83"/>
  <c r="X39" i="83"/>
  <c r="N39" i="83"/>
  <c r="L39" i="83"/>
  <c r="B39" i="83"/>
  <c r="X38" i="83"/>
  <c r="Z38" i="83" s="1"/>
  <c r="N38" i="83"/>
  <c r="L38" i="83"/>
  <c r="B38" i="83"/>
  <c r="X37" i="83"/>
  <c r="Z37" i="83" s="1"/>
  <c r="L37" i="83"/>
  <c r="N37" i="83" s="1"/>
  <c r="B37" i="83"/>
  <c r="Z36" i="83"/>
  <c r="X36" i="83"/>
  <c r="N36" i="83"/>
  <c r="L36" i="83"/>
  <c r="B36" i="83"/>
  <c r="Z35" i="83"/>
  <c r="X35" i="83"/>
  <c r="N35" i="83"/>
  <c r="L35" i="83"/>
  <c r="B35" i="83"/>
  <c r="Z34" i="83"/>
  <c r="X34" i="83"/>
  <c r="N34" i="83"/>
  <c r="L34" i="83"/>
  <c r="J34" i="83"/>
  <c r="B34" i="83"/>
  <c r="T33" i="83"/>
  <c r="Z33" i="83" s="1"/>
  <c r="P33" i="83"/>
  <c r="X33" i="83" s="1"/>
  <c r="L33" i="83"/>
  <c r="N33" i="83" s="1"/>
  <c r="H33" i="83"/>
  <c r="D33" i="83"/>
  <c r="B33" i="83"/>
  <c r="Z32" i="83"/>
  <c r="X32" i="83"/>
  <c r="N32" i="83"/>
  <c r="L32" i="83"/>
  <c r="B32" i="83"/>
  <c r="X31" i="83"/>
  <c r="Z31" i="83" s="1"/>
  <c r="L31" i="83"/>
  <c r="N31" i="83" s="1"/>
  <c r="J31" i="83"/>
  <c r="B31" i="83"/>
  <c r="Z30" i="83"/>
  <c r="X30" i="83"/>
  <c r="L30" i="83"/>
  <c r="N30" i="83" s="1"/>
  <c r="J30" i="83"/>
  <c r="B30" i="83"/>
  <c r="Z29" i="83"/>
  <c r="X29" i="83"/>
  <c r="N29" i="83"/>
  <c r="L29" i="83"/>
  <c r="B29" i="83"/>
  <c r="Z28" i="83"/>
  <c r="X28" i="83"/>
  <c r="N28" i="83"/>
  <c r="L28" i="83"/>
  <c r="J28" i="83"/>
  <c r="B28" i="83"/>
  <c r="X27" i="83"/>
  <c r="Z27" i="83" s="1"/>
  <c r="N27" i="83"/>
  <c r="L27" i="83"/>
  <c r="B27" i="83"/>
  <c r="X26" i="83"/>
  <c r="Z26" i="83" s="1"/>
  <c r="N26" i="83"/>
  <c r="L26" i="83"/>
  <c r="B26" i="83"/>
  <c r="X25" i="83"/>
  <c r="Z25" i="83" s="1"/>
  <c r="L25" i="83"/>
  <c r="N25" i="83" s="1"/>
  <c r="B25" i="83"/>
  <c r="Z24" i="83"/>
  <c r="X24" i="83"/>
  <c r="N24" i="83"/>
  <c r="L24" i="83"/>
  <c r="J24" i="83"/>
  <c r="B24" i="83"/>
  <c r="X23" i="83"/>
  <c r="Z23" i="83" s="1"/>
  <c r="T23" i="83"/>
  <c r="P23" i="83"/>
  <c r="J23" i="83"/>
  <c r="H23" i="83"/>
  <c r="D23" i="83"/>
  <c r="L23" i="83" s="1"/>
  <c r="N23" i="83" s="1"/>
  <c r="B23" i="83"/>
  <c r="T22" i="83"/>
  <c r="X22" i="83" s="1"/>
  <c r="P22" i="83"/>
  <c r="H22" i="83"/>
  <c r="J22" i="83" s="1"/>
  <c r="D22" i="83"/>
  <c r="Z18" i="83"/>
  <c r="X18" i="83"/>
  <c r="N18" i="83"/>
  <c r="L18" i="83"/>
  <c r="J18" i="83"/>
  <c r="B18" i="83"/>
  <c r="Z17" i="83"/>
  <c r="X17" i="83"/>
  <c r="L17" i="83"/>
  <c r="N17" i="83" s="1"/>
  <c r="B17" i="83"/>
  <c r="X16" i="83"/>
  <c r="T16" i="83"/>
  <c r="Z16" i="83" s="1"/>
  <c r="P16" i="83"/>
  <c r="H16" i="83"/>
  <c r="D16" i="83"/>
  <c r="P14" i="83"/>
  <c r="X14" i="83" s="1"/>
  <c r="Z14" i="83" s="1"/>
  <c r="D14" i="83"/>
  <c r="L14" i="83" s="1"/>
  <c r="N14" i="83" s="1"/>
  <c r="B14" i="83"/>
  <c r="X13" i="83"/>
  <c r="Z13" i="83" s="1"/>
  <c r="P13" i="83"/>
  <c r="L13" i="83"/>
  <c r="N13" i="83" s="1"/>
  <c r="D13" i="83"/>
  <c r="B13" i="83"/>
  <c r="T12" i="83"/>
  <c r="H12" i="83"/>
  <c r="J40" i="83" s="1"/>
  <c r="D12" i="83"/>
  <c r="F20" i="83" s="1"/>
  <c r="D6" i="83"/>
  <c r="D4" i="83"/>
  <c r="Z94" i="82"/>
  <c r="X94" i="82"/>
  <c r="L94" i="82"/>
  <c r="N94" i="82" s="1"/>
  <c r="Z90" i="82"/>
  <c r="X90" i="82"/>
  <c r="P90" i="82"/>
  <c r="P89" i="82" s="1"/>
  <c r="N90" i="82"/>
  <c r="D90" i="82"/>
  <c r="B90" i="82"/>
  <c r="Z89" i="82"/>
  <c r="X89" i="82"/>
  <c r="T89" i="82"/>
  <c r="N89" i="82"/>
  <c r="H89" i="82"/>
  <c r="Z87" i="82"/>
  <c r="X87" i="82"/>
  <c r="V87" i="82"/>
  <c r="L87" i="82"/>
  <c r="N87" i="82" s="1"/>
  <c r="B87" i="82"/>
  <c r="X86" i="82"/>
  <c r="T86" i="82"/>
  <c r="Z86" i="82" s="1"/>
  <c r="P86" i="82"/>
  <c r="H86" i="82"/>
  <c r="D86" i="82"/>
  <c r="B86" i="82"/>
  <c r="X85" i="82"/>
  <c r="Z85" i="82" s="1"/>
  <c r="V85" i="82"/>
  <c r="N85" i="82"/>
  <c r="L85" i="82"/>
  <c r="B85" i="82"/>
  <c r="T84" i="82"/>
  <c r="P84" i="82"/>
  <c r="N84" i="82"/>
  <c r="H84" i="82"/>
  <c r="D84" i="82"/>
  <c r="L84" i="82" s="1"/>
  <c r="B84" i="82"/>
  <c r="X83" i="82"/>
  <c r="Z83" i="82" s="1"/>
  <c r="N83" i="82"/>
  <c r="L83" i="82"/>
  <c r="J83" i="82"/>
  <c r="B83" i="82"/>
  <c r="Z82" i="82"/>
  <c r="X82" i="82"/>
  <c r="L82" i="82"/>
  <c r="N82" i="82" s="1"/>
  <c r="B82" i="82"/>
  <c r="V81" i="82"/>
  <c r="T81" i="82"/>
  <c r="P81" i="82"/>
  <c r="X81" i="82" s="1"/>
  <c r="L81" i="82"/>
  <c r="N81" i="82" s="1"/>
  <c r="H81" i="82"/>
  <c r="D81" i="82"/>
  <c r="B81" i="82"/>
  <c r="X80" i="82"/>
  <c r="Z80" i="82" s="1"/>
  <c r="V80" i="82"/>
  <c r="N80" i="82"/>
  <c r="L80" i="82"/>
  <c r="B80" i="82"/>
  <c r="X79" i="82"/>
  <c r="Z79" i="82" s="1"/>
  <c r="N79" i="82"/>
  <c r="L79" i="82"/>
  <c r="J79" i="82"/>
  <c r="B79" i="82"/>
  <c r="Z78" i="82"/>
  <c r="X78" i="82"/>
  <c r="L78" i="82"/>
  <c r="N78" i="82" s="1"/>
  <c r="B78" i="82"/>
  <c r="X77" i="82"/>
  <c r="Z77" i="82" s="1"/>
  <c r="V77" i="82"/>
  <c r="N77" i="82"/>
  <c r="L77" i="82"/>
  <c r="B77" i="82"/>
  <c r="X76" i="82"/>
  <c r="Z76" i="82" s="1"/>
  <c r="N76" i="82"/>
  <c r="L76" i="82"/>
  <c r="J76" i="82"/>
  <c r="B76" i="82"/>
  <c r="Z75" i="82"/>
  <c r="X75" i="82"/>
  <c r="V75" i="82"/>
  <c r="N75" i="82"/>
  <c r="L75" i="82"/>
  <c r="B75" i="82"/>
  <c r="X74" i="82"/>
  <c r="T74" i="82"/>
  <c r="Z74" i="82" s="1"/>
  <c r="R74" i="82"/>
  <c r="P74" i="82"/>
  <c r="H74" i="82"/>
  <c r="D74" i="82"/>
  <c r="B74" i="82"/>
  <c r="X73" i="82"/>
  <c r="Z73" i="82" s="1"/>
  <c r="V73" i="82"/>
  <c r="N73" i="82"/>
  <c r="L73" i="82"/>
  <c r="B73" i="82"/>
  <c r="T72" i="82"/>
  <c r="P72" i="82"/>
  <c r="H72" i="82"/>
  <c r="D72" i="82"/>
  <c r="B72" i="82"/>
  <c r="X71" i="82"/>
  <c r="Z71" i="82" s="1"/>
  <c r="N71" i="82"/>
  <c r="L71" i="82"/>
  <c r="J71" i="82"/>
  <c r="B71" i="82"/>
  <c r="Z70" i="82"/>
  <c r="X70" i="82"/>
  <c r="L70" i="82"/>
  <c r="N70" i="82" s="1"/>
  <c r="B70" i="82"/>
  <c r="Z69" i="82"/>
  <c r="X69" i="82"/>
  <c r="V69" i="82"/>
  <c r="N69" i="82"/>
  <c r="L69" i="82"/>
  <c r="B69" i="82"/>
  <c r="X68" i="82"/>
  <c r="Z68" i="82" s="1"/>
  <c r="L68" i="82"/>
  <c r="N68" i="82" s="1"/>
  <c r="J68" i="82"/>
  <c r="B68" i="82"/>
  <c r="V67" i="82"/>
  <c r="T67" i="82"/>
  <c r="P67" i="82"/>
  <c r="X67" i="82" s="1"/>
  <c r="Z67" i="82" s="1"/>
  <c r="J67" i="82"/>
  <c r="H67" i="82"/>
  <c r="D67" i="82"/>
  <c r="L67" i="82" s="1"/>
  <c r="N67" i="82" s="1"/>
  <c r="B67" i="82"/>
  <c r="Z66" i="82"/>
  <c r="X66" i="82"/>
  <c r="L66" i="82"/>
  <c r="N66" i="82" s="1"/>
  <c r="B66" i="82"/>
  <c r="Z65" i="82"/>
  <c r="X65" i="82"/>
  <c r="V65" i="82"/>
  <c r="N65" i="82"/>
  <c r="L65" i="82"/>
  <c r="B65" i="82"/>
  <c r="T64" i="82"/>
  <c r="P64" i="82"/>
  <c r="H64" i="82"/>
  <c r="N64" i="82" s="1"/>
  <c r="D64" i="82"/>
  <c r="L64" i="82" s="1"/>
  <c r="B64" i="82"/>
  <c r="X63" i="82"/>
  <c r="Z63" i="82" s="1"/>
  <c r="N63" i="82"/>
  <c r="L63" i="82"/>
  <c r="J63" i="82"/>
  <c r="B63" i="82"/>
  <c r="T62" i="82"/>
  <c r="P62" i="82"/>
  <c r="J62" i="82"/>
  <c r="H62" i="82"/>
  <c r="D62" i="82"/>
  <c r="L62" i="82" s="1"/>
  <c r="B62" i="82"/>
  <c r="Z61" i="82"/>
  <c r="X61" i="82"/>
  <c r="N61" i="82"/>
  <c r="L61" i="82"/>
  <c r="J61" i="82"/>
  <c r="B61" i="82"/>
  <c r="V60" i="82"/>
  <c r="T60" i="82"/>
  <c r="P60" i="82"/>
  <c r="X60" i="82" s="1"/>
  <c r="L60" i="82"/>
  <c r="H60" i="82"/>
  <c r="D60" i="82"/>
  <c r="B60" i="82"/>
  <c r="Z59" i="82"/>
  <c r="X59" i="82"/>
  <c r="V59" i="82"/>
  <c r="N59" i="82"/>
  <c r="L59" i="82"/>
  <c r="B59" i="82"/>
  <c r="X58" i="82"/>
  <c r="T58" i="82"/>
  <c r="Z58" i="82" s="1"/>
  <c r="R58" i="82"/>
  <c r="P58" i="82"/>
  <c r="H58" i="82"/>
  <c r="N58" i="82" s="1"/>
  <c r="D58" i="82"/>
  <c r="B58" i="82"/>
  <c r="Z57" i="82"/>
  <c r="X57" i="82"/>
  <c r="V57" i="82"/>
  <c r="N57" i="82"/>
  <c r="L57" i="82"/>
  <c r="B57" i="82"/>
  <c r="T56" i="82"/>
  <c r="P56" i="82"/>
  <c r="N56" i="82"/>
  <c r="H56" i="82"/>
  <c r="D56" i="82"/>
  <c r="L56" i="82" s="1"/>
  <c r="B56" i="82"/>
  <c r="X55" i="82"/>
  <c r="Z55" i="82" s="1"/>
  <c r="N55" i="82"/>
  <c r="L55" i="82"/>
  <c r="J55" i="82"/>
  <c r="B55" i="82"/>
  <c r="Z54" i="82"/>
  <c r="X54" i="82"/>
  <c r="N54" i="82"/>
  <c r="L54" i="82"/>
  <c r="B54" i="82"/>
  <c r="V53" i="82"/>
  <c r="T53" i="82"/>
  <c r="P53" i="82"/>
  <c r="X53" i="82" s="1"/>
  <c r="Z53" i="82" s="1"/>
  <c r="L53" i="82"/>
  <c r="N53" i="82" s="1"/>
  <c r="H53" i="82"/>
  <c r="D53" i="82"/>
  <c r="B53" i="82"/>
  <c r="X52" i="82"/>
  <c r="Z52" i="82" s="1"/>
  <c r="V52" i="82"/>
  <c r="L52" i="82"/>
  <c r="N52" i="82" s="1"/>
  <c r="B52" i="82"/>
  <c r="X51" i="82"/>
  <c r="Z51" i="82" s="1"/>
  <c r="T51" i="82"/>
  <c r="P51" i="82"/>
  <c r="H51" i="82"/>
  <c r="L51" i="82" s="1"/>
  <c r="D51" i="82"/>
  <c r="B51" i="82"/>
  <c r="X50" i="82"/>
  <c r="Z50" i="82" s="1"/>
  <c r="N50" i="82"/>
  <c r="L50" i="82"/>
  <c r="B50" i="82"/>
  <c r="Z49" i="82"/>
  <c r="T49" i="82"/>
  <c r="X49" i="82" s="1"/>
  <c r="P49" i="82"/>
  <c r="N49" i="82"/>
  <c r="J49" i="82"/>
  <c r="H49" i="82"/>
  <c r="D49" i="82"/>
  <c r="L49" i="82" s="1"/>
  <c r="B49" i="82"/>
  <c r="Z48" i="82"/>
  <c r="X48" i="82"/>
  <c r="N48" i="82"/>
  <c r="L48" i="82"/>
  <c r="J48" i="82"/>
  <c r="B48" i="82"/>
  <c r="Z47" i="82"/>
  <c r="V47" i="82"/>
  <c r="T47" i="82"/>
  <c r="P47" i="82"/>
  <c r="X47" i="82" s="1"/>
  <c r="N47" i="82"/>
  <c r="J47" i="82"/>
  <c r="H47" i="82"/>
  <c r="D47" i="82"/>
  <c r="L47" i="82" s="1"/>
  <c r="B47" i="82"/>
  <c r="Z46" i="82"/>
  <c r="X46" i="82"/>
  <c r="N46" i="82"/>
  <c r="L46" i="82"/>
  <c r="B46" i="82"/>
  <c r="Z45" i="82"/>
  <c r="X45" i="82"/>
  <c r="V45" i="82"/>
  <c r="N45" i="82"/>
  <c r="L45" i="82"/>
  <c r="B45" i="82"/>
  <c r="X44" i="82"/>
  <c r="Z44" i="82" s="1"/>
  <c r="L44" i="82"/>
  <c r="N44" i="82" s="1"/>
  <c r="J44" i="82"/>
  <c r="B44" i="82"/>
  <c r="Z43" i="82"/>
  <c r="X43" i="82"/>
  <c r="V43" i="82"/>
  <c r="N43" i="82"/>
  <c r="L43" i="82"/>
  <c r="B43" i="82"/>
  <c r="Z42" i="82"/>
  <c r="X42" i="82"/>
  <c r="N42" i="82"/>
  <c r="L42" i="82"/>
  <c r="B42" i="82"/>
  <c r="Z41" i="82"/>
  <c r="X41" i="82"/>
  <c r="N41" i="82"/>
  <c r="L41" i="82"/>
  <c r="J41" i="82"/>
  <c r="B41" i="82"/>
  <c r="X40" i="82"/>
  <c r="Z40" i="82" s="1"/>
  <c r="V40" i="82"/>
  <c r="L40" i="82"/>
  <c r="N40" i="82" s="1"/>
  <c r="B40" i="82"/>
  <c r="Z39" i="82"/>
  <c r="X39" i="82"/>
  <c r="N39" i="82"/>
  <c r="L39" i="82"/>
  <c r="J39" i="82"/>
  <c r="B39" i="82"/>
  <c r="Z38" i="82"/>
  <c r="X38" i="82"/>
  <c r="L38" i="82"/>
  <c r="N38" i="82" s="1"/>
  <c r="B38" i="82"/>
  <c r="Z37" i="82"/>
  <c r="X37" i="82"/>
  <c r="V37" i="82"/>
  <c r="N37" i="82"/>
  <c r="L37" i="82"/>
  <c r="B37" i="82"/>
  <c r="T36" i="82"/>
  <c r="P36" i="82"/>
  <c r="H36" i="82"/>
  <c r="D36" i="82"/>
  <c r="B36" i="82"/>
  <c r="X35" i="82"/>
  <c r="Z35" i="82" s="1"/>
  <c r="N35" i="82"/>
  <c r="L35" i="82"/>
  <c r="J35" i="82"/>
  <c r="B35" i="82"/>
  <c r="Z34" i="82"/>
  <c r="X34" i="82"/>
  <c r="L34" i="82"/>
  <c r="N34" i="82" s="1"/>
  <c r="B34" i="82"/>
  <c r="Z33" i="82"/>
  <c r="X33" i="82"/>
  <c r="V33" i="82"/>
  <c r="N33" i="82"/>
  <c r="L33" i="82"/>
  <c r="B33" i="82"/>
  <c r="Z32" i="82"/>
  <c r="X32" i="82"/>
  <c r="N32" i="82"/>
  <c r="L32" i="82"/>
  <c r="J32" i="82"/>
  <c r="B32" i="82"/>
  <c r="Z31" i="82"/>
  <c r="X31" i="82"/>
  <c r="V31" i="82"/>
  <c r="L31" i="82"/>
  <c r="N31" i="82" s="1"/>
  <c r="B31" i="82"/>
  <c r="X30" i="82"/>
  <c r="Z30" i="82" s="1"/>
  <c r="N30" i="82"/>
  <c r="L30" i="82"/>
  <c r="B30" i="82"/>
  <c r="Z29" i="82"/>
  <c r="X29" i="82"/>
  <c r="V29" i="82"/>
  <c r="N29" i="82"/>
  <c r="L29" i="82"/>
  <c r="J29" i="82"/>
  <c r="B29" i="82"/>
  <c r="X28" i="82"/>
  <c r="Z28" i="82" s="1"/>
  <c r="V28" i="82"/>
  <c r="L28" i="82"/>
  <c r="N28" i="82" s="1"/>
  <c r="B28" i="82"/>
  <c r="X27" i="82"/>
  <c r="Z27" i="82" s="1"/>
  <c r="N27" i="82"/>
  <c r="L27" i="82"/>
  <c r="J27" i="82"/>
  <c r="B27" i="82"/>
  <c r="T26" i="82"/>
  <c r="P26" i="82"/>
  <c r="J26" i="82"/>
  <c r="H26" i="82"/>
  <c r="D26" i="82"/>
  <c r="L26" i="82" s="1"/>
  <c r="N26" i="82" s="1"/>
  <c r="B26" i="82"/>
  <c r="T25" i="82"/>
  <c r="V25" i="82" s="1"/>
  <c r="P25" i="82"/>
  <c r="J25" i="82"/>
  <c r="H25" i="82"/>
  <c r="D25" i="82"/>
  <c r="Z21" i="82"/>
  <c r="X21" i="82"/>
  <c r="V21" i="82"/>
  <c r="N21" i="82"/>
  <c r="L21" i="82"/>
  <c r="J21" i="82"/>
  <c r="B21" i="82"/>
  <c r="Z20" i="82"/>
  <c r="X20" i="82"/>
  <c r="V20" i="82"/>
  <c r="N20" i="82"/>
  <c r="L20" i="82"/>
  <c r="B20" i="82"/>
  <c r="X19" i="82"/>
  <c r="Z19" i="82" s="1"/>
  <c r="N19" i="82"/>
  <c r="L19" i="82"/>
  <c r="J19" i="82"/>
  <c r="B19" i="82"/>
  <c r="Z18" i="82"/>
  <c r="T18" i="82"/>
  <c r="P18" i="82"/>
  <c r="X18" i="82" s="1"/>
  <c r="L18" i="82"/>
  <c r="N18" i="82" s="1"/>
  <c r="J18" i="82"/>
  <c r="H18" i="82"/>
  <c r="D18" i="82"/>
  <c r="Z16" i="82"/>
  <c r="X16" i="82"/>
  <c r="P16" i="82"/>
  <c r="N16" i="82"/>
  <c r="L16" i="82"/>
  <c r="D16" i="82"/>
  <c r="B16" i="82"/>
  <c r="P15" i="82"/>
  <c r="X15" i="82" s="1"/>
  <c r="Z15" i="82" s="1"/>
  <c r="L15" i="82"/>
  <c r="N15" i="82" s="1"/>
  <c r="D15" i="82"/>
  <c r="B15" i="82"/>
  <c r="Z14" i="82"/>
  <c r="X14" i="82"/>
  <c r="P14" i="82"/>
  <c r="N14" i="82"/>
  <c r="D14" i="82"/>
  <c r="L14" i="82" s="1"/>
  <c r="B14" i="82"/>
  <c r="P13" i="82"/>
  <c r="X13" i="82" s="1"/>
  <c r="Z13" i="82" s="1"/>
  <c r="L13" i="82"/>
  <c r="N13" i="82" s="1"/>
  <c r="D13" i="82"/>
  <c r="B13" i="82"/>
  <c r="T12" i="82"/>
  <c r="V84" i="82" s="1"/>
  <c r="P12" i="82"/>
  <c r="H12" i="82"/>
  <c r="J90" i="82" s="1"/>
  <c r="D6" i="82"/>
  <c r="D4" i="82"/>
  <c r="V32" i="81"/>
  <c r="F32" i="81"/>
  <c r="Z30" i="81"/>
  <c r="X30" i="81"/>
  <c r="N30" i="81"/>
  <c r="L30" i="81"/>
  <c r="T28" i="81"/>
  <c r="Z26" i="81"/>
  <c r="X26" i="81"/>
  <c r="V26" i="81"/>
  <c r="T26" i="81"/>
  <c r="P26" i="81"/>
  <c r="L26" i="81"/>
  <c r="H26" i="81"/>
  <c r="N26" i="81" s="1"/>
  <c r="D26" i="81"/>
  <c r="Z24" i="81"/>
  <c r="X24" i="81"/>
  <c r="R24" i="81"/>
  <c r="N24" i="81"/>
  <c r="L24" i="81"/>
  <c r="J24" i="81"/>
  <c r="B24" i="81"/>
  <c r="V23" i="81"/>
  <c r="T23" i="81"/>
  <c r="Z23" i="81" s="1"/>
  <c r="R23" i="81"/>
  <c r="P23" i="81"/>
  <c r="N23" i="81"/>
  <c r="J23" i="81"/>
  <c r="H23" i="81"/>
  <c r="D23" i="81"/>
  <c r="L23" i="81" s="1"/>
  <c r="B23" i="81"/>
  <c r="Z22" i="81"/>
  <c r="X22" i="81"/>
  <c r="N22" i="81"/>
  <c r="L22" i="81"/>
  <c r="B22" i="81"/>
  <c r="Z21" i="81"/>
  <c r="V21" i="81"/>
  <c r="T21" i="81"/>
  <c r="P21" i="81"/>
  <c r="X21" i="81" s="1"/>
  <c r="N21" i="81"/>
  <c r="L21" i="81"/>
  <c r="H21" i="81"/>
  <c r="F21" i="81"/>
  <c r="D21" i="81"/>
  <c r="B21" i="81"/>
  <c r="Z20" i="81"/>
  <c r="X20" i="81"/>
  <c r="V20" i="81"/>
  <c r="N20" i="81"/>
  <c r="L20" i="81"/>
  <c r="F20" i="81"/>
  <c r="B20" i="81"/>
  <c r="Z19" i="81"/>
  <c r="X19" i="81"/>
  <c r="T19" i="81"/>
  <c r="P19" i="81"/>
  <c r="N19" i="81"/>
  <c r="L19" i="81"/>
  <c r="H19" i="81"/>
  <c r="D19" i="81"/>
  <c r="B19" i="81"/>
  <c r="V18" i="81"/>
  <c r="T18" i="81"/>
  <c r="Z18" i="81" s="1"/>
  <c r="R18" i="81"/>
  <c r="P18" i="81"/>
  <c r="L18" i="81"/>
  <c r="H18" i="81"/>
  <c r="N18" i="81" s="1"/>
  <c r="D18" i="81"/>
  <c r="T16" i="81"/>
  <c r="Z16" i="81" s="1"/>
  <c r="X14" i="81"/>
  <c r="V14" i="81"/>
  <c r="T14" i="81"/>
  <c r="Z14" i="81" s="1"/>
  <c r="R14" i="81"/>
  <c r="P14" i="81"/>
  <c r="H14" i="81"/>
  <c r="N14" i="81" s="1"/>
  <c r="D14" i="81"/>
  <c r="L14" i="81" s="1"/>
  <c r="Z12" i="81"/>
  <c r="T12" i="81"/>
  <c r="V35" i="81" s="1"/>
  <c r="P12" i="81"/>
  <c r="R19" i="81" s="1"/>
  <c r="H12" i="81"/>
  <c r="J30" i="81" s="1"/>
  <c r="D12" i="81"/>
  <c r="D6" i="81"/>
  <c r="D4" i="81"/>
  <c r="J35" i="80"/>
  <c r="Z30" i="80"/>
  <c r="X30" i="80"/>
  <c r="N30" i="80"/>
  <c r="L30" i="80"/>
  <c r="J28" i="80"/>
  <c r="Z26" i="80"/>
  <c r="T26" i="80"/>
  <c r="P26" i="80"/>
  <c r="X26" i="80" s="1"/>
  <c r="L26" i="80"/>
  <c r="H26" i="80"/>
  <c r="N26" i="80" s="1"/>
  <c r="D26" i="80"/>
  <c r="Z24" i="80"/>
  <c r="X24" i="80"/>
  <c r="N24" i="80"/>
  <c r="L24" i="80"/>
  <c r="B24" i="80"/>
  <c r="Z23" i="80"/>
  <c r="T23" i="80"/>
  <c r="P23" i="80"/>
  <c r="X23" i="80" s="1"/>
  <c r="N23" i="80"/>
  <c r="L23" i="80"/>
  <c r="J23" i="80"/>
  <c r="H23" i="80"/>
  <c r="F23" i="80"/>
  <c r="D23" i="80"/>
  <c r="B23" i="80"/>
  <c r="Z22" i="80"/>
  <c r="X22" i="80"/>
  <c r="N22" i="80"/>
  <c r="L22" i="80"/>
  <c r="B22" i="80"/>
  <c r="Z21" i="80"/>
  <c r="X21" i="80"/>
  <c r="V21" i="80"/>
  <c r="T21" i="80"/>
  <c r="P21" i="80"/>
  <c r="H21" i="80"/>
  <c r="N21" i="80" s="1"/>
  <c r="F21" i="80"/>
  <c r="D21" i="80"/>
  <c r="B21" i="80"/>
  <c r="Z20" i="80"/>
  <c r="X20" i="80"/>
  <c r="L20" i="80"/>
  <c r="N20" i="80" s="1"/>
  <c r="F20" i="80"/>
  <c r="B20" i="80"/>
  <c r="T19" i="80"/>
  <c r="P19" i="80"/>
  <c r="H19" i="80"/>
  <c r="D19" i="80"/>
  <c r="L19" i="80" s="1"/>
  <c r="N19" i="80" s="1"/>
  <c r="B19" i="80"/>
  <c r="T18" i="80"/>
  <c r="P18" i="80"/>
  <c r="X18" i="80" s="1"/>
  <c r="H18" i="80"/>
  <c r="F18" i="80"/>
  <c r="D18" i="80"/>
  <c r="L18" i="80" s="1"/>
  <c r="N18" i="80" s="1"/>
  <c r="T16" i="80"/>
  <c r="F16" i="80"/>
  <c r="D16" i="80"/>
  <c r="X14" i="80"/>
  <c r="T14" i="80"/>
  <c r="Z14" i="80" s="1"/>
  <c r="P14" i="80"/>
  <c r="N14" i="80"/>
  <c r="L14" i="80"/>
  <c r="H14" i="80"/>
  <c r="F14" i="80"/>
  <c r="D14" i="80"/>
  <c r="T12" i="80"/>
  <c r="V35" i="80" s="1"/>
  <c r="P12" i="80"/>
  <c r="R22" i="80" s="1"/>
  <c r="L12" i="80"/>
  <c r="H12" i="80"/>
  <c r="J20" i="80" s="1"/>
  <c r="D12" i="80"/>
  <c r="F35" i="80" s="1"/>
  <c r="D6" i="80"/>
  <c r="D4" i="80"/>
  <c r="J37" i="79"/>
  <c r="R34" i="79"/>
  <c r="J34" i="79"/>
  <c r="Z32" i="79"/>
  <c r="X32" i="79"/>
  <c r="N32" i="79"/>
  <c r="L32" i="79"/>
  <c r="J30" i="79"/>
  <c r="Z28" i="79"/>
  <c r="T28" i="79"/>
  <c r="R28" i="79"/>
  <c r="P28" i="79"/>
  <c r="X28" i="79" s="1"/>
  <c r="L28" i="79"/>
  <c r="J28" i="79"/>
  <c r="H28" i="79"/>
  <c r="N28" i="79" s="1"/>
  <c r="D28" i="79"/>
  <c r="Z26" i="79"/>
  <c r="X26" i="79"/>
  <c r="N26" i="79"/>
  <c r="L26" i="79"/>
  <c r="B26" i="79"/>
  <c r="Z25" i="79"/>
  <c r="V25" i="79"/>
  <c r="T25" i="79"/>
  <c r="P25" i="79"/>
  <c r="X25" i="79" s="1"/>
  <c r="N25" i="79"/>
  <c r="L25" i="79"/>
  <c r="J25" i="79"/>
  <c r="H25" i="79"/>
  <c r="D25" i="79"/>
  <c r="B25" i="79"/>
  <c r="Z24" i="79"/>
  <c r="X24" i="79"/>
  <c r="V24" i="79"/>
  <c r="R24" i="79"/>
  <c r="N24" i="79"/>
  <c r="L24" i="79"/>
  <c r="J24" i="79"/>
  <c r="B24" i="79"/>
  <c r="Z23" i="79"/>
  <c r="X23" i="79"/>
  <c r="V23" i="79"/>
  <c r="T23" i="79"/>
  <c r="R23" i="79"/>
  <c r="P23" i="79"/>
  <c r="J23" i="79"/>
  <c r="H23" i="79"/>
  <c r="N23" i="79" s="1"/>
  <c r="F23" i="79"/>
  <c r="D23" i="79"/>
  <c r="B23" i="79"/>
  <c r="Z22" i="79"/>
  <c r="X22" i="79"/>
  <c r="N22" i="79"/>
  <c r="L22" i="79"/>
  <c r="B22" i="79"/>
  <c r="T21" i="79"/>
  <c r="Z21" i="79" s="1"/>
  <c r="R21" i="79"/>
  <c r="P21" i="79"/>
  <c r="N21" i="79"/>
  <c r="J21" i="79"/>
  <c r="H21" i="79"/>
  <c r="D21" i="79"/>
  <c r="L21" i="79" s="1"/>
  <c r="B21" i="79"/>
  <c r="X20" i="79"/>
  <c r="Z20" i="79" s="1"/>
  <c r="V20" i="79"/>
  <c r="L20" i="79"/>
  <c r="N20" i="79" s="1"/>
  <c r="J20" i="79"/>
  <c r="F20" i="79"/>
  <c r="B20" i="79"/>
  <c r="T19" i="79"/>
  <c r="P19" i="79"/>
  <c r="X19" i="79" s="1"/>
  <c r="Z19" i="79" s="1"/>
  <c r="N19" i="79"/>
  <c r="J19" i="79"/>
  <c r="H19" i="79"/>
  <c r="D19" i="79"/>
  <c r="L19" i="79" s="1"/>
  <c r="B19" i="79"/>
  <c r="T18" i="79"/>
  <c r="X18" i="79" s="1"/>
  <c r="Z18" i="79" s="1"/>
  <c r="R18" i="79"/>
  <c r="P18" i="79"/>
  <c r="J18" i="79"/>
  <c r="H18" i="79"/>
  <c r="D18" i="79"/>
  <c r="R16" i="79"/>
  <c r="P16" i="79"/>
  <c r="J16" i="79"/>
  <c r="Z14" i="79"/>
  <c r="X14" i="79"/>
  <c r="T14" i="79"/>
  <c r="R14" i="79"/>
  <c r="P14" i="79"/>
  <c r="J14" i="79"/>
  <c r="H14" i="79"/>
  <c r="D14" i="79"/>
  <c r="Z12" i="79"/>
  <c r="T12" i="79"/>
  <c r="V37" i="79" s="1"/>
  <c r="P12" i="79"/>
  <c r="R32" i="79" s="1"/>
  <c r="N12" i="79"/>
  <c r="L12" i="79"/>
  <c r="H12" i="79"/>
  <c r="J22" i="79" s="1"/>
  <c r="D12" i="79"/>
  <c r="F37" i="79" s="1"/>
  <c r="D6" i="79"/>
  <c r="D4" i="79"/>
  <c r="Z77" i="78"/>
  <c r="X77" i="78"/>
  <c r="R77" i="78"/>
  <c r="N77" i="78"/>
  <c r="L77" i="78"/>
  <c r="Z73" i="78"/>
  <c r="X73" i="78"/>
  <c r="P73" i="78"/>
  <c r="P72" i="78" s="1"/>
  <c r="X72" i="78" s="1"/>
  <c r="N73" i="78"/>
  <c r="L73" i="78"/>
  <c r="D73" i="78"/>
  <c r="B73" i="78"/>
  <c r="T72" i="78"/>
  <c r="Z72" i="78" s="1"/>
  <c r="N72" i="78"/>
  <c r="H72" i="78"/>
  <c r="D72" i="78"/>
  <c r="L72" i="78" s="1"/>
  <c r="Z70" i="78"/>
  <c r="X70" i="78"/>
  <c r="N70" i="78"/>
  <c r="L70" i="78"/>
  <c r="B70" i="78"/>
  <c r="X69" i="78"/>
  <c r="T69" i="78"/>
  <c r="Z69" i="78" s="1"/>
  <c r="P69" i="78"/>
  <c r="L69" i="78"/>
  <c r="N69" i="78" s="1"/>
  <c r="H69" i="78"/>
  <c r="D69" i="78"/>
  <c r="B69" i="78"/>
  <c r="Z68" i="78"/>
  <c r="X68" i="78"/>
  <c r="N68" i="78"/>
  <c r="L68" i="78"/>
  <c r="B68" i="78"/>
  <c r="Z67" i="78"/>
  <c r="X67" i="78"/>
  <c r="T67" i="78"/>
  <c r="P67" i="78"/>
  <c r="H67" i="78"/>
  <c r="N67" i="78" s="1"/>
  <c r="D67" i="78"/>
  <c r="B67" i="78"/>
  <c r="Z66" i="78"/>
  <c r="X66" i="78"/>
  <c r="N66" i="78"/>
  <c r="L66" i="78"/>
  <c r="B66" i="78"/>
  <c r="T65" i="78"/>
  <c r="Z65" i="78" s="1"/>
  <c r="P65" i="78"/>
  <c r="N65" i="78"/>
  <c r="H65" i="78"/>
  <c r="D65" i="78"/>
  <c r="L65" i="78" s="1"/>
  <c r="B65" i="78"/>
  <c r="Z64" i="78"/>
  <c r="X64" i="78"/>
  <c r="N64" i="78"/>
  <c r="L64" i="78"/>
  <c r="B64" i="78"/>
  <c r="Z63" i="78"/>
  <c r="T63" i="78"/>
  <c r="P63" i="78"/>
  <c r="X63" i="78" s="1"/>
  <c r="L63" i="78"/>
  <c r="H63" i="78"/>
  <c r="N63" i="78" s="1"/>
  <c r="D63" i="78"/>
  <c r="B63" i="78"/>
  <c r="Z62" i="78"/>
  <c r="X62" i="78"/>
  <c r="N62" i="78"/>
  <c r="L62" i="78"/>
  <c r="B62" i="78"/>
  <c r="X61" i="78"/>
  <c r="T61" i="78"/>
  <c r="Z61" i="78" s="1"/>
  <c r="P61" i="78"/>
  <c r="N61" i="78"/>
  <c r="L61" i="78"/>
  <c r="H61" i="78"/>
  <c r="D61" i="78"/>
  <c r="B61" i="78"/>
  <c r="X60" i="78"/>
  <c r="Z60" i="78" s="1"/>
  <c r="N60" i="78"/>
  <c r="L60" i="78"/>
  <c r="B60" i="78"/>
  <c r="Z59" i="78"/>
  <c r="X59" i="78"/>
  <c r="N59" i="78"/>
  <c r="L59" i="78"/>
  <c r="B59" i="78"/>
  <c r="Z58" i="78"/>
  <c r="X58" i="78"/>
  <c r="N58" i="78"/>
  <c r="L58" i="78"/>
  <c r="B58" i="78"/>
  <c r="X57" i="78"/>
  <c r="T57" i="78"/>
  <c r="Z57" i="78" s="1"/>
  <c r="P57" i="78"/>
  <c r="L57" i="78"/>
  <c r="N57" i="78" s="1"/>
  <c r="H57" i="78"/>
  <c r="D57" i="78"/>
  <c r="B57" i="78"/>
  <c r="Z56" i="78"/>
  <c r="X56" i="78"/>
  <c r="V56" i="78"/>
  <c r="N56" i="78"/>
  <c r="L56" i="78"/>
  <c r="B56" i="78"/>
  <c r="Z55" i="78"/>
  <c r="X55" i="78"/>
  <c r="N55" i="78"/>
  <c r="L55" i="78"/>
  <c r="B55" i="78"/>
  <c r="Z54" i="78"/>
  <c r="X54" i="78"/>
  <c r="N54" i="78"/>
  <c r="L54" i="78"/>
  <c r="B54" i="78"/>
  <c r="X53" i="78"/>
  <c r="T53" i="78"/>
  <c r="Z53" i="78" s="1"/>
  <c r="P53" i="78"/>
  <c r="N53" i="78"/>
  <c r="L53" i="78"/>
  <c r="H53" i="78"/>
  <c r="D53" i="78"/>
  <c r="B53" i="78"/>
  <c r="X52" i="78"/>
  <c r="Z52" i="78" s="1"/>
  <c r="N52" i="78"/>
  <c r="L52" i="78"/>
  <c r="B52" i="78"/>
  <c r="X51" i="78"/>
  <c r="Z51" i="78" s="1"/>
  <c r="T51" i="78"/>
  <c r="P51" i="78"/>
  <c r="H51" i="78"/>
  <c r="D51" i="78"/>
  <c r="L51" i="78" s="1"/>
  <c r="B51" i="78"/>
  <c r="Z50" i="78"/>
  <c r="X50" i="78"/>
  <c r="N50" i="78"/>
  <c r="L50" i="78"/>
  <c r="B50" i="78"/>
  <c r="T49" i="78"/>
  <c r="P49" i="78"/>
  <c r="X49" i="78" s="1"/>
  <c r="N49" i="78"/>
  <c r="H49" i="78"/>
  <c r="D49" i="78"/>
  <c r="L49" i="78" s="1"/>
  <c r="B49" i="78"/>
  <c r="Z48" i="78"/>
  <c r="X48" i="78"/>
  <c r="L48" i="78"/>
  <c r="N48" i="78" s="1"/>
  <c r="B48" i="78"/>
  <c r="T47" i="78"/>
  <c r="Z47" i="78" s="1"/>
  <c r="P47" i="78"/>
  <c r="X47" i="78" s="1"/>
  <c r="L47" i="78"/>
  <c r="H47" i="78"/>
  <c r="N47" i="78" s="1"/>
  <c r="D47" i="78"/>
  <c r="B47" i="78"/>
  <c r="Z46" i="78"/>
  <c r="X46" i="78"/>
  <c r="N46" i="78"/>
  <c r="L46" i="78"/>
  <c r="B46" i="78"/>
  <c r="X45" i="78"/>
  <c r="T45" i="78"/>
  <c r="Z45" i="78" s="1"/>
  <c r="P45" i="78"/>
  <c r="N45" i="78"/>
  <c r="L45" i="78"/>
  <c r="H45" i="78"/>
  <c r="D45" i="78"/>
  <c r="B45" i="78"/>
  <c r="X44" i="78"/>
  <c r="Z44" i="78" s="1"/>
  <c r="V44" i="78"/>
  <c r="N44" i="78"/>
  <c r="L44" i="78"/>
  <c r="B44" i="78"/>
  <c r="Z43" i="78"/>
  <c r="X43" i="78"/>
  <c r="N43" i="78"/>
  <c r="L43" i="78"/>
  <c r="B43" i="78"/>
  <c r="T42" i="78"/>
  <c r="P42" i="78"/>
  <c r="X42" i="78" s="1"/>
  <c r="Z42" i="78" s="1"/>
  <c r="L42" i="78"/>
  <c r="N42" i="78" s="1"/>
  <c r="H42" i="78"/>
  <c r="D42" i="78"/>
  <c r="B42" i="78"/>
  <c r="X41" i="78"/>
  <c r="Z41" i="78" s="1"/>
  <c r="R41" i="78"/>
  <c r="L41" i="78"/>
  <c r="N41" i="78" s="1"/>
  <c r="B41" i="78"/>
  <c r="X40" i="78"/>
  <c r="Z40" i="78" s="1"/>
  <c r="V40" i="78"/>
  <c r="T40" i="78"/>
  <c r="P40" i="78"/>
  <c r="H40" i="78"/>
  <c r="D40" i="78"/>
  <c r="B40" i="78"/>
  <c r="Z39" i="78"/>
  <c r="X39" i="78"/>
  <c r="N39" i="78"/>
  <c r="L39" i="78"/>
  <c r="B39" i="78"/>
  <c r="Z38" i="78"/>
  <c r="X38" i="78"/>
  <c r="N38" i="78"/>
  <c r="L38" i="78"/>
  <c r="B38" i="78"/>
  <c r="Z37" i="78"/>
  <c r="X37" i="78"/>
  <c r="V37" i="78"/>
  <c r="N37" i="78"/>
  <c r="L37" i="78"/>
  <c r="B37" i="78"/>
  <c r="Z36" i="78"/>
  <c r="X36" i="78"/>
  <c r="N36" i="78"/>
  <c r="L36" i="78"/>
  <c r="B36" i="78"/>
  <c r="Z35" i="78"/>
  <c r="X35" i="78"/>
  <c r="N35" i="78"/>
  <c r="L35" i="78"/>
  <c r="B35" i="78"/>
  <c r="Z34" i="78"/>
  <c r="X34" i="78"/>
  <c r="N34" i="78"/>
  <c r="L34" i="78"/>
  <c r="F34" i="78"/>
  <c r="B34" i="78"/>
  <c r="Z33" i="78"/>
  <c r="X33" i="78"/>
  <c r="N33" i="78"/>
  <c r="L33" i="78"/>
  <c r="B33" i="78"/>
  <c r="Z32" i="78"/>
  <c r="X32" i="78"/>
  <c r="N32" i="78"/>
  <c r="L32" i="78"/>
  <c r="B32" i="78"/>
  <c r="X31" i="78"/>
  <c r="Z31" i="78" s="1"/>
  <c r="L31" i="78"/>
  <c r="N31" i="78" s="1"/>
  <c r="B31" i="78"/>
  <c r="Z30" i="78"/>
  <c r="X30" i="78"/>
  <c r="N30" i="78"/>
  <c r="L30" i="78"/>
  <c r="B30" i="78"/>
  <c r="V29" i="78"/>
  <c r="T29" i="78"/>
  <c r="P29" i="78"/>
  <c r="X29" i="78" s="1"/>
  <c r="H29" i="78"/>
  <c r="D29" i="78"/>
  <c r="L29" i="78" s="1"/>
  <c r="N29" i="78" s="1"/>
  <c r="B29" i="78"/>
  <c r="X28" i="78"/>
  <c r="Z28" i="78" s="1"/>
  <c r="L28" i="78"/>
  <c r="N28" i="78" s="1"/>
  <c r="B28" i="78"/>
  <c r="Z27" i="78"/>
  <c r="X27" i="78"/>
  <c r="L27" i="78"/>
  <c r="N27" i="78" s="1"/>
  <c r="B27" i="78"/>
  <c r="Z26" i="78"/>
  <c r="X26" i="78"/>
  <c r="N26" i="78"/>
  <c r="L26" i="78"/>
  <c r="B26" i="78"/>
  <c r="Z25" i="78"/>
  <c r="X25" i="78"/>
  <c r="R25" i="78"/>
  <c r="N25" i="78"/>
  <c r="L25" i="78"/>
  <c r="F25" i="78"/>
  <c r="B25" i="78"/>
  <c r="X24" i="78"/>
  <c r="Z24" i="78" s="1"/>
  <c r="N24" i="78"/>
  <c r="L24" i="78"/>
  <c r="B24" i="78"/>
  <c r="X23" i="78"/>
  <c r="Z23" i="78" s="1"/>
  <c r="L23" i="78"/>
  <c r="N23" i="78" s="1"/>
  <c r="B23" i="78"/>
  <c r="Z22" i="78"/>
  <c r="X22" i="78"/>
  <c r="V22" i="78"/>
  <c r="N22" i="78"/>
  <c r="L22" i="78"/>
  <c r="B22" i="78"/>
  <c r="X21" i="78"/>
  <c r="Z21" i="78" s="1"/>
  <c r="V21" i="78"/>
  <c r="L21" i="78"/>
  <c r="N21" i="78" s="1"/>
  <c r="B21" i="78"/>
  <c r="X20" i="78"/>
  <c r="Z20" i="78" s="1"/>
  <c r="V20" i="78"/>
  <c r="L20" i="78"/>
  <c r="N20" i="78" s="1"/>
  <c r="B20" i="78"/>
  <c r="T19" i="78"/>
  <c r="R19" i="78"/>
  <c r="P19" i="78"/>
  <c r="H19" i="78"/>
  <c r="L19" i="78" s="1"/>
  <c r="D19" i="78"/>
  <c r="B19" i="78"/>
  <c r="Z18" i="78"/>
  <c r="V18" i="78"/>
  <c r="T18" i="78"/>
  <c r="R18" i="78"/>
  <c r="P18" i="78"/>
  <c r="X18" i="78" s="1"/>
  <c r="H18" i="78"/>
  <c r="F18" i="78"/>
  <c r="D18" i="78"/>
  <c r="R16" i="78"/>
  <c r="P16" i="78"/>
  <c r="X14" i="78"/>
  <c r="V14" i="78"/>
  <c r="T14" i="78"/>
  <c r="Z14" i="78" s="1"/>
  <c r="R14" i="78"/>
  <c r="P14" i="78"/>
  <c r="H14" i="78"/>
  <c r="N14" i="78" s="1"/>
  <c r="F14" i="78"/>
  <c r="D14" i="78"/>
  <c r="L14" i="78" s="1"/>
  <c r="X12" i="78"/>
  <c r="T12" i="78"/>
  <c r="T16" i="78" s="1"/>
  <c r="P12" i="78"/>
  <c r="R72" i="78" s="1"/>
  <c r="H12" i="78"/>
  <c r="D12" i="78"/>
  <c r="D6" i="78"/>
  <c r="D4" i="78"/>
  <c r="R33" i="77"/>
  <c r="J30" i="77"/>
  <c r="Z28" i="77"/>
  <c r="X28" i="77"/>
  <c r="N28" i="77"/>
  <c r="L28" i="77"/>
  <c r="R26" i="77"/>
  <c r="Z24" i="77"/>
  <c r="T24" i="77"/>
  <c r="X24" i="77" s="1"/>
  <c r="P24" i="77"/>
  <c r="J24" i="77"/>
  <c r="H24" i="77"/>
  <c r="N24" i="77" s="1"/>
  <c r="D24" i="77"/>
  <c r="L24" i="77" s="1"/>
  <c r="Z22" i="77"/>
  <c r="X22" i="77"/>
  <c r="N22" i="77"/>
  <c r="L22" i="77"/>
  <c r="B22" i="77"/>
  <c r="V21" i="77"/>
  <c r="T21" i="77"/>
  <c r="Z21" i="77" s="1"/>
  <c r="P21" i="77"/>
  <c r="N21" i="77"/>
  <c r="H21" i="77"/>
  <c r="D21" i="77"/>
  <c r="L21" i="77" s="1"/>
  <c r="B21" i="77"/>
  <c r="Z20" i="77"/>
  <c r="X20" i="77"/>
  <c r="N20" i="77"/>
  <c r="L20" i="77"/>
  <c r="J20" i="77"/>
  <c r="B20" i="77"/>
  <c r="Z19" i="77"/>
  <c r="T19" i="77"/>
  <c r="P19" i="77"/>
  <c r="X19" i="77" s="1"/>
  <c r="N19" i="77"/>
  <c r="J19" i="77"/>
  <c r="H19" i="77"/>
  <c r="L19" i="77" s="1"/>
  <c r="D19" i="77"/>
  <c r="B19" i="77"/>
  <c r="Z18" i="77"/>
  <c r="T18" i="77"/>
  <c r="X18" i="77" s="1"/>
  <c r="P18" i="77"/>
  <c r="J18" i="77"/>
  <c r="H18" i="77"/>
  <c r="N18" i="77" s="1"/>
  <c r="D18" i="77"/>
  <c r="R16" i="77"/>
  <c r="Z14" i="77"/>
  <c r="T14" i="77"/>
  <c r="T16" i="77" s="1"/>
  <c r="P14" i="77"/>
  <c r="J14" i="77"/>
  <c r="H14" i="77"/>
  <c r="N14" i="77" s="1"/>
  <c r="D14" i="77"/>
  <c r="L14" i="77" s="1"/>
  <c r="Z12" i="77"/>
  <c r="T12" i="77"/>
  <c r="V20" i="77" s="1"/>
  <c r="P12" i="77"/>
  <c r="R30" i="77" s="1"/>
  <c r="N12" i="77"/>
  <c r="H12" i="77"/>
  <c r="J33" i="77" s="1"/>
  <c r="D12" i="77"/>
  <c r="F28" i="77" s="1"/>
  <c r="D6" i="77"/>
  <c r="D4" i="77"/>
  <c r="X93" i="76"/>
  <c r="Z93" i="76" s="1"/>
  <c r="V93" i="76"/>
  <c r="L93" i="76"/>
  <c r="N93" i="76" s="1"/>
  <c r="Z89" i="76"/>
  <c r="X89" i="76"/>
  <c r="P89" i="76"/>
  <c r="N89" i="76"/>
  <c r="L89" i="76"/>
  <c r="D89" i="76"/>
  <c r="B89" i="76"/>
  <c r="T88" i="76"/>
  <c r="Z88" i="76" s="1"/>
  <c r="P88" i="76"/>
  <c r="N88" i="76"/>
  <c r="H88" i="76"/>
  <c r="D88" i="76"/>
  <c r="L88" i="76" s="1"/>
  <c r="Z86" i="76"/>
  <c r="X86" i="76"/>
  <c r="N86" i="76"/>
  <c r="L86" i="76"/>
  <c r="B86" i="76"/>
  <c r="X85" i="76"/>
  <c r="T85" i="76"/>
  <c r="Z85" i="76" s="1"/>
  <c r="P85" i="76"/>
  <c r="N85" i="76"/>
  <c r="H85" i="76"/>
  <c r="L85" i="76" s="1"/>
  <c r="D85" i="76"/>
  <c r="B85" i="76"/>
  <c r="X84" i="76"/>
  <c r="Z84" i="76" s="1"/>
  <c r="N84" i="76"/>
  <c r="L84" i="76"/>
  <c r="B84" i="76"/>
  <c r="Z83" i="76"/>
  <c r="T83" i="76"/>
  <c r="X83" i="76" s="1"/>
  <c r="P83" i="76"/>
  <c r="J83" i="76"/>
  <c r="H83" i="76"/>
  <c r="N83" i="76" s="1"/>
  <c r="D83" i="76"/>
  <c r="L83" i="76" s="1"/>
  <c r="B83" i="76"/>
  <c r="X82" i="76"/>
  <c r="Z82" i="76" s="1"/>
  <c r="N82" i="76"/>
  <c r="L82" i="76"/>
  <c r="B82" i="76"/>
  <c r="V81" i="76"/>
  <c r="T81" i="76"/>
  <c r="P81" i="76"/>
  <c r="X81" i="76" s="1"/>
  <c r="H81" i="76"/>
  <c r="N81" i="76" s="1"/>
  <c r="D81" i="76"/>
  <c r="L81" i="76" s="1"/>
  <c r="B81" i="76"/>
  <c r="Z80" i="76"/>
  <c r="X80" i="76"/>
  <c r="N80" i="76"/>
  <c r="L80" i="76"/>
  <c r="B80" i="76"/>
  <c r="Z79" i="76"/>
  <c r="X79" i="76"/>
  <c r="N79" i="76"/>
  <c r="L79" i="76"/>
  <c r="B79" i="76"/>
  <c r="Z78" i="76"/>
  <c r="X78" i="76"/>
  <c r="N78" i="76"/>
  <c r="L78" i="76"/>
  <c r="B78" i="76"/>
  <c r="X77" i="76"/>
  <c r="Z77" i="76" s="1"/>
  <c r="V77" i="76"/>
  <c r="L77" i="76"/>
  <c r="N77" i="76" s="1"/>
  <c r="B77" i="76"/>
  <c r="X76" i="76"/>
  <c r="Z76" i="76" s="1"/>
  <c r="N76" i="76"/>
  <c r="L76" i="76"/>
  <c r="B76" i="76"/>
  <c r="Z75" i="76"/>
  <c r="X75" i="76"/>
  <c r="N75" i="76"/>
  <c r="L75" i="76"/>
  <c r="B75" i="76"/>
  <c r="Z74" i="76"/>
  <c r="X74" i="76"/>
  <c r="N74" i="76"/>
  <c r="L74" i="76"/>
  <c r="F74" i="76"/>
  <c r="B74" i="76"/>
  <c r="X73" i="76"/>
  <c r="Z73" i="76" s="1"/>
  <c r="L73" i="76"/>
  <c r="N73" i="76" s="1"/>
  <c r="J73" i="76"/>
  <c r="B73" i="76"/>
  <c r="T72" i="76"/>
  <c r="P72" i="76"/>
  <c r="X72" i="76" s="1"/>
  <c r="Z72" i="76" s="1"/>
  <c r="H72" i="76"/>
  <c r="D72" i="76"/>
  <c r="L72" i="76" s="1"/>
  <c r="N72" i="76" s="1"/>
  <c r="B72" i="76"/>
  <c r="Z71" i="76"/>
  <c r="X71" i="76"/>
  <c r="N71" i="76"/>
  <c r="L71" i="76"/>
  <c r="B71" i="76"/>
  <c r="T70" i="76"/>
  <c r="P70" i="76"/>
  <c r="X70" i="76" s="1"/>
  <c r="Z70" i="76" s="1"/>
  <c r="L70" i="76"/>
  <c r="N70" i="76" s="1"/>
  <c r="H70" i="76"/>
  <c r="D70" i="76"/>
  <c r="B70" i="76"/>
  <c r="X69" i="76"/>
  <c r="Z69" i="76" s="1"/>
  <c r="V69" i="76"/>
  <c r="L69" i="76"/>
  <c r="N69" i="76" s="1"/>
  <c r="B69" i="76"/>
  <c r="X68" i="76"/>
  <c r="Z68" i="76" s="1"/>
  <c r="N68" i="76"/>
  <c r="L68" i="76"/>
  <c r="B68" i="76"/>
  <c r="Z67" i="76"/>
  <c r="X67" i="76"/>
  <c r="N67" i="76"/>
  <c r="L67" i="76"/>
  <c r="B67" i="76"/>
  <c r="Z66" i="76"/>
  <c r="X66" i="76"/>
  <c r="L66" i="76"/>
  <c r="N66" i="76" s="1"/>
  <c r="B66" i="76"/>
  <c r="X65" i="76"/>
  <c r="T65" i="76"/>
  <c r="Z65" i="76" s="1"/>
  <c r="P65" i="76"/>
  <c r="H65" i="76"/>
  <c r="L65" i="76" s="1"/>
  <c r="N65" i="76" s="1"/>
  <c r="D65" i="76"/>
  <c r="B65" i="76"/>
  <c r="X64" i="76"/>
  <c r="Z64" i="76" s="1"/>
  <c r="N64" i="76"/>
  <c r="L64" i="76"/>
  <c r="B64" i="76"/>
  <c r="Z63" i="76"/>
  <c r="X63" i="76"/>
  <c r="N63" i="76"/>
  <c r="L63" i="76"/>
  <c r="B63" i="76"/>
  <c r="T62" i="76"/>
  <c r="P62" i="76"/>
  <c r="X62" i="76" s="1"/>
  <c r="Z62" i="76" s="1"/>
  <c r="L62" i="76"/>
  <c r="N62" i="76" s="1"/>
  <c r="H62" i="76"/>
  <c r="D62" i="76"/>
  <c r="B62" i="76"/>
  <c r="X61" i="76"/>
  <c r="Z61" i="76" s="1"/>
  <c r="V61" i="76"/>
  <c r="L61" i="76"/>
  <c r="N61" i="76" s="1"/>
  <c r="B61" i="76"/>
  <c r="X60" i="76"/>
  <c r="Z60" i="76" s="1"/>
  <c r="T60" i="76"/>
  <c r="P60" i="76"/>
  <c r="H60" i="76"/>
  <c r="D60" i="76"/>
  <c r="B60" i="76"/>
  <c r="Z59" i="76"/>
  <c r="X59" i="76"/>
  <c r="N59" i="76"/>
  <c r="L59" i="76"/>
  <c r="B59" i="76"/>
  <c r="T58" i="76"/>
  <c r="P58" i="76"/>
  <c r="N58" i="76"/>
  <c r="H58" i="76"/>
  <c r="D58" i="76"/>
  <c r="L58" i="76" s="1"/>
  <c r="B58" i="76"/>
  <c r="X57" i="76"/>
  <c r="Z57" i="76" s="1"/>
  <c r="L57" i="76"/>
  <c r="N57" i="76" s="1"/>
  <c r="J57" i="76"/>
  <c r="B57" i="76"/>
  <c r="T56" i="76"/>
  <c r="P56" i="76"/>
  <c r="X56" i="76" s="1"/>
  <c r="Z56" i="76" s="1"/>
  <c r="H56" i="76"/>
  <c r="D56" i="76"/>
  <c r="L56" i="76" s="1"/>
  <c r="B56" i="76"/>
  <c r="Z55" i="76"/>
  <c r="X55" i="76"/>
  <c r="N55" i="76"/>
  <c r="L55" i="76"/>
  <c r="B55" i="76"/>
  <c r="Z54" i="76"/>
  <c r="X54" i="76"/>
  <c r="N54" i="76"/>
  <c r="L54" i="76"/>
  <c r="B54" i="76"/>
  <c r="X53" i="76"/>
  <c r="Z53" i="76" s="1"/>
  <c r="T53" i="76"/>
  <c r="P53" i="76"/>
  <c r="N53" i="76"/>
  <c r="H53" i="76"/>
  <c r="L53" i="76" s="1"/>
  <c r="D53" i="76"/>
  <c r="B53" i="76"/>
  <c r="X52" i="76"/>
  <c r="Z52" i="76" s="1"/>
  <c r="N52" i="76"/>
  <c r="L52" i="76"/>
  <c r="B52" i="76"/>
  <c r="Z51" i="76"/>
  <c r="T51" i="76"/>
  <c r="X51" i="76" s="1"/>
  <c r="P51" i="76"/>
  <c r="J51" i="76"/>
  <c r="H51" i="76"/>
  <c r="D51" i="76"/>
  <c r="L51" i="76" s="1"/>
  <c r="N51" i="76" s="1"/>
  <c r="B51" i="76"/>
  <c r="Z50" i="76"/>
  <c r="X50" i="76"/>
  <c r="N50" i="76"/>
  <c r="L50" i="76"/>
  <c r="B50" i="76"/>
  <c r="Z49" i="76"/>
  <c r="V49" i="76"/>
  <c r="T49" i="76"/>
  <c r="P49" i="76"/>
  <c r="X49" i="76" s="1"/>
  <c r="H49" i="76"/>
  <c r="N49" i="76" s="1"/>
  <c r="D49" i="76"/>
  <c r="L49" i="76" s="1"/>
  <c r="B49" i="76"/>
  <c r="Z48" i="76"/>
  <c r="X48" i="76"/>
  <c r="N48" i="76"/>
  <c r="L48" i="76"/>
  <c r="B48" i="76"/>
  <c r="T47" i="76"/>
  <c r="Z47" i="76" s="1"/>
  <c r="P47" i="76"/>
  <c r="X47" i="76" s="1"/>
  <c r="L47" i="76"/>
  <c r="H47" i="76"/>
  <c r="N47" i="76" s="1"/>
  <c r="D47" i="76"/>
  <c r="B47" i="76"/>
  <c r="Z46" i="76"/>
  <c r="X46" i="76"/>
  <c r="N46" i="76"/>
  <c r="L46" i="76"/>
  <c r="B46" i="76"/>
  <c r="Z45" i="76"/>
  <c r="X45" i="76"/>
  <c r="N45" i="76"/>
  <c r="L45" i="76"/>
  <c r="J45" i="76"/>
  <c r="B45" i="76"/>
  <c r="Z44" i="76"/>
  <c r="X44" i="76"/>
  <c r="L44" i="76"/>
  <c r="N44" i="76" s="1"/>
  <c r="B44" i="76"/>
  <c r="Z43" i="76"/>
  <c r="X43" i="76"/>
  <c r="N43" i="76"/>
  <c r="L43" i="76"/>
  <c r="B43" i="76"/>
  <c r="Z42" i="76"/>
  <c r="X42" i="76"/>
  <c r="R42" i="76"/>
  <c r="N42" i="76"/>
  <c r="L42" i="76"/>
  <c r="B42" i="76"/>
  <c r="X41" i="76"/>
  <c r="Z41" i="76" s="1"/>
  <c r="V41" i="76"/>
  <c r="L41" i="76"/>
  <c r="N41" i="76" s="1"/>
  <c r="B41" i="76"/>
  <c r="Z40" i="76"/>
  <c r="X40" i="76"/>
  <c r="N40" i="76"/>
  <c r="L40" i="76"/>
  <c r="B40" i="76"/>
  <c r="Z39" i="76"/>
  <c r="X39" i="76"/>
  <c r="N39" i="76"/>
  <c r="L39" i="76"/>
  <c r="B39" i="76"/>
  <c r="X38" i="76"/>
  <c r="Z38" i="76" s="1"/>
  <c r="L38" i="76"/>
  <c r="N38" i="76" s="1"/>
  <c r="B38" i="76"/>
  <c r="Z37" i="76"/>
  <c r="X37" i="76"/>
  <c r="N37" i="76"/>
  <c r="L37" i="76"/>
  <c r="J37" i="76"/>
  <c r="B37" i="76"/>
  <c r="T36" i="76"/>
  <c r="P36" i="76"/>
  <c r="X36" i="76" s="1"/>
  <c r="Z36" i="76" s="1"/>
  <c r="H36" i="76"/>
  <c r="N36" i="76" s="1"/>
  <c r="D36" i="76"/>
  <c r="L36" i="76" s="1"/>
  <c r="B36" i="76"/>
  <c r="Z35" i="76"/>
  <c r="X35" i="76"/>
  <c r="N35" i="76"/>
  <c r="L35" i="76"/>
  <c r="B35" i="76"/>
  <c r="X34" i="76"/>
  <c r="Z34" i="76" s="1"/>
  <c r="L34" i="76"/>
  <c r="N34" i="76" s="1"/>
  <c r="F34" i="76"/>
  <c r="B34" i="76"/>
  <c r="X33" i="76"/>
  <c r="Z33" i="76" s="1"/>
  <c r="L33" i="76"/>
  <c r="N33" i="76" s="1"/>
  <c r="J33" i="76"/>
  <c r="B33" i="76"/>
  <c r="Z32" i="76"/>
  <c r="X32" i="76"/>
  <c r="N32" i="76"/>
  <c r="L32" i="76"/>
  <c r="B32" i="76"/>
  <c r="Z31" i="76"/>
  <c r="X31" i="76"/>
  <c r="N31" i="76"/>
  <c r="L31" i="76"/>
  <c r="B31" i="76"/>
  <c r="X30" i="76"/>
  <c r="Z30" i="76" s="1"/>
  <c r="L30" i="76"/>
  <c r="N30" i="76" s="1"/>
  <c r="B30" i="76"/>
  <c r="X29" i="76"/>
  <c r="Z29" i="76" s="1"/>
  <c r="V29" i="76"/>
  <c r="L29" i="76"/>
  <c r="N29" i="76" s="1"/>
  <c r="B29" i="76"/>
  <c r="X28" i="76"/>
  <c r="Z28" i="76" s="1"/>
  <c r="N28" i="76"/>
  <c r="L28" i="76"/>
  <c r="B28" i="76"/>
  <c r="Z27" i="76"/>
  <c r="X27" i="76"/>
  <c r="N27" i="76"/>
  <c r="L27" i="76"/>
  <c r="B27" i="76"/>
  <c r="T26" i="76"/>
  <c r="Z26" i="76" s="1"/>
  <c r="P26" i="76"/>
  <c r="X26" i="76" s="1"/>
  <c r="L26" i="76"/>
  <c r="H26" i="76"/>
  <c r="D26" i="76"/>
  <c r="B26" i="76"/>
  <c r="V25" i="76"/>
  <c r="T25" i="76"/>
  <c r="P25" i="76"/>
  <c r="H25" i="76"/>
  <c r="D25" i="76"/>
  <c r="Z21" i="76"/>
  <c r="X21" i="76"/>
  <c r="V21" i="76"/>
  <c r="N21" i="76"/>
  <c r="L21" i="76"/>
  <c r="B21" i="76"/>
  <c r="Z20" i="76"/>
  <c r="X20" i="76"/>
  <c r="N20" i="76"/>
  <c r="L20" i="76"/>
  <c r="B20" i="76"/>
  <c r="Z19" i="76"/>
  <c r="X19" i="76"/>
  <c r="N19" i="76"/>
  <c r="L19" i="76"/>
  <c r="B19" i="76"/>
  <c r="T18" i="76"/>
  <c r="P18" i="76"/>
  <c r="X18" i="76" s="1"/>
  <c r="Z18" i="76" s="1"/>
  <c r="L18" i="76"/>
  <c r="N18" i="76" s="1"/>
  <c r="J18" i="76"/>
  <c r="H18" i="76"/>
  <c r="D18" i="76"/>
  <c r="Z16" i="76"/>
  <c r="P16" i="76"/>
  <c r="P12" i="76" s="1"/>
  <c r="N16" i="76"/>
  <c r="L16" i="76"/>
  <c r="D16" i="76"/>
  <c r="B16" i="76"/>
  <c r="P15" i="76"/>
  <c r="X15" i="76" s="1"/>
  <c r="Z15" i="76" s="1"/>
  <c r="L15" i="76"/>
  <c r="N15" i="76" s="1"/>
  <c r="D15" i="76"/>
  <c r="B15" i="76"/>
  <c r="Z14" i="76"/>
  <c r="X14" i="76"/>
  <c r="P14" i="76"/>
  <c r="N14" i="76"/>
  <c r="D14" i="76"/>
  <c r="L14" i="76" s="1"/>
  <c r="B14" i="76"/>
  <c r="X13" i="76"/>
  <c r="Z13" i="76" s="1"/>
  <c r="P13" i="76"/>
  <c r="D13" i="76"/>
  <c r="L13" i="76" s="1"/>
  <c r="N13" i="76" s="1"/>
  <c r="B13" i="76"/>
  <c r="T12" i="76"/>
  <c r="V86" i="76" s="1"/>
  <c r="H12" i="76"/>
  <c r="J82" i="76" s="1"/>
  <c r="D12" i="76"/>
  <c r="F54" i="76" s="1"/>
  <c r="D6" i="76"/>
  <c r="D4" i="76"/>
  <c r="Z32" i="75"/>
  <c r="X32" i="75"/>
  <c r="L32" i="75"/>
  <c r="N32" i="75" s="1"/>
  <c r="Z28" i="75"/>
  <c r="X28" i="75"/>
  <c r="T28" i="75"/>
  <c r="P28" i="75"/>
  <c r="H28" i="75"/>
  <c r="N28" i="75" s="1"/>
  <c r="D28" i="75"/>
  <c r="Z26" i="75"/>
  <c r="X26" i="75"/>
  <c r="L26" i="75"/>
  <c r="N26" i="75" s="1"/>
  <c r="B26" i="75"/>
  <c r="T25" i="75"/>
  <c r="Z25" i="75" s="1"/>
  <c r="P25" i="75"/>
  <c r="X25" i="75" s="1"/>
  <c r="L25" i="75"/>
  <c r="N25" i="75" s="1"/>
  <c r="H25" i="75"/>
  <c r="D25" i="75"/>
  <c r="B25" i="75"/>
  <c r="Z24" i="75"/>
  <c r="X24" i="75"/>
  <c r="T24" i="75"/>
  <c r="P24" i="75"/>
  <c r="L24" i="75"/>
  <c r="N24" i="75" s="1"/>
  <c r="H24" i="75"/>
  <c r="D24" i="75"/>
  <c r="T22" i="75"/>
  <c r="D22" i="75"/>
  <c r="Z20" i="75"/>
  <c r="X20" i="75"/>
  <c r="N20" i="75"/>
  <c r="L20" i="75"/>
  <c r="F20" i="75"/>
  <c r="B20" i="75"/>
  <c r="Z19" i="75"/>
  <c r="X19" i="75"/>
  <c r="N19" i="75"/>
  <c r="L19" i="75"/>
  <c r="J19" i="75"/>
  <c r="B19" i="75"/>
  <c r="Z18" i="75"/>
  <c r="X18" i="75"/>
  <c r="L18" i="75"/>
  <c r="N18" i="75" s="1"/>
  <c r="B18" i="75"/>
  <c r="T17" i="75"/>
  <c r="Z17" i="75" s="1"/>
  <c r="P17" i="75"/>
  <c r="X17" i="75" s="1"/>
  <c r="L17" i="75"/>
  <c r="N17" i="75" s="1"/>
  <c r="H17" i="75"/>
  <c r="D17" i="75"/>
  <c r="Z15" i="75"/>
  <c r="X15" i="75"/>
  <c r="P15" i="75"/>
  <c r="N15" i="75"/>
  <c r="L15" i="75"/>
  <c r="D15" i="75"/>
  <c r="B15" i="75"/>
  <c r="Z14" i="75"/>
  <c r="X14" i="75"/>
  <c r="P14" i="75"/>
  <c r="N14" i="75"/>
  <c r="L14" i="75"/>
  <c r="D14" i="75"/>
  <c r="B14" i="75"/>
  <c r="P13" i="75"/>
  <c r="X13" i="75" s="1"/>
  <c r="Z13" i="75" s="1"/>
  <c r="D13" i="75"/>
  <c r="D12" i="75" s="1"/>
  <c r="B13" i="75"/>
  <c r="T12" i="75"/>
  <c r="V24" i="75" s="1"/>
  <c r="P12" i="75"/>
  <c r="H12" i="75"/>
  <c r="D6" i="75"/>
  <c r="D4" i="75"/>
  <c r="X92" i="74"/>
  <c r="Z92" i="74" s="1"/>
  <c r="N92" i="74"/>
  <c r="L92" i="74"/>
  <c r="T88" i="74"/>
  <c r="Z88" i="74" s="1"/>
  <c r="P88" i="74"/>
  <c r="X88" i="74" s="1"/>
  <c r="N88" i="74"/>
  <c r="H88" i="74"/>
  <c r="D88" i="74"/>
  <c r="L88" i="74" s="1"/>
  <c r="X86" i="74"/>
  <c r="Z86" i="74" s="1"/>
  <c r="L86" i="74"/>
  <c r="N86" i="74" s="1"/>
  <c r="B86" i="74"/>
  <c r="Z85" i="74"/>
  <c r="X85" i="74"/>
  <c r="T85" i="74"/>
  <c r="P85" i="74"/>
  <c r="J85" i="74"/>
  <c r="H85" i="74"/>
  <c r="D85" i="74"/>
  <c r="L85" i="74" s="1"/>
  <c r="B85" i="74"/>
  <c r="X84" i="74"/>
  <c r="Z84" i="74" s="1"/>
  <c r="N84" i="74"/>
  <c r="L84" i="74"/>
  <c r="B84" i="74"/>
  <c r="Z83" i="74"/>
  <c r="X83" i="74"/>
  <c r="V83" i="74"/>
  <c r="N83" i="74"/>
  <c r="L83" i="74"/>
  <c r="B83" i="74"/>
  <c r="X82" i="74"/>
  <c r="T82" i="74"/>
  <c r="Z82" i="74" s="1"/>
  <c r="P82" i="74"/>
  <c r="H82" i="74"/>
  <c r="D82" i="74"/>
  <c r="B82" i="74"/>
  <c r="Z81" i="74"/>
  <c r="X81" i="74"/>
  <c r="N81" i="74"/>
  <c r="L81" i="74"/>
  <c r="B81" i="74"/>
  <c r="T80" i="74"/>
  <c r="P80" i="74"/>
  <c r="H80" i="74"/>
  <c r="N80" i="74" s="1"/>
  <c r="D80" i="74"/>
  <c r="L80" i="74" s="1"/>
  <c r="B80" i="74"/>
  <c r="Z79" i="74"/>
  <c r="X79" i="74"/>
  <c r="N79" i="74"/>
  <c r="L79" i="74"/>
  <c r="J79" i="74"/>
  <c r="B79" i="74"/>
  <c r="X78" i="74"/>
  <c r="Z78" i="74" s="1"/>
  <c r="L78" i="74"/>
  <c r="N78" i="74" s="1"/>
  <c r="B78" i="74"/>
  <c r="Z77" i="74"/>
  <c r="X77" i="74"/>
  <c r="N77" i="74"/>
  <c r="L77" i="74"/>
  <c r="B77" i="74"/>
  <c r="T76" i="74"/>
  <c r="P76" i="74"/>
  <c r="X76" i="74" s="1"/>
  <c r="H76" i="74"/>
  <c r="D76" i="74"/>
  <c r="L76" i="74" s="1"/>
  <c r="N76" i="74" s="1"/>
  <c r="B76" i="74"/>
  <c r="X75" i="74"/>
  <c r="Z75" i="74" s="1"/>
  <c r="N75" i="74"/>
  <c r="L75" i="74"/>
  <c r="J75" i="74"/>
  <c r="B75" i="74"/>
  <c r="X74" i="74"/>
  <c r="Z74" i="74" s="1"/>
  <c r="N74" i="74"/>
  <c r="L74" i="74"/>
  <c r="B74" i="74"/>
  <c r="T73" i="74"/>
  <c r="P73" i="74"/>
  <c r="X73" i="74" s="1"/>
  <c r="Z73" i="74" s="1"/>
  <c r="L73" i="74"/>
  <c r="N73" i="74" s="1"/>
  <c r="H73" i="74"/>
  <c r="D73" i="74"/>
  <c r="B73" i="74"/>
  <c r="Z72" i="74"/>
  <c r="X72" i="74"/>
  <c r="N72" i="74"/>
  <c r="L72" i="74"/>
  <c r="B72" i="74"/>
  <c r="X71" i="74"/>
  <c r="Z71" i="74" s="1"/>
  <c r="L71" i="74"/>
  <c r="N71" i="74" s="1"/>
  <c r="J71" i="74"/>
  <c r="B71" i="74"/>
  <c r="T70" i="74"/>
  <c r="P70" i="74"/>
  <c r="X70" i="74" s="1"/>
  <c r="Z70" i="74" s="1"/>
  <c r="L70" i="74"/>
  <c r="N70" i="74" s="1"/>
  <c r="H70" i="74"/>
  <c r="D70" i="74"/>
  <c r="B70" i="74"/>
  <c r="Z69" i="74"/>
  <c r="X69" i="74"/>
  <c r="N69" i="74"/>
  <c r="L69" i="74"/>
  <c r="B69" i="74"/>
  <c r="X68" i="74"/>
  <c r="Z68" i="74" s="1"/>
  <c r="L68" i="74"/>
  <c r="N68" i="74" s="1"/>
  <c r="B68" i="74"/>
  <c r="Z67" i="74"/>
  <c r="X67" i="74"/>
  <c r="T67" i="74"/>
  <c r="P67" i="74"/>
  <c r="N67" i="74"/>
  <c r="L67" i="74"/>
  <c r="H67" i="74"/>
  <c r="D67" i="74"/>
  <c r="B67" i="74"/>
  <c r="X66" i="74"/>
  <c r="Z66" i="74" s="1"/>
  <c r="N66" i="74"/>
  <c r="L66" i="74"/>
  <c r="B66" i="74"/>
  <c r="Z65" i="74"/>
  <c r="X65" i="74"/>
  <c r="T65" i="74"/>
  <c r="P65" i="74"/>
  <c r="J65" i="74"/>
  <c r="H65" i="74"/>
  <c r="D65" i="74"/>
  <c r="L65" i="74" s="1"/>
  <c r="B65" i="74"/>
  <c r="X64" i="74"/>
  <c r="Z64" i="74" s="1"/>
  <c r="N64" i="74"/>
  <c r="L64" i="74"/>
  <c r="B64" i="74"/>
  <c r="V63" i="74"/>
  <c r="T63" i="74"/>
  <c r="P63" i="74"/>
  <c r="X63" i="74" s="1"/>
  <c r="N63" i="74"/>
  <c r="H63" i="74"/>
  <c r="D63" i="74"/>
  <c r="L63" i="74" s="1"/>
  <c r="B63" i="74"/>
  <c r="Z62" i="74"/>
  <c r="X62" i="74"/>
  <c r="L62" i="74"/>
  <c r="N62" i="74" s="1"/>
  <c r="B62" i="74"/>
  <c r="T61" i="74"/>
  <c r="Z61" i="74" s="1"/>
  <c r="P61" i="74"/>
  <c r="X61" i="74" s="1"/>
  <c r="L61" i="74"/>
  <c r="N61" i="74" s="1"/>
  <c r="H61" i="74"/>
  <c r="D61" i="74"/>
  <c r="B61" i="74"/>
  <c r="Z60" i="74"/>
  <c r="X60" i="74"/>
  <c r="L60" i="74"/>
  <c r="N60" i="74" s="1"/>
  <c r="B60" i="74"/>
  <c r="X59" i="74"/>
  <c r="Z59" i="74" s="1"/>
  <c r="T59" i="74"/>
  <c r="P59" i="74"/>
  <c r="N59" i="74"/>
  <c r="L59" i="74"/>
  <c r="H59" i="74"/>
  <c r="D59" i="74"/>
  <c r="B59" i="74"/>
  <c r="Z58" i="74"/>
  <c r="X58" i="74"/>
  <c r="N58" i="74"/>
  <c r="L58" i="74"/>
  <c r="B58" i="74"/>
  <c r="Z57" i="74"/>
  <c r="X57" i="74"/>
  <c r="N57" i="74"/>
  <c r="L57" i="74"/>
  <c r="B57" i="74"/>
  <c r="T56" i="74"/>
  <c r="P56" i="74"/>
  <c r="X56" i="74" s="1"/>
  <c r="Z56" i="74" s="1"/>
  <c r="L56" i="74"/>
  <c r="H56" i="74"/>
  <c r="N56" i="74" s="1"/>
  <c r="D56" i="74"/>
  <c r="B56" i="74"/>
  <c r="X55" i="74"/>
  <c r="Z55" i="74" s="1"/>
  <c r="V55" i="74"/>
  <c r="L55" i="74"/>
  <c r="N55" i="74" s="1"/>
  <c r="B55" i="74"/>
  <c r="X54" i="74"/>
  <c r="T54" i="74"/>
  <c r="Z54" i="74" s="1"/>
  <c r="P54" i="74"/>
  <c r="H54" i="74"/>
  <c r="D54" i="74"/>
  <c r="B54" i="74"/>
  <c r="Z53" i="74"/>
  <c r="X53" i="74"/>
  <c r="N53" i="74"/>
  <c r="L53" i="74"/>
  <c r="B53" i="74"/>
  <c r="T52" i="74"/>
  <c r="P52" i="74"/>
  <c r="H52" i="74"/>
  <c r="D52" i="74"/>
  <c r="L52" i="74" s="1"/>
  <c r="B52" i="74"/>
  <c r="Z51" i="74"/>
  <c r="X51" i="74"/>
  <c r="N51" i="74"/>
  <c r="L51" i="74"/>
  <c r="J51" i="74"/>
  <c r="B51" i="74"/>
  <c r="T50" i="74"/>
  <c r="P50" i="74"/>
  <c r="X50" i="74" s="1"/>
  <c r="L50" i="74"/>
  <c r="H50" i="74"/>
  <c r="N50" i="74" s="1"/>
  <c r="D50" i="74"/>
  <c r="B50" i="74"/>
  <c r="Z49" i="74"/>
  <c r="X49" i="74"/>
  <c r="N49" i="74"/>
  <c r="L49" i="74"/>
  <c r="B49" i="74"/>
  <c r="X48" i="74"/>
  <c r="T48" i="74"/>
  <c r="Z48" i="74" s="1"/>
  <c r="P48" i="74"/>
  <c r="L48" i="74"/>
  <c r="H48" i="74"/>
  <c r="N48" i="74" s="1"/>
  <c r="D48" i="74"/>
  <c r="B48" i="74"/>
  <c r="Z47" i="74"/>
  <c r="X47" i="74"/>
  <c r="V47" i="74"/>
  <c r="N47" i="74"/>
  <c r="L47" i="74"/>
  <c r="B47" i="74"/>
  <c r="Z46" i="74"/>
  <c r="X46" i="74"/>
  <c r="N46" i="74"/>
  <c r="L46" i="74"/>
  <c r="B46" i="74"/>
  <c r="Z45" i="74"/>
  <c r="X45" i="74"/>
  <c r="N45" i="74"/>
  <c r="L45" i="74"/>
  <c r="B45" i="74"/>
  <c r="X44" i="74"/>
  <c r="Z44" i="74" s="1"/>
  <c r="N44" i="74"/>
  <c r="L44" i="74"/>
  <c r="B44" i="74"/>
  <c r="Z43" i="74"/>
  <c r="X43" i="74"/>
  <c r="N43" i="74"/>
  <c r="L43" i="74"/>
  <c r="J43" i="74"/>
  <c r="B43" i="74"/>
  <c r="Z42" i="74"/>
  <c r="X42" i="74"/>
  <c r="N42" i="74"/>
  <c r="L42" i="74"/>
  <c r="B42" i="74"/>
  <c r="Z41" i="74"/>
  <c r="X41" i="74"/>
  <c r="N41" i="74"/>
  <c r="L41" i="74"/>
  <c r="B41" i="74"/>
  <c r="Z40" i="74"/>
  <c r="X40" i="74"/>
  <c r="N40" i="74"/>
  <c r="L40" i="74"/>
  <c r="B40" i="74"/>
  <c r="Z39" i="74"/>
  <c r="X39" i="74"/>
  <c r="V39" i="74"/>
  <c r="N39" i="74"/>
  <c r="L39" i="74"/>
  <c r="B39" i="74"/>
  <c r="Z38" i="74"/>
  <c r="X38" i="74"/>
  <c r="N38" i="74"/>
  <c r="L38" i="74"/>
  <c r="B38" i="74"/>
  <c r="Z37" i="74"/>
  <c r="X37" i="74"/>
  <c r="T37" i="74"/>
  <c r="P37" i="74"/>
  <c r="J37" i="74"/>
  <c r="H37" i="74"/>
  <c r="N37" i="74" s="1"/>
  <c r="D37" i="74"/>
  <c r="L37" i="74" s="1"/>
  <c r="B37" i="74"/>
  <c r="Z36" i="74"/>
  <c r="X36" i="74"/>
  <c r="N36" i="74"/>
  <c r="L36" i="74"/>
  <c r="B36" i="74"/>
  <c r="Z35" i="74"/>
  <c r="X35" i="74"/>
  <c r="V35" i="74"/>
  <c r="N35" i="74"/>
  <c r="L35" i="74"/>
  <c r="B35" i="74"/>
  <c r="X34" i="74"/>
  <c r="Z34" i="74" s="1"/>
  <c r="L34" i="74"/>
  <c r="N34" i="74" s="1"/>
  <c r="B34" i="74"/>
  <c r="Z33" i="74"/>
  <c r="X33" i="74"/>
  <c r="N33" i="74"/>
  <c r="L33" i="74"/>
  <c r="B33" i="74"/>
  <c r="X32" i="74"/>
  <c r="Z32" i="74" s="1"/>
  <c r="L32" i="74"/>
  <c r="N32" i="74" s="1"/>
  <c r="B32" i="74"/>
  <c r="Z31" i="74"/>
  <c r="X31" i="74"/>
  <c r="N31" i="74"/>
  <c r="L31" i="74"/>
  <c r="J31" i="74"/>
  <c r="B31" i="74"/>
  <c r="X30" i="74"/>
  <c r="Z30" i="74" s="1"/>
  <c r="L30" i="74"/>
  <c r="N30" i="74" s="1"/>
  <c r="B30" i="74"/>
  <c r="Z29" i="74"/>
  <c r="X29" i="74"/>
  <c r="N29" i="74"/>
  <c r="L29" i="74"/>
  <c r="B29" i="74"/>
  <c r="X28" i="74"/>
  <c r="Z28" i="74" s="1"/>
  <c r="L28" i="74"/>
  <c r="N28" i="74" s="1"/>
  <c r="B28" i="74"/>
  <c r="V27" i="74"/>
  <c r="T27" i="74"/>
  <c r="Z27" i="74" s="1"/>
  <c r="P27" i="74"/>
  <c r="X27" i="74" s="1"/>
  <c r="H27" i="74"/>
  <c r="D27" i="74"/>
  <c r="L27" i="74" s="1"/>
  <c r="N27" i="74" s="1"/>
  <c r="B27" i="74"/>
  <c r="T26" i="74"/>
  <c r="P26" i="74"/>
  <c r="H26" i="74"/>
  <c r="D26" i="74"/>
  <c r="L26" i="74" s="1"/>
  <c r="Z22" i="74"/>
  <c r="X22" i="74"/>
  <c r="N22" i="74"/>
  <c r="L22" i="74"/>
  <c r="B22" i="74"/>
  <c r="Z21" i="74"/>
  <c r="X21" i="74"/>
  <c r="V21" i="74"/>
  <c r="N21" i="74"/>
  <c r="L21" i="74"/>
  <c r="B21" i="74"/>
  <c r="Z20" i="74"/>
  <c r="X20" i="74"/>
  <c r="N20" i="74"/>
  <c r="L20" i="74"/>
  <c r="B20" i="74"/>
  <c r="Z19" i="74"/>
  <c r="X19" i="74"/>
  <c r="V19" i="74"/>
  <c r="N19" i="74"/>
  <c r="L19" i="74"/>
  <c r="J19" i="74"/>
  <c r="B19" i="74"/>
  <c r="X18" i="74"/>
  <c r="T18" i="74"/>
  <c r="Z18" i="74" s="1"/>
  <c r="P18" i="74"/>
  <c r="L18" i="74"/>
  <c r="H18" i="74"/>
  <c r="D18" i="74"/>
  <c r="Z16" i="74"/>
  <c r="X16" i="74"/>
  <c r="P16" i="74"/>
  <c r="N16" i="74"/>
  <c r="D16" i="74"/>
  <c r="B16" i="74"/>
  <c r="Z15" i="74"/>
  <c r="P15" i="74"/>
  <c r="X15" i="74" s="1"/>
  <c r="N15" i="74"/>
  <c r="L15" i="74"/>
  <c r="D15" i="74"/>
  <c r="B15" i="74"/>
  <c r="Z14" i="74"/>
  <c r="X14" i="74"/>
  <c r="P14" i="74"/>
  <c r="N14" i="74"/>
  <c r="D14" i="74"/>
  <c r="L14" i="74" s="1"/>
  <c r="B14" i="74"/>
  <c r="P13" i="74"/>
  <c r="X13" i="74" s="1"/>
  <c r="Z13" i="74" s="1"/>
  <c r="L13" i="74"/>
  <c r="N13" i="74" s="1"/>
  <c r="D13" i="74"/>
  <c r="B13" i="74"/>
  <c r="T12" i="74"/>
  <c r="V72" i="74" s="1"/>
  <c r="H12" i="74"/>
  <c r="D6" i="74"/>
  <c r="D4" i="74"/>
  <c r="X86" i="73"/>
  <c r="Z86" i="73" s="1"/>
  <c r="L86" i="73"/>
  <c r="N86" i="73" s="1"/>
  <c r="T82" i="73"/>
  <c r="Z82" i="73" s="1"/>
  <c r="P82" i="73"/>
  <c r="H82" i="73"/>
  <c r="N82" i="73" s="1"/>
  <c r="D82" i="73"/>
  <c r="L82" i="73" s="1"/>
  <c r="Z80" i="73"/>
  <c r="X80" i="73"/>
  <c r="N80" i="73"/>
  <c r="L80" i="73"/>
  <c r="B80" i="73"/>
  <c r="Z79" i="73"/>
  <c r="T79" i="73"/>
  <c r="X79" i="73" s="1"/>
  <c r="P79" i="73"/>
  <c r="N79" i="73"/>
  <c r="H79" i="73"/>
  <c r="D79" i="73"/>
  <c r="L79" i="73" s="1"/>
  <c r="B79" i="73"/>
  <c r="X78" i="73"/>
  <c r="Z78" i="73" s="1"/>
  <c r="L78" i="73"/>
  <c r="N78" i="73" s="1"/>
  <c r="B78" i="73"/>
  <c r="Z77" i="73"/>
  <c r="X77" i="73"/>
  <c r="N77" i="73"/>
  <c r="L77" i="73"/>
  <c r="B77" i="73"/>
  <c r="T76" i="73"/>
  <c r="P76" i="73"/>
  <c r="X76" i="73" s="1"/>
  <c r="L76" i="73"/>
  <c r="H76" i="73"/>
  <c r="D76" i="73"/>
  <c r="B76" i="73"/>
  <c r="Z75" i="73"/>
  <c r="X75" i="73"/>
  <c r="N75" i="73"/>
  <c r="L75" i="73"/>
  <c r="B75" i="73"/>
  <c r="X74" i="73"/>
  <c r="Z74" i="73" s="1"/>
  <c r="V74" i="73"/>
  <c r="N74" i="73"/>
  <c r="L74" i="73"/>
  <c r="B74" i="73"/>
  <c r="Z73" i="73"/>
  <c r="X73" i="73"/>
  <c r="N73" i="73"/>
  <c r="L73" i="73"/>
  <c r="B73" i="73"/>
  <c r="Z72" i="73"/>
  <c r="X72" i="73"/>
  <c r="N72" i="73"/>
  <c r="L72" i="73"/>
  <c r="B72" i="73"/>
  <c r="Z71" i="73"/>
  <c r="X71" i="73"/>
  <c r="N71" i="73"/>
  <c r="L71" i="73"/>
  <c r="B71" i="73"/>
  <c r="T70" i="73"/>
  <c r="P70" i="73"/>
  <c r="X70" i="73" s="1"/>
  <c r="Z70" i="73" s="1"/>
  <c r="N70" i="73"/>
  <c r="L70" i="73"/>
  <c r="H70" i="73"/>
  <c r="D70" i="73"/>
  <c r="B70" i="73"/>
  <c r="X69" i="73"/>
  <c r="Z69" i="73" s="1"/>
  <c r="L69" i="73"/>
  <c r="N69" i="73" s="1"/>
  <c r="B69" i="73"/>
  <c r="Z68" i="73"/>
  <c r="X68" i="73"/>
  <c r="N68" i="73"/>
  <c r="L68" i="73"/>
  <c r="B68" i="73"/>
  <c r="Z67" i="73"/>
  <c r="X67" i="73"/>
  <c r="N67" i="73"/>
  <c r="L67" i="73"/>
  <c r="B67" i="73"/>
  <c r="T66" i="73"/>
  <c r="P66" i="73"/>
  <c r="X66" i="73" s="1"/>
  <c r="Z66" i="73" s="1"/>
  <c r="N66" i="73"/>
  <c r="L66" i="73"/>
  <c r="H66" i="73"/>
  <c r="D66" i="73"/>
  <c r="B66" i="73"/>
  <c r="X65" i="73"/>
  <c r="Z65" i="73" s="1"/>
  <c r="L65" i="73"/>
  <c r="N65" i="73" s="1"/>
  <c r="B65" i="73"/>
  <c r="Z64" i="73"/>
  <c r="X64" i="73"/>
  <c r="N64" i="73"/>
  <c r="L64" i="73"/>
  <c r="B64" i="73"/>
  <c r="Z63" i="73"/>
  <c r="X63" i="73"/>
  <c r="N63" i="73"/>
  <c r="L63" i="73"/>
  <c r="B63" i="73"/>
  <c r="T62" i="73"/>
  <c r="P62" i="73"/>
  <c r="X62" i="73" s="1"/>
  <c r="Z62" i="73" s="1"/>
  <c r="N62" i="73"/>
  <c r="L62" i="73"/>
  <c r="H62" i="73"/>
  <c r="D62" i="73"/>
  <c r="B62" i="73"/>
  <c r="X61" i="73"/>
  <c r="Z61" i="73" s="1"/>
  <c r="L61" i="73"/>
  <c r="N61" i="73" s="1"/>
  <c r="B61" i="73"/>
  <c r="Z60" i="73"/>
  <c r="X60" i="73"/>
  <c r="T60" i="73"/>
  <c r="P60" i="73"/>
  <c r="J60" i="73"/>
  <c r="H60" i="73"/>
  <c r="D60" i="73"/>
  <c r="B60" i="73"/>
  <c r="Z59" i="73"/>
  <c r="X59" i="73"/>
  <c r="N59" i="73"/>
  <c r="L59" i="73"/>
  <c r="B59" i="73"/>
  <c r="V58" i="73"/>
  <c r="T58" i="73"/>
  <c r="P58" i="73"/>
  <c r="H58" i="73"/>
  <c r="N58" i="73" s="1"/>
  <c r="D58" i="73"/>
  <c r="L58" i="73" s="1"/>
  <c r="B58" i="73"/>
  <c r="Z57" i="73"/>
  <c r="X57" i="73"/>
  <c r="N57" i="73"/>
  <c r="L57" i="73"/>
  <c r="B57" i="73"/>
  <c r="T56" i="73"/>
  <c r="Z56" i="73" s="1"/>
  <c r="P56" i="73"/>
  <c r="X56" i="73" s="1"/>
  <c r="N56" i="73"/>
  <c r="H56" i="73"/>
  <c r="D56" i="73"/>
  <c r="L56" i="73" s="1"/>
  <c r="B56" i="73"/>
  <c r="Z55" i="73"/>
  <c r="X55" i="73"/>
  <c r="N55" i="73"/>
  <c r="L55" i="73"/>
  <c r="B55" i="73"/>
  <c r="T54" i="73"/>
  <c r="P54" i="73"/>
  <c r="X54" i="73" s="1"/>
  <c r="Z54" i="73" s="1"/>
  <c r="N54" i="73"/>
  <c r="L54" i="73"/>
  <c r="H54" i="73"/>
  <c r="D54" i="73"/>
  <c r="B54" i="73"/>
  <c r="X53" i="73"/>
  <c r="Z53" i="73" s="1"/>
  <c r="N53" i="73"/>
  <c r="L53" i="73"/>
  <c r="B53" i="73"/>
  <c r="Z52" i="73"/>
  <c r="X52" i="73"/>
  <c r="N52" i="73"/>
  <c r="L52" i="73"/>
  <c r="B52" i="73"/>
  <c r="Z51" i="73"/>
  <c r="X51" i="73"/>
  <c r="T51" i="73"/>
  <c r="P51" i="73"/>
  <c r="L51" i="73"/>
  <c r="H51" i="73"/>
  <c r="N51" i="73" s="1"/>
  <c r="D51" i="73"/>
  <c r="B51" i="73"/>
  <c r="X50" i="73"/>
  <c r="Z50" i="73" s="1"/>
  <c r="V50" i="73"/>
  <c r="N50" i="73"/>
  <c r="L50" i="73"/>
  <c r="B50" i="73"/>
  <c r="X49" i="73"/>
  <c r="T49" i="73"/>
  <c r="P49" i="73"/>
  <c r="H49" i="73"/>
  <c r="D49" i="73"/>
  <c r="B49" i="73"/>
  <c r="Z48" i="73"/>
  <c r="X48" i="73"/>
  <c r="N48" i="73"/>
  <c r="L48" i="73"/>
  <c r="B48" i="73"/>
  <c r="T47" i="73"/>
  <c r="Z47" i="73" s="1"/>
  <c r="P47" i="73"/>
  <c r="H47" i="73"/>
  <c r="N47" i="73" s="1"/>
  <c r="D47" i="73"/>
  <c r="L47" i="73" s="1"/>
  <c r="B47" i="73"/>
  <c r="Z46" i="73"/>
  <c r="X46" i="73"/>
  <c r="N46" i="73"/>
  <c r="L46" i="73"/>
  <c r="B46" i="73"/>
  <c r="T45" i="73"/>
  <c r="Z45" i="73" s="1"/>
  <c r="P45" i="73"/>
  <c r="X45" i="73" s="1"/>
  <c r="N45" i="73"/>
  <c r="L45" i="73"/>
  <c r="H45" i="73"/>
  <c r="D45" i="73"/>
  <c r="B45" i="73"/>
  <c r="Z44" i="73"/>
  <c r="X44" i="73"/>
  <c r="N44" i="73"/>
  <c r="L44" i="73"/>
  <c r="B44" i="73"/>
  <c r="Z43" i="73"/>
  <c r="X43" i="73"/>
  <c r="N43" i="73"/>
  <c r="L43" i="73"/>
  <c r="B43" i="73"/>
  <c r="Z42" i="73"/>
  <c r="X42" i="73"/>
  <c r="L42" i="73"/>
  <c r="N42" i="73" s="1"/>
  <c r="B42" i="73"/>
  <c r="Z41" i="73"/>
  <c r="X41" i="73"/>
  <c r="N41" i="73"/>
  <c r="L41" i="73"/>
  <c r="B41" i="73"/>
  <c r="Z40" i="73"/>
  <c r="X40" i="73"/>
  <c r="N40" i="73"/>
  <c r="L40" i="73"/>
  <c r="B40" i="73"/>
  <c r="Z39" i="73"/>
  <c r="X39" i="73"/>
  <c r="N39" i="73"/>
  <c r="L39" i="73"/>
  <c r="B39" i="73"/>
  <c r="X38" i="73"/>
  <c r="Z38" i="73" s="1"/>
  <c r="V38" i="73"/>
  <c r="N38" i="73"/>
  <c r="L38" i="73"/>
  <c r="B38" i="73"/>
  <c r="Z37" i="73"/>
  <c r="X37" i="73"/>
  <c r="V37" i="73"/>
  <c r="N37" i="73"/>
  <c r="L37" i="73"/>
  <c r="B37" i="73"/>
  <c r="Z36" i="73"/>
  <c r="X36" i="73"/>
  <c r="N36" i="73"/>
  <c r="L36" i="73"/>
  <c r="B36" i="73"/>
  <c r="Z35" i="73"/>
  <c r="X35" i="73"/>
  <c r="N35" i="73"/>
  <c r="L35" i="73"/>
  <c r="B35" i="73"/>
  <c r="T34" i="73"/>
  <c r="P34" i="73"/>
  <c r="X34" i="73" s="1"/>
  <c r="Z34" i="73" s="1"/>
  <c r="N34" i="73"/>
  <c r="L34" i="73"/>
  <c r="H34" i="73"/>
  <c r="D34" i="73"/>
  <c r="B34" i="73"/>
  <c r="Z33" i="73"/>
  <c r="X33" i="73"/>
  <c r="V33" i="73"/>
  <c r="N33" i="73"/>
  <c r="L33" i="73"/>
  <c r="B33" i="73"/>
  <c r="Z32" i="73"/>
  <c r="X32" i="73"/>
  <c r="L32" i="73"/>
  <c r="N32" i="73" s="1"/>
  <c r="B32" i="73"/>
  <c r="Z31" i="73"/>
  <c r="X31" i="73"/>
  <c r="N31" i="73"/>
  <c r="L31" i="73"/>
  <c r="B31" i="73"/>
  <c r="Z30" i="73"/>
  <c r="X30" i="73"/>
  <c r="N30" i="73"/>
  <c r="L30" i="73"/>
  <c r="J30" i="73"/>
  <c r="B30" i="73"/>
  <c r="X29" i="73"/>
  <c r="Z29" i="73" s="1"/>
  <c r="L29" i="73"/>
  <c r="N29" i="73" s="1"/>
  <c r="B29" i="73"/>
  <c r="Z28" i="73"/>
  <c r="X28" i="73"/>
  <c r="N28" i="73"/>
  <c r="L28" i="73"/>
  <c r="B28" i="73"/>
  <c r="Z27" i="73"/>
  <c r="X27" i="73"/>
  <c r="N27" i="73"/>
  <c r="L27" i="73"/>
  <c r="B27" i="73"/>
  <c r="X26" i="73"/>
  <c r="Z26" i="73" s="1"/>
  <c r="V26" i="73"/>
  <c r="N26" i="73"/>
  <c r="L26" i="73"/>
  <c r="B26" i="73"/>
  <c r="X25" i="73"/>
  <c r="Z25" i="73" s="1"/>
  <c r="V25" i="73"/>
  <c r="L25" i="73"/>
  <c r="N25" i="73" s="1"/>
  <c r="B25" i="73"/>
  <c r="Z24" i="73"/>
  <c r="X24" i="73"/>
  <c r="V24" i="73"/>
  <c r="T24" i="73"/>
  <c r="P24" i="73"/>
  <c r="H24" i="73"/>
  <c r="D24" i="73"/>
  <c r="B24" i="73"/>
  <c r="T23" i="73"/>
  <c r="P23" i="73"/>
  <c r="H23" i="73"/>
  <c r="D23" i="73"/>
  <c r="Z19" i="73"/>
  <c r="X19" i="73"/>
  <c r="N19" i="73"/>
  <c r="L19" i="73"/>
  <c r="B19" i="73"/>
  <c r="Z18" i="73"/>
  <c r="X18" i="73"/>
  <c r="V18" i="73"/>
  <c r="N18" i="73"/>
  <c r="L18" i="73"/>
  <c r="B18" i="73"/>
  <c r="X17" i="73"/>
  <c r="Z17" i="73" s="1"/>
  <c r="V17" i="73"/>
  <c r="L17" i="73"/>
  <c r="N17" i="73" s="1"/>
  <c r="B17" i="73"/>
  <c r="Z16" i="73"/>
  <c r="X16" i="73"/>
  <c r="V16" i="73"/>
  <c r="T16" i="73"/>
  <c r="P16" i="73"/>
  <c r="H16" i="73"/>
  <c r="N16" i="73" s="1"/>
  <c r="D16" i="73"/>
  <c r="L16" i="73" s="1"/>
  <c r="P14" i="73"/>
  <c r="X14" i="73" s="1"/>
  <c r="Z14" i="73" s="1"/>
  <c r="L14" i="73"/>
  <c r="N14" i="73" s="1"/>
  <c r="D14" i="73"/>
  <c r="B14" i="73"/>
  <c r="P13" i="73"/>
  <c r="X13" i="73" s="1"/>
  <c r="Z13" i="73" s="1"/>
  <c r="D13" i="73"/>
  <c r="B13" i="73"/>
  <c r="T12" i="73"/>
  <c r="V57" i="73" s="1"/>
  <c r="H12" i="73"/>
  <c r="D6" i="73"/>
  <c r="D4" i="73"/>
  <c r="X27" i="72"/>
  <c r="Z27" i="72" s="1"/>
  <c r="N27" i="72"/>
  <c r="L27" i="72"/>
  <c r="J27" i="72"/>
  <c r="Z23" i="72"/>
  <c r="X23" i="72"/>
  <c r="T23" i="72"/>
  <c r="P23" i="72"/>
  <c r="J23" i="72"/>
  <c r="H23" i="72"/>
  <c r="N23" i="72" s="1"/>
  <c r="F23" i="72"/>
  <c r="D23" i="72"/>
  <c r="L23" i="72" s="1"/>
  <c r="T21" i="72"/>
  <c r="Z21" i="72" s="1"/>
  <c r="R21" i="72"/>
  <c r="P21" i="72"/>
  <c r="X21" i="72" s="1"/>
  <c r="N21" i="72"/>
  <c r="L21" i="72"/>
  <c r="H21" i="72"/>
  <c r="D21" i="72"/>
  <c r="J19" i="72"/>
  <c r="H19" i="72"/>
  <c r="H25" i="72" s="1"/>
  <c r="X17" i="72"/>
  <c r="Z17" i="72" s="1"/>
  <c r="N17" i="72"/>
  <c r="L17" i="72"/>
  <c r="J17" i="72"/>
  <c r="B17" i="72"/>
  <c r="T16" i="72"/>
  <c r="P16" i="72"/>
  <c r="X16" i="72" s="1"/>
  <c r="H16" i="72"/>
  <c r="N16" i="72" s="1"/>
  <c r="D16" i="72"/>
  <c r="L16" i="72" s="1"/>
  <c r="Z14" i="72"/>
  <c r="X14" i="72"/>
  <c r="P14" i="72"/>
  <c r="N14" i="72"/>
  <c r="D14" i="72"/>
  <c r="L14" i="72" s="1"/>
  <c r="B14" i="72"/>
  <c r="Z13" i="72"/>
  <c r="P13" i="72"/>
  <c r="X13" i="72" s="1"/>
  <c r="L13" i="72"/>
  <c r="N13" i="72" s="1"/>
  <c r="D13" i="72"/>
  <c r="B13" i="72"/>
  <c r="X12" i="72"/>
  <c r="T12" i="72"/>
  <c r="T19" i="72" s="1"/>
  <c r="T25" i="72" s="1"/>
  <c r="P12" i="72"/>
  <c r="H12" i="72"/>
  <c r="D12" i="72"/>
  <c r="F27" i="72" s="1"/>
  <c r="D6" i="72"/>
  <c r="D4" i="72"/>
  <c r="X74" i="71"/>
  <c r="Z74" i="71" s="1"/>
  <c r="L74" i="71"/>
  <c r="N74" i="71" s="1"/>
  <c r="F74" i="71"/>
  <c r="T70" i="71"/>
  <c r="Z70" i="71" s="1"/>
  <c r="P70" i="71"/>
  <c r="X70" i="71" s="1"/>
  <c r="H70" i="71"/>
  <c r="N70" i="71" s="1"/>
  <c r="D70" i="71"/>
  <c r="L70" i="71" s="1"/>
  <c r="X68" i="71"/>
  <c r="Z68" i="71" s="1"/>
  <c r="N68" i="71"/>
  <c r="L68" i="71"/>
  <c r="F68" i="71"/>
  <c r="B68" i="71"/>
  <c r="T67" i="71"/>
  <c r="P67" i="71"/>
  <c r="X67" i="71" s="1"/>
  <c r="Z67" i="71" s="1"/>
  <c r="N67" i="71"/>
  <c r="L67" i="71"/>
  <c r="H67" i="71"/>
  <c r="D67" i="71"/>
  <c r="B67" i="71"/>
  <c r="X66" i="71"/>
  <c r="Z66" i="71" s="1"/>
  <c r="L66" i="71"/>
  <c r="N66" i="71" s="1"/>
  <c r="B66" i="71"/>
  <c r="Z65" i="71"/>
  <c r="X65" i="71"/>
  <c r="T65" i="71"/>
  <c r="P65" i="71"/>
  <c r="J65" i="71"/>
  <c r="H65" i="71"/>
  <c r="D65" i="71"/>
  <c r="B65" i="71"/>
  <c r="X64" i="71"/>
  <c r="Z64" i="71" s="1"/>
  <c r="R64" i="71"/>
  <c r="N64" i="71"/>
  <c r="L64" i="71"/>
  <c r="B64" i="71"/>
  <c r="Z63" i="71"/>
  <c r="X63" i="71"/>
  <c r="V63" i="71"/>
  <c r="N63" i="71"/>
  <c r="L63" i="71"/>
  <c r="B63" i="71"/>
  <c r="Z62" i="71"/>
  <c r="X62" i="71"/>
  <c r="N62" i="71"/>
  <c r="L62" i="71"/>
  <c r="B62" i="71"/>
  <c r="Z61" i="71"/>
  <c r="X61" i="71"/>
  <c r="N61" i="71"/>
  <c r="L61" i="71"/>
  <c r="B61" i="71"/>
  <c r="Z60" i="71"/>
  <c r="X60" i="71"/>
  <c r="T60" i="71"/>
  <c r="P60" i="71"/>
  <c r="L60" i="71"/>
  <c r="H60" i="71"/>
  <c r="D60" i="71"/>
  <c r="B60" i="71"/>
  <c r="Z59" i="71"/>
  <c r="X59" i="71"/>
  <c r="V59" i="71"/>
  <c r="N59" i="71"/>
  <c r="L59" i="71"/>
  <c r="B59" i="71"/>
  <c r="X58" i="71"/>
  <c r="Z58" i="71" s="1"/>
  <c r="L58" i="71"/>
  <c r="N58" i="71" s="1"/>
  <c r="B58" i="71"/>
  <c r="Z57" i="71"/>
  <c r="X57" i="71"/>
  <c r="T57" i="71"/>
  <c r="P57" i="71"/>
  <c r="J57" i="71"/>
  <c r="H57" i="71"/>
  <c r="D57" i="71"/>
  <c r="B57" i="71"/>
  <c r="X56" i="71"/>
  <c r="Z56" i="71" s="1"/>
  <c r="R56" i="71"/>
  <c r="L56" i="71"/>
  <c r="N56" i="71" s="1"/>
  <c r="B56" i="71"/>
  <c r="V55" i="71"/>
  <c r="T55" i="71"/>
  <c r="P55" i="71"/>
  <c r="H55" i="71"/>
  <c r="F55" i="71"/>
  <c r="D55" i="71"/>
  <c r="L55" i="71" s="1"/>
  <c r="B55" i="71"/>
  <c r="X54" i="71"/>
  <c r="Z54" i="71" s="1"/>
  <c r="L54" i="71"/>
  <c r="N54" i="71" s="1"/>
  <c r="B54" i="71"/>
  <c r="Z53" i="71"/>
  <c r="X53" i="71"/>
  <c r="N53" i="71"/>
  <c r="L53" i="71"/>
  <c r="B53" i="71"/>
  <c r="T52" i="71"/>
  <c r="P52" i="71"/>
  <c r="H52" i="71"/>
  <c r="D52" i="71"/>
  <c r="L52" i="71" s="1"/>
  <c r="B52" i="71"/>
  <c r="Z51" i="71"/>
  <c r="X51" i="71"/>
  <c r="N51" i="71"/>
  <c r="L51" i="71"/>
  <c r="J51" i="71"/>
  <c r="B51" i="71"/>
  <c r="T50" i="71"/>
  <c r="Z50" i="71" s="1"/>
  <c r="P50" i="71"/>
  <c r="X50" i="71" s="1"/>
  <c r="N50" i="71"/>
  <c r="L50" i="71"/>
  <c r="H50" i="71"/>
  <c r="D50" i="71"/>
  <c r="B50" i="71"/>
  <c r="Z49" i="71"/>
  <c r="X49" i="71"/>
  <c r="N49" i="71"/>
  <c r="L49" i="71"/>
  <c r="B49" i="71"/>
  <c r="X48" i="71"/>
  <c r="Z48" i="71" s="1"/>
  <c r="T48" i="71"/>
  <c r="P48" i="71"/>
  <c r="L48" i="71"/>
  <c r="H48" i="71"/>
  <c r="N48" i="71" s="1"/>
  <c r="D48" i="71"/>
  <c r="B48" i="71"/>
  <c r="Z47" i="71"/>
  <c r="X47" i="71"/>
  <c r="V47" i="71"/>
  <c r="N47" i="71"/>
  <c r="L47" i="71"/>
  <c r="B47" i="71"/>
  <c r="X46" i="71"/>
  <c r="T46" i="71"/>
  <c r="Z46" i="71" s="1"/>
  <c r="P46" i="71"/>
  <c r="H46" i="71"/>
  <c r="D46" i="71"/>
  <c r="L46" i="71" s="1"/>
  <c r="B46" i="71"/>
  <c r="Z45" i="71"/>
  <c r="X45" i="71"/>
  <c r="N45" i="71"/>
  <c r="L45" i="71"/>
  <c r="B45" i="71"/>
  <c r="T44" i="71"/>
  <c r="Z44" i="71" s="1"/>
  <c r="P44" i="71"/>
  <c r="X44" i="71" s="1"/>
  <c r="H44" i="71"/>
  <c r="N44" i="71" s="1"/>
  <c r="D44" i="71"/>
  <c r="L44" i="71" s="1"/>
  <c r="B44" i="71"/>
  <c r="Z43" i="71"/>
  <c r="X43" i="71"/>
  <c r="N43" i="71"/>
  <c r="L43" i="71"/>
  <c r="J43" i="71"/>
  <c r="B43" i="71"/>
  <c r="Z42" i="71"/>
  <c r="X42" i="71"/>
  <c r="N42" i="71"/>
  <c r="L42" i="71"/>
  <c r="B42" i="71"/>
  <c r="Z41" i="71"/>
  <c r="X41" i="71"/>
  <c r="N41" i="71"/>
  <c r="L41" i="71"/>
  <c r="B41" i="71"/>
  <c r="Z40" i="71"/>
  <c r="X40" i="71"/>
  <c r="R40" i="71"/>
  <c r="N40" i="71"/>
  <c r="L40" i="71"/>
  <c r="B40" i="71"/>
  <c r="Z39" i="71"/>
  <c r="X39" i="71"/>
  <c r="V39" i="71"/>
  <c r="N39" i="71"/>
  <c r="L39" i="71"/>
  <c r="B39" i="71"/>
  <c r="Z38" i="71"/>
  <c r="X38" i="71"/>
  <c r="N38" i="71"/>
  <c r="L38" i="71"/>
  <c r="B38" i="71"/>
  <c r="Z37" i="71"/>
  <c r="X37" i="71"/>
  <c r="N37" i="71"/>
  <c r="L37" i="71"/>
  <c r="B37" i="71"/>
  <c r="Z36" i="71"/>
  <c r="X36" i="71"/>
  <c r="N36" i="71"/>
  <c r="L36" i="71"/>
  <c r="F36" i="71"/>
  <c r="B36" i="71"/>
  <c r="Z35" i="71"/>
  <c r="X35" i="71"/>
  <c r="N35" i="71"/>
  <c r="L35" i="71"/>
  <c r="J35" i="71"/>
  <c r="B35" i="71"/>
  <c r="Z34" i="71"/>
  <c r="X34" i="71"/>
  <c r="N34" i="71"/>
  <c r="L34" i="71"/>
  <c r="B34" i="71"/>
  <c r="T33" i="71"/>
  <c r="R33" i="71"/>
  <c r="P33" i="71"/>
  <c r="X33" i="71" s="1"/>
  <c r="Z33" i="71" s="1"/>
  <c r="N33" i="71"/>
  <c r="L33" i="71"/>
  <c r="H33" i="71"/>
  <c r="D33" i="71"/>
  <c r="B33" i="71"/>
  <c r="Z32" i="71"/>
  <c r="X32" i="71"/>
  <c r="N32" i="71"/>
  <c r="L32" i="71"/>
  <c r="F32" i="71"/>
  <c r="B32" i="71"/>
  <c r="Z31" i="71"/>
  <c r="X31" i="71"/>
  <c r="N31" i="71"/>
  <c r="L31" i="71"/>
  <c r="J31" i="71"/>
  <c r="B31" i="71"/>
  <c r="Z30" i="71"/>
  <c r="X30" i="71"/>
  <c r="N30" i="71"/>
  <c r="L30" i="71"/>
  <c r="B30" i="71"/>
  <c r="Z29" i="71"/>
  <c r="X29" i="71"/>
  <c r="N29" i="71"/>
  <c r="L29" i="71"/>
  <c r="B29" i="71"/>
  <c r="Z28" i="71"/>
  <c r="X28" i="71"/>
  <c r="R28" i="71"/>
  <c r="N28" i="71"/>
  <c r="L28" i="71"/>
  <c r="B28" i="71"/>
  <c r="Z27" i="71"/>
  <c r="X27" i="71"/>
  <c r="V27" i="71"/>
  <c r="N27" i="71"/>
  <c r="L27" i="71"/>
  <c r="B27" i="71"/>
  <c r="Z26" i="71"/>
  <c r="X26" i="71"/>
  <c r="R26" i="71"/>
  <c r="N26" i="71"/>
  <c r="L26" i="71"/>
  <c r="B26" i="71"/>
  <c r="Z25" i="71"/>
  <c r="X25" i="71"/>
  <c r="V25" i="71"/>
  <c r="N25" i="71"/>
  <c r="L25" i="71"/>
  <c r="B25" i="71"/>
  <c r="X24" i="71"/>
  <c r="Z24" i="71" s="1"/>
  <c r="L24" i="71"/>
  <c r="N24" i="71" s="1"/>
  <c r="F24" i="71"/>
  <c r="B24" i="71"/>
  <c r="T23" i="71"/>
  <c r="P23" i="71"/>
  <c r="X23" i="71" s="1"/>
  <c r="Z23" i="71" s="1"/>
  <c r="N23" i="71"/>
  <c r="L23" i="71"/>
  <c r="H23" i="71"/>
  <c r="D23" i="71"/>
  <c r="B23" i="71"/>
  <c r="T22" i="71"/>
  <c r="P22" i="71"/>
  <c r="X22" i="71" s="1"/>
  <c r="H22" i="71"/>
  <c r="D22" i="71"/>
  <c r="P20" i="71"/>
  <c r="Z18" i="71"/>
  <c r="X18" i="71"/>
  <c r="V18" i="71"/>
  <c r="R18" i="71"/>
  <c r="N18" i="71"/>
  <c r="L18" i="71"/>
  <c r="B18" i="71"/>
  <c r="Z17" i="71"/>
  <c r="X17" i="71"/>
  <c r="V17" i="71"/>
  <c r="N17" i="71"/>
  <c r="L17" i="71"/>
  <c r="B17" i="71"/>
  <c r="X16" i="71"/>
  <c r="Z16" i="71" s="1"/>
  <c r="T16" i="71"/>
  <c r="P16" i="71"/>
  <c r="L16" i="71"/>
  <c r="H16" i="71"/>
  <c r="N16" i="71" s="1"/>
  <c r="D16" i="71"/>
  <c r="X14" i="71"/>
  <c r="Z14" i="71" s="1"/>
  <c r="P14" i="71"/>
  <c r="D14" i="71"/>
  <c r="L14" i="71" s="1"/>
  <c r="N14" i="71" s="1"/>
  <c r="B14" i="71"/>
  <c r="P13" i="71"/>
  <c r="X13" i="71" s="1"/>
  <c r="Z13" i="71" s="1"/>
  <c r="L13" i="71"/>
  <c r="N13" i="71" s="1"/>
  <c r="D13" i="71"/>
  <c r="B13" i="71"/>
  <c r="X12" i="71"/>
  <c r="T12" i="71"/>
  <c r="P12" i="71"/>
  <c r="R61" i="71" s="1"/>
  <c r="L12" i="71"/>
  <c r="H12" i="71"/>
  <c r="J64" i="71" s="1"/>
  <c r="D12" i="71"/>
  <c r="F79" i="71" s="1"/>
  <c r="D6" i="71"/>
  <c r="D4" i="71"/>
  <c r="B39" i="70"/>
  <c r="B38" i="70"/>
  <c r="T34" i="70"/>
  <c r="Z34" i="70" s="1"/>
  <c r="P34" i="70"/>
  <c r="H34" i="70"/>
  <c r="N34" i="70" s="1"/>
  <c r="D34" i="70"/>
  <c r="T33" i="70"/>
  <c r="Z33" i="70" s="1"/>
  <c r="P33" i="70"/>
  <c r="H33" i="70"/>
  <c r="N33" i="70" s="1"/>
  <c r="D33" i="70"/>
  <c r="T29" i="70"/>
  <c r="Z29" i="70" s="1"/>
  <c r="P29" i="70"/>
  <c r="H29" i="70"/>
  <c r="N29" i="70" s="1"/>
  <c r="D29" i="70"/>
  <c r="T25" i="70"/>
  <c r="Z25" i="70" s="1"/>
  <c r="P25" i="70"/>
  <c r="H25" i="70"/>
  <c r="N25" i="70" s="1"/>
  <c r="D25" i="70"/>
  <c r="B25" i="70"/>
  <c r="T24" i="70"/>
  <c r="Z24" i="70" s="1"/>
  <c r="P24" i="70"/>
  <c r="H24" i="70"/>
  <c r="N24" i="70" s="1"/>
  <c r="D24" i="70"/>
  <c r="T22" i="70"/>
  <c r="P22" i="70"/>
  <c r="H22" i="70"/>
  <c r="N22" i="70" s="1"/>
  <c r="D22" i="70"/>
  <c r="B22" i="70"/>
  <c r="T21" i="70"/>
  <c r="Z21" i="70" s="1"/>
  <c r="P21" i="70"/>
  <c r="H21" i="70"/>
  <c r="N21" i="70" s="1"/>
  <c r="D21" i="70"/>
  <c r="B21" i="70"/>
  <c r="T20" i="70"/>
  <c r="Z20" i="70" s="1"/>
  <c r="P20" i="70"/>
  <c r="H20" i="70"/>
  <c r="N20" i="70" s="1"/>
  <c r="D20" i="70"/>
  <c r="T16" i="70"/>
  <c r="Z16" i="70" s="1"/>
  <c r="P16" i="70"/>
  <c r="H16" i="70"/>
  <c r="N16" i="70" s="1"/>
  <c r="D16" i="70"/>
  <c r="B16" i="70"/>
  <c r="T15" i="70"/>
  <c r="Z15" i="70" s="1"/>
  <c r="P15" i="70"/>
  <c r="H15" i="70"/>
  <c r="N15" i="70" s="1"/>
  <c r="D15" i="70"/>
  <c r="T13" i="70"/>
  <c r="Z13" i="70" s="1"/>
  <c r="P13" i="70"/>
  <c r="H13" i="70"/>
  <c r="N13" i="70" s="1"/>
  <c r="D13" i="70"/>
  <c r="B13" i="70"/>
  <c r="T12" i="70"/>
  <c r="V34" i="70" s="1"/>
  <c r="P12" i="70"/>
  <c r="R22" i="70" s="1"/>
  <c r="H12" i="70"/>
  <c r="J34" i="70" s="1"/>
  <c r="D12" i="70"/>
  <c r="F18" i="70" s="1"/>
  <c r="D6" i="70"/>
  <c r="D5" i="70"/>
  <c r="D4" i="70"/>
  <c r="X81" i="69"/>
  <c r="Z81" i="69" s="1"/>
  <c r="L81" i="69"/>
  <c r="N81" i="69" s="1"/>
  <c r="X77" i="69"/>
  <c r="Z77" i="69" s="1"/>
  <c r="P77" i="69"/>
  <c r="N77" i="69"/>
  <c r="D77" i="69"/>
  <c r="L77" i="69" s="1"/>
  <c r="B77" i="69"/>
  <c r="Z76" i="69"/>
  <c r="P76" i="69"/>
  <c r="X76" i="69" s="1"/>
  <c r="N76" i="69"/>
  <c r="L76" i="69"/>
  <c r="D76" i="69"/>
  <c r="B76" i="69"/>
  <c r="Z75" i="69"/>
  <c r="X75" i="69"/>
  <c r="P75" i="69"/>
  <c r="N75" i="69"/>
  <c r="J75" i="69"/>
  <c r="D75" i="69"/>
  <c r="L75" i="69" s="1"/>
  <c r="B75" i="69"/>
  <c r="T74" i="69"/>
  <c r="H74" i="69"/>
  <c r="Z72" i="69"/>
  <c r="X72" i="69"/>
  <c r="N72" i="69"/>
  <c r="L72" i="69"/>
  <c r="B72" i="69"/>
  <c r="X71" i="69"/>
  <c r="T71" i="69"/>
  <c r="Z71" i="69" s="1"/>
  <c r="P71" i="69"/>
  <c r="L71" i="69"/>
  <c r="H71" i="69"/>
  <c r="N71" i="69" s="1"/>
  <c r="D71" i="69"/>
  <c r="B71" i="69"/>
  <c r="X70" i="69"/>
  <c r="Z70" i="69" s="1"/>
  <c r="N70" i="69"/>
  <c r="L70" i="69"/>
  <c r="B70" i="69"/>
  <c r="X69" i="69"/>
  <c r="Z69" i="69" s="1"/>
  <c r="L69" i="69"/>
  <c r="N69" i="69" s="1"/>
  <c r="B69" i="69"/>
  <c r="Z68" i="69"/>
  <c r="X68" i="69"/>
  <c r="T68" i="69"/>
  <c r="P68" i="69"/>
  <c r="J68" i="69"/>
  <c r="H68" i="69"/>
  <c r="N68" i="69" s="1"/>
  <c r="D68" i="69"/>
  <c r="L68" i="69" s="1"/>
  <c r="B68" i="69"/>
  <c r="Z67" i="69"/>
  <c r="X67" i="69"/>
  <c r="L67" i="69"/>
  <c r="N67" i="69" s="1"/>
  <c r="B67" i="69"/>
  <c r="T66" i="69"/>
  <c r="Z66" i="69" s="1"/>
  <c r="P66" i="69"/>
  <c r="X66" i="69" s="1"/>
  <c r="H66" i="69"/>
  <c r="D66" i="69"/>
  <c r="L66" i="69" s="1"/>
  <c r="N66" i="69" s="1"/>
  <c r="B66" i="69"/>
  <c r="X65" i="69"/>
  <c r="Z65" i="69" s="1"/>
  <c r="L65" i="69"/>
  <c r="N65" i="69" s="1"/>
  <c r="B65" i="69"/>
  <c r="T64" i="69"/>
  <c r="P64" i="69"/>
  <c r="X64" i="69" s="1"/>
  <c r="Z64" i="69" s="1"/>
  <c r="N64" i="69"/>
  <c r="L64" i="69"/>
  <c r="H64" i="69"/>
  <c r="D64" i="69"/>
  <c r="B64" i="69"/>
  <c r="X63" i="69"/>
  <c r="Z63" i="69" s="1"/>
  <c r="N63" i="69"/>
  <c r="L63" i="69"/>
  <c r="B63" i="69"/>
  <c r="Z62" i="69"/>
  <c r="X62" i="69"/>
  <c r="T62" i="69"/>
  <c r="P62" i="69"/>
  <c r="N62" i="69"/>
  <c r="L62" i="69"/>
  <c r="H62" i="69"/>
  <c r="D62" i="69"/>
  <c r="B62" i="69"/>
  <c r="X61" i="69"/>
  <c r="Z61" i="69" s="1"/>
  <c r="L61" i="69"/>
  <c r="N61" i="69" s="1"/>
  <c r="B61" i="69"/>
  <c r="Z60" i="69"/>
  <c r="X60" i="69"/>
  <c r="T60" i="69"/>
  <c r="P60" i="69"/>
  <c r="J60" i="69"/>
  <c r="H60" i="69"/>
  <c r="N60" i="69" s="1"/>
  <c r="D60" i="69"/>
  <c r="L60" i="69" s="1"/>
  <c r="B60" i="69"/>
  <c r="Z59" i="69"/>
  <c r="X59" i="69"/>
  <c r="N59" i="69"/>
  <c r="L59" i="69"/>
  <c r="B59" i="69"/>
  <c r="T58" i="69"/>
  <c r="Z58" i="69" s="1"/>
  <c r="P58" i="69"/>
  <c r="X58" i="69" s="1"/>
  <c r="N58" i="69"/>
  <c r="H58" i="69"/>
  <c r="D58" i="69"/>
  <c r="L58" i="69" s="1"/>
  <c r="B58" i="69"/>
  <c r="X57" i="69"/>
  <c r="Z57" i="69" s="1"/>
  <c r="L57" i="69"/>
  <c r="N57" i="69" s="1"/>
  <c r="B57" i="69"/>
  <c r="T56" i="69"/>
  <c r="P56" i="69"/>
  <c r="X56" i="69" s="1"/>
  <c r="Z56" i="69" s="1"/>
  <c r="H56" i="69"/>
  <c r="D56" i="69"/>
  <c r="L56" i="69" s="1"/>
  <c r="N56" i="69" s="1"/>
  <c r="B56" i="69"/>
  <c r="Z55" i="69"/>
  <c r="X55" i="69"/>
  <c r="N55" i="69"/>
  <c r="L55" i="69"/>
  <c r="B55" i="69"/>
  <c r="Z54" i="69"/>
  <c r="X54" i="69"/>
  <c r="N54" i="69"/>
  <c r="L54" i="69"/>
  <c r="B54" i="69"/>
  <c r="X53" i="69"/>
  <c r="Z53" i="69" s="1"/>
  <c r="L53" i="69"/>
  <c r="N53" i="69" s="1"/>
  <c r="B53" i="69"/>
  <c r="Z52" i="69"/>
  <c r="X52" i="69"/>
  <c r="N52" i="69"/>
  <c r="L52" i="69"/>
  <c r="J52" i="69"/>
  <c r="B52" i="69"/>
  <c r="Z51" i="69"/>
  <c r="X51" i="69"/>
  <c r="N51" i="69"/>
  <c r="L51" i="69"/>
  <c r="B51" i="69"/>
  <c r="Z50" i="69"/>
  <c r="X50" i="69"/>
  <c r="N50" i="69"/>
  <c r="L50" i="69"/>
  <c r="B50" i="69"/>
  <c r="X49" i="69"/>
  <c r="Z49" i="69" s="1"/>
  <c r="L49" i="69"/>
  <c r="N49" i="69" s="1"/>
  <c r="B49" i="69"/>
  <c r="Z48" i="69"/>
  <c r="X48" i="69"/>
  <c r="N48" i="69"/>
  <c r="L48" i="69"/>
  <c r="B48" i="69"/>
  <c r="X47" i="69"/>
  <c r="Z47" i="69" s="1"/>
  <c r="N47" i="69"/>
  <c r="L47" i="69"/>
  <c r="B47" i="69"/>
  <c r="Z46" i="69"/>
  <c r="X46" i="69"/>
  <c r="N46" i="69"/>
  <c r="L46" i="69"/>
  <c r="J46" i="69"/>
  <c r="B46" i="69"/>
  <c r="T45" i="69"/>
  <c r="P45" i="69"/>
  <c r="X45" i="69" s="1"/>
  <c r="Z45" i="69" s="1"/>
  <c r="L45" i="69"/>
  <c r="H45" i="69"/>
  <c r="D45" i="69"/>
  <c r="B45" i="69"/>
  <c r="Z44" i="69"/>
  <c r="X44" i="69"/>
  <c r="N44" i="69"/>
  <c r="L44" i="69"/>
  <c r="B44" i="69"/>
  <c r="X43" i="69"/>
  <c r="Z43" i="69" s="1"/>
  <c r="L43" i="69"/>
  <c r="N43" i="69" s="1"/>
  <c r="B43" i="69"/>
  <c r="Z42" i="69"/>
  <c r="X42" i="69"/>
  <c r="N42" i="69"/>
  <c r="L42" i="69"/>
  <c r="J42" i="69"/>
  <c r="B42" i="69"/>
  <c r="Z41" i="69"/>
  <c r="X41" i="69"/>
  <c r="N41" i="69"/>
  <c r="L41" i="69"/>
  <c r="B41" i="69"/>
  <c r="Z40" i="69"/>
  <c r="X40" i="69"/>
  <c r="N40" i="69"/>
  <c r="L40" i="69"/>
  <c r="B40" i="69"/>
  <c r="X39" i="69"/>
  <c r="Z39" i="69" s="1"/>
  <c r="L39" i="69"/>
  <c r="N39" i="69" s="1"/>
  <c r="B39" i="69"/>
  <c r="X38" i="69"/>
  <c r="Z38" i="69" s="1"/>
  <c r="N38" i="69"/>
  <c r="L38" i="69"/>
  <c r="J38" i="69"/>
  <c r="B38" i="69"/>
  <c r="X37" i="69"/>
  <c r="Z37" i="69" s="1"/>
  <c r="L37" i="69"/>
  <c r="N37" i="69" s="1"/>
  <c r="B37" i="69"/>
  <c r="X36" i="69"/>
  <c r="Z36" i="69" s="1"/>
  <c r="N36" i="69"/>
  <c r="L36" i="69"/>
  <c r="B36" i="69"/>
  <c r="Z35" i="69"/>
  <c r="X35" i="69"/>
  <c r="L35" i="69"/>
  <c r="N35" i="69" s="1"/>
  <c r="J35" i="69"/>
  <c r="B35" i="69"/>
  <c r="T34" i="69"/>
  <c r="P34" i="69"/>
  <c r="X34" i="69" s="1"/>
  <c r="Z34" i="69" s="1"/>
  <c r="L34" i="69"/>
  <c r="N34" i="69" s="1"/>
  <c r="J34" i="69"/>
  <c r="H34" i="69"/>
  <c r="D34" i="69"/>
  <c r="B34" i="69"/>
  <c r="T33" i="69"/>
  <c r="P33" i="69"/>
  <c r="H33" i="69"/>
  <c r="D33" i="69"/>
  <c r="L33" i="69" s="1"/>
  <c r="Z29" i="69"/>
  <c r="X29" i="69"/>
  <c r="R29" i="69"/>
  <c r="N29" i="69"/>
  <c r="L29" i="69"/>
  <c r="B29" i="69"/>
  <c r="Z28" i="69"/>
  <c r="X28" i="69"/>
  <c r="N28" i="69"/>
  <c r="L28" i="69"/>
  <c r="B28" i="69"/>
  <c r="Z27" i="69"/>
  <c r="X27" i="69"/>
  <c r="N27" i="69"/>
  <c r="L27" i="69"/>
  <c r="B27" i="69"/>
  <c r="Z26" i="69"/>
  <c r="X26" i="69"/>
  <c r="N26" i="69"/>
  <c r="L26" i="69"/>
  <c r="J26" i="69"/>
  <c r="B26" i="69"/>
  <c r="Z25" i="69"/>
  <c r="X25" i="69"/>
  <c r="N25" i="69"/>
  <c r="L25" i="69"/>
  <c r="J25" i="69"/>
  <c r="B25" i="69"/>
  <c r="Z24" i="69"/>
  <c r="X24" i="69"/>
  <c r="N24" i="69"/>
  <c r="L24" i="69"/>
  <c r="J24" i="69"/>
  <c r="B24" i="69"/>
  <c r="Z23" i="69"/>
  <c r="X23" i="69"/>
  <c r="N23" i="69"/>
  <c r="L23" i="69"/>
  <c r="J23" i="69"/>
  <c r="B23" i="69"/>
  <c r="Z22" i="69"/>
  <c r="X22" i="69"/>
  <c r="N22" i="69"/>
  <c r="L22" i="69"/>
  <c r="B22" i="69"/>
  <c r="Z21" i="69"/>
  <c r="X21" i="69"/>
  <c r="R21" i="69"/>
  <c r="N21" i="69"/>
  <c r="L21" i="69"/>
  <c r="B21" i="69"/>
  <c r="Z20" i="69"/>
  <c r="X20" i="69"/>
  <c r="L20" i="69"/>
  <c r="N20" i="69" s="1"/>
  <c r="B20" i="69"/>
  <c r="X19" i="69"/>
  <c r="Z19" i="69" s="1"/>
  <c r="T19" i="69"/>
  <c r="P19" i="69"/>
  <c r="H19" i="69"/>
  <c r="D19" i="69"/>
  <c r="Z17" i="69"/>
  <c r="P17" i="69"/>
  <c r="X17" i="69" s="1"/>
  <c r="N17" i="69"/>
  <c r="D17" i="69"/>
  <c r="L17" i="69" s="1"/>
  <c r="B17" i="69"/>
  <c r="Z16" i="69"/>
  <c r="P16" i="69"/>
  <c r="X16" i="69" s="1"/>
  <c r="N16" i="69"/>
  <c r="L16" i="69"/>
  <c r="D16" i="69"/>
  <c r="B16" i="69"/>
  <c r="Z15" i="69"/>
  <c r="P15" i="69"/>
  <c r="X15" i="69" s="1"/>
  <c r="N15" i="69"/>
  <c r="D15" i="69"/>
  <c r="L15" i="69" s="1"/>
  <c r="B15" i="69"/>
  <c r="Z14" i="69"/>
  <c r="X14" i="69"/>
  <c r="P14" i="69"/>
  <c r="D14" i="69"/>
  <c r="L14" i="69" s="1"/>
  <c r="N14" i="69" s="1"/>
  <c r="B14" i="69"/>
  <c r="X13" i="69"/>
  <c r="Z13" i="69" s="1"/>
  <c r="P13" i="69"/>
  <c r="D13" i="69"/>
  <c r="L13" i="69" s="1"/>
  <c r="N13" i="69" s="1"/>
  <c r="B13" i="69"/>
  <c r="T12" i="69"/>
  <c r="V50" i="69" s="1"/>
  <c r="P12" i="69"/>
  <c r="R51" i="69" s="1"/>
  <c r="H12" i="69"/>
  <c r="J33" i="69" s="1"/>
  <c r="D6" i="69"/>
  <c r="D4" i="69"/>
  <c r="Z77" i="68"/>
  <c r="X77" i="68"/>
  <c r="L77" i="68"/>
  <c r="N77" i="68" s="1"/>
  <c r="J77" i="68"/>
  <c r="P73" i="68"/>
  <c r="D73" i="68"/>
  <c r="L73" i="68" s="1"/>
  <c r="N73" i="68" s="1"/>
  <c r="B73" i="68"/>
  <c r="T72" i="68"/>
  <c r="H72" i="68"/>
  <c r="X70" i="68"/>
  <c r="Z70" i="68" s="1"/>
  <c r="L70" i="68"/>
  <c r="N70" i="68" s="1"/>
  <c r="J70" i="68"/>
  <c r="B70" i="68"/>
  <c r="T69" i="68"/>
  <c r="Z69" i="68" s="1"/>
  <c r="P69" i="68"/>
  <c r="X69" i="68" s="1"/>
  <c r="H69" i="68"/>
  <c r="N69" i="68" s="1"/>
  <c r="D69" i="68"/>
  <c r="L69" i="68" s="1"/>
  <c r="B69" i="68"/>
  <c r="Z68" i="68"/>
  <c r="X68" i="68"/>
  <c r="N68" i="68"/>
  <c r="L68" i="68"/>
  <c r="J68" i="68"/>
  <c r="B68" i="68"/>
  <c r="X67" i="68"/>
  <c r="Z67" i="68" s="1"/>
  <c r="N67" i="68"/>
  <c r="L67" i="68"/>
  <c r="J67" i="68"/>
  <c r="B67" i="68"/>
  <c r="Z66" i="68"/>
  <c r="X66" i="68"/>
  <c r="L66" i="68"/>
  <c r="N66" i="68" s="1"/>
  <c r="J66" i="68"/>
  <c r="B66" i="68"/>
  <c r="Z65" i="68"/>
  <c r="X65" i="68"/>
  <c r="N65" i="68"/>
  <c r="L65" i="68"/>
  <c r="B65" i="68"/>
  <c r="T64" i="68"/>
  <c r="P64" i="68"/>
  <c r="H64" i="68"/>
  <c r="N64" i="68" s="1"/>
  <c r="D64" i="68"/>
  <c r="L64" i="68" s="1"/>
  <c r="B64" i="68"/>
  <c r="X63" i="68"/>
  <c r="Z63" i="68" s="1"/>
  <c r="N63" i="68"/>
  <c r="L63" i="68"/>
  <c r="J63" i="68"/>
  <c r="B63" i="68"/>
  <c r="T62" i="68"/>
  <c r="Z62" i="68" s="1"/>
  <c r="P62" i="68"/>
  <c r="X62" i="68" s="1"/>
  <c r="H62" i="68"/>
  <c r="D62" i="68"/>
  <c r="L62" i="68" s="1"/>
  <c r="N62" i="68" s="1"/>
  <c r="B62" i="68"/>
  <c r="Z61" i="68"/>
  <c r="X61" i="68"/>
  <c r="N61" i="68"/>
  <c r="L61" i="68"/>
  <c r="J61" i="68"/>
  <c r="B61" i="68"/>
  <c r="Z60" i="68"/>
  <c r="X60" i="68"/>
  <c r="L60" i="68"/>
  <c r="N60" i="68" s="1"/>
  <c r="J60" i="68"/>
  <c r="B60" i="68"/>
  <c r="X59" i="68"/>
  <c r="Z59" i="68" s="1"/>
  <c r="N59" i="68"/>
  <c r="L59" i="68"/>
  <c r="J59" i="68"/>
  <c r="B59" i="68"/>
  <c r="T58" i="68"/>
  <c r="P58" i="68"/>
  <c r="X58" i="68" s="1"/>
  <c r="H58" i="68"/>
  <c r="D58" i="68"/>
  <c r="L58" i="68" s="1"/>
  <c r="N58" i="68" s="1"/>
  <c r="B58" i="68"/>
  <c r="Z57" i="68"/>
  <c r="X57" i="68"/>
  <c r="N57" i="68"/>
  <c r="L57" i="68"/>
  <c r="J57" i="68"/>
  <c r="B57" i="68"/>
  <c r="Z56" i="68"/>
  <c r="T56" i="68"/>
  <c r="P56" i="68"/>
  <c r="X56" i="68" s="1"/>
  <c r="N56" i="68"/>
  <c r="L56" i="68"/>
  <c r="J56" i="68"/>
  <c r="H56" i="68"/>
  <c r="D56" i="68"/>
  <c r="B56" i="68"/>
  <c r="Z55" i="68"/>
  <c r="X55" i="68"/>
  <c r="V55" i="68"/>
  <c r="L55" i="68"/>
  <c r="N55" i="68" s="1"/>
  <c r="B55" i="68"/>
  <c r="X54" i="68"/>
  <c r="Z54" i="68" s="1"/>
  <c r="L54" i="68"/>
  <c r="N54" i="68" s="1"/>
  <c r="B54" i="68"/>
  <c r="Z53" i="68"/>
  <c r="X53" i="68"/>
  <c r="T53" i="68"/>
  <c r="P53" i="68"/>
  <c r="J53" i="68"/>
  <c r="H53" i="68"/>
  <c r="L53" i="68" s="1"/>
  <c r="N53" i="68" s="1"/>
  <c r="D53" i="68"/>
  <c r="B53" i="68"/>
  <c r="X52" i="68"/>
  <c r="Z52" i="68" s="1"/>
  <c r="N52" i="68"/>
  <c r="L52" i="68"/>
  <c r="B52" i="68"/>
  <c r="V51" i="68"/>
  <c r="T51" i="68"/>
  <c r="X51" i="68" s="1"/>
  <c r="Z51" i="68" s="1"/>
  <c r="P51" i="68"/>
  <c r="J51" i="68"/>
  <c r="H51" i="68"/>
  <c r="D51" i="68"/>
  <c r="L51" i="68" s="1"/>
  <c r="B51" i="68"/>
  <c r="X50" i="68"/>
  <c r="Z50" i="68" s="1"/>
  <c r="L50" i="68"/>
  <c r="N50" i="68" s="1"/>
  <c r="J50" i="68"/>
  <c r="B50" i="68"/>
  <c r="T49" i="68"/>
  <c r="P49" i="68"/>
  <c r="X49" i="68" s="1"/>
  <c r="H49" i="68"/>
  <c r="D49" i="68"/>
  <c r="L49" i="68" s="1"/>
  <c r="B49" i="68"/>
  <c r="Z48" i="68"/>
  <c r="X48" i="68"/>
  <c r="L48" i="68"/>
  <c r="N48" i="68" s="1"/>
  <c r="J48" i="68"/>
  <c r="B48" i="68"/>
  <c r="T47" i="68"/>
  <c r="Z47" i="68" s="1"/>
  <c r="P47" i="68"/>
  <c r="X47" i="68" s="1"/>
  <c r="N47" i="68"/>
  <c r="L47" i="68"/>
  <c r="H47" i="68"/>
  <c r="D47" i="68"/>
  <c r="B47" i="68"/>
  <c r="Z46" i="68"/>
  <c r="X46" i="68"/>
  <c r="N46" i="68"/>
  <c r="L46" i="68"/>
  <c r="B46" i="68"/>
  <c r="Z45" i="68"/>
  <c r="X45" i="68"/>
  <c r="N45" i="68"/>
  <c r="L45" i="68"/>
  <c r="J45" i="68"/>
  <c r="B45" i="68"/>
  <c r="Z44" i="68"/>
  <c r="X44" i="68"/>
  <c r="N44" i="68"/>
  <c r="L44" i="68"/>
  <c r="J44" i="68"/>
  <c r="B44" i="68"/>
  <c r="X43" i="68"/>
  <c r="Z43" i="68" s="1"/>
  <c r="N43" i="68"/>
  <c r="L43" i="68"/>
  <c r="J43" i="68"/>
  <c r="B43" i="68"/>
  <c r="Z42" i="68"/>
  <c r="X42" i="68"/>
  <c r="N42" i="68"/>
  <c r="L42" i="68"/>
  <c r="J42" i="68"/>
  <c r="B42" i="68"/>
  <c r="Z41" i="68"/>
  <c r="X41" i="68"/>
  <c r="N41" i="68"/>
  <c r="L41" i="68"/>
  <c r="B41" i="68"/>
  <c r="Z40" i="68"/>
  <c r="X40" i="68"/>
  <c r="N40" i="68"/>
  <c r="L40" i="68"/>
  <c r="B40" i="68"/>
  <c r="Z39" i="68"/>
  <c r="X39" i="68"/>
  <c r="V39" i="68"/>
  <c r="N39" i="68"/>
  <c r="L39" i="68"/>
  <c r="B39" i="68"/>
  <c r="X38" i="68"/>
  <c r="Z38" i="68" s="1"/>
  <c r="L38" i="68"/>
  <c r="N38" i="68" s="1"/>
  <c r="B38" i="68"/>
  <c r="Z37" i="68"/>
  <c r="X37" i="68"/>
  <c r="N37" i="68"/>
  <c r="L37" i="68"/>
  <c r="J37" i="68"/>
  <c r="B37" i="68"/>
  <c r="T36" i="68"/>
  <c r="P36" i="68"/>
  <c r="X36" i="68" s="1"/>
  <c r="Z36" i="68" s="1"/>
  <c r="L36" i="68"/>
  <c r="N36" i="68" s="1"/>
  <c r="J36" i="68"/>
  <c r="H36" i="68"/>
  <c r="D36" i="68"/>
  <c r="B36" i="68"/>
  <c r="Z35" i="68"/>
  <c r="X35" i="68"/>
  <c r="V35" i="68"/>
  <c r="L35" i="68"/>
  <c r="N35" i="68" s="1"/>
  <c r="B35" i="68"/>
  <c r="X34" i="68"/>
  <c r="Z34" i="68" s="1"/>
  <c r="L34" i="68"/>
  <c r="N34" i="68" s="1"/>
  <c r="B34" i="68"/>
  <c r="Z33" i="68"/>
  <c r="X33" i="68"/>
  <c r="L33" i="68"/>
  <c r="N33" i="68" s="1"/>
  <c r="J33" i="68"/>
  <c r="B33" i="68"/>
  <c r="Z32" i="68"/>
  <c r="X32" i="68"/>
  <c r="N32" i="68"/>
  <c r="L32" i="68"/>
  <c r="J32" i="68"/>
  <c r="B32" i="68"/>
  <c r="X31" i="68"/>
  <c r="Z31" i="68" s="1"/>
  <c r="N31" i="68"/>
  <c r="L31" i="68"/>
  <c r="J31" i="68"/>
  <c r="B31" i="68"/>
  <c r="X30" i="68"/>
  <c r="Z30" i="68" s="1"/>
  <c r="L30" i="68"/>
  <c r="N30" i="68" s="1"/>
  <c r="J30" i="68"/>
  <c r="B30" i="68"/>
  <c r="X29" i="68"/>
  <c r="Z29" i="68" s="1"/>
  <c r="V29" i="68"/>
  <c r="N29" i="68"/>
  <c r="L29" i="68"/>
  <c r="B29" i="68"/>
  <c r="X28" i="68"/>
  <c r="Z28" i="68" s="1"/>
  <c r="N28" i="68"/>
  <c r="L28" i="68"/>
  <c r="B28" i="68"/>
  <c r="Z27" i="68"/>
  <c r="X27" i="68"/>
  <c r="V27" i="68"/>
  <c r="L27" i="68"/>
  <c r="N27" i="68" s="1"/>
  <c r="B27" i="68"/>
  <c r="X26" i="68"/>
  <c r="Z26" i="68" s="1"/>
  <c r="T26" i="68"/>
  <c r="P26" i="68"/>
  <c r="H26" i="68"/>
  <c r="D26" i="68"/>
  <c r="B26" i="68"/>
  <c r="V25" i="68"/>
  <c r="T25" i="68"/>
  <c r="P25" i="68"/>
  <c r="X25" i="68" s="1"/>
  <c r="H25" i="68"/>
  <c r="D25" i="68"/>
  <c r="J23" i="68"/>
  <c r="H23" i="68"/>
  <c r="H75" i="68" s="1"/>
  <c r="J75" i="68" s="1"/>
  <c r="Z21" i="68"/>
  <c r="X21" i="68"/>
  <c r="V21" i="68"/>
  <c r="N21" i="68"/>
  <c r="L21" i="68"/>
  <c r="B21" i="68"/>
  <c r="Z20" i="68"/>
  <c r="X20" i="68"/>
  <c r="N20" i="68"/>
  <c r="L20" i="68"/>
  <c r="B20" i="68"/>
  <c r="Z19" i="68"/>
  <c r="V19" i="68"/>
  <c r="T19" i="68"/>
  <c r="X19" i="68" s="1"/>
  <c r="P19" i="68"/>
  <c r="J19" i="68"/>
  <c r="H19" i="68"/>
  <c r="N19" i="68" s="1"/>
  <c r="D19" i="68"/>
  <c r="L19" i="68" s="1"/>
  <c r="Z17" i="68"/>
  <c r="P17" i="68"/>
  <c r="X17" i="68" s="1"/>
  <c r="N17" i="68"/>
  <c r="L17" i="68"/>
  <c r="D17" i="68"/>
  <c r="B17" i="68"/>
  <c r="Z16" i="68"/>
  <c r="P16" i="68"/>
  <c r="X16" i="68" s="1"/>
  <c r="N16" i="68"/>
  <c r="D16" i="68"/>
  <c r="L16" i="68" s="1"/>
  <c r="B16" i="68"/>
  <c r="Z15" i="68"/>
  <c r="X15" i="68"/>
  <c r="P15" i="68"/>
  <c r="N15" i="68"/>
  <c r="D15" i="68"/>
  <c r="L15" i="68" s="1"/>
  <c r="B15" i="68"/>
  <c r="X14" i="68"/>
  <c r="Z14" i="68" s="1"/>
  <c r="P14" i="68"/>
  <c r="D14" i="68"/>
  <c r="L14" i="68" s="1"/>
  <c r="N14" i="68" s="1"/>
  <c r="B14" i="68"/>
  <c r="P13" i="68"/>
  <c r="D13" i="68"/>
  <c r="L13" i="68" s="1"/>
  <c r="N13" i="68" s="1"/>
  <c r="B13" i="68"/>
  <c r="T12" i="68"/>
  <c r="V72" i="68" s="1"/>
  <c r="H12" i="68"/>
  <c r="J65" i="68" s="1"/>
  <c r="D6" i="68"/>
  <c r="D4" i="68"/>
  <c r="X109" i="67"/>
  <c r="Z109" i="67" s="1"/>
  <c r="V109" i="67"/>
  <c r="L109" i="67"/>
  <c r="N109" i="67" s="1"/>
  <c r="Z105" i="67"/>
  <c r="P105" i="67"/>
  <c r="X105" i="67" s="1"/>
  <c r="N105" i="67"/>
  <c r="L105" i="67"/>
  <c r="D105" i="67"/>
  <c r="B105" i="67"/>
  <c r="Z104" i="67"/>
  <c r="X104" i="67"/>
  <c r="V104" i="67"/>
  <c r="P104" i="67"/>
  <c r="N104" i="67"/>
  <c r="D104" i="67"/>
  <c r="L104" i="67" s="1"/>
  <c r="B104" i="67"/>
  <c r="P103" i="67"/>
  <c r="X103" i="67" s="1"/>
  <c r="Z103" i="67" s="1"/>
  <c r="N103" i="67"/>
  <c r="L103" i="67"/>
  <c r="J103" i="67"/>
  <c r="D103" i="67"/>
  <c r="B103" i="67"/>
  <c r="V102" i="67"/>
  <c r="T102" i="67"/>
  <c r="Z102" i="67" s="1"/>
  <c r="P102" i="67"/>
  <c r="X102" i="67" s="1"/>
  <c r="H102" i="67"/>
  <c r="N102" i="67" s="1"/>
  <c r="D102" i="67"/>
  <c r="L102" i="67" s="1"/>
  <c r="Z100" i="67"/>
  <c r="X100" i="67"/>
  <c r="L100" i="67"/>
  <c r="N100" i="67" s="1"/>
  <c r="B100" i="67"/>
  <c r="T99" i="67"/>
  <c r="P99" i="67"/>
  <c r="X99" i="67" s="1"/>
  <c r="Z99" i="67" s="1"/>
  <c r="L99" i="67"/>
  <c r="N99" i="67" s="1"/>
  <c r="H99" i="67"/>
  <c r="D99" i="67"/>
  <c r="B99" i="67"/>
  <c r="Z98" i="67"/>
  <c r="X98" i="67"/>
  <c r="V98" i="67"/>
  <c r="L98" i="67"/>
  <c r="N98" i="67" s="1"/>
  <c r="B98" i="67"/>
  <c r="X97" i="67"/>
  <c r="Z97" i="67" s="1"/>
  <c r="V97" i="67"/>
  <c r="T97" i="67"/>
  <c r="P97" i="67"/>
  <c r="H97" i="67"/>
  <c r="D97" i="67"/>
  <c r="B97" i="67"/>
  <c r="X96" i="67"/>
  <c r="Z96" i="67" s="1"/>
  <c r="V96" i="67"/>
  <c r="N96" i="67"/>
  <c r="L96" i="67"/>
  <c r="B96" i="67"/>
  <c r="X95" i="67"/>
  <c r="Z95" i="67" s="1"/>
  <c r="V95" i="67"/>
  <c r="N95" i="67"/>
  <c r="L95" i="67"/>
  <c r="B95" i="67"/>
  <c r="Z94" i="67"/>
  <c r="X94" i="67"/>
  <c r="V94" i="67"/>
  <c r="N94" i="67"/>
  <c r="L94" i="67"/>
  <c r="B94" i="67"/>
  <c r="X93" i="67"/>
  <c r="Z93" i="67" s="1"/>
  <c r="V93" i="67"/>
  <c r="T93" i="67"/>
  <c r="P93" i="67"/>
  <c r="H93" i="67"/>
  <c r="D93" i="67"/>
  <c r="B93" i="67"/>
  <c r="Z92" i="67"/>
  <c r="X92" i="67"/>
  <c r="V92" i="67"/>
  <c r="N92" i="67"/>
  <c r="L92" i="67"/>
  <c r="B92" i="67"/>
  <c r="X91" i="67"/>
  <c r="Z91" i="67" s="1"/>
  <c r="V91" i="67"/>
  <c r="N91" i="67"/>
  <c r="L91" i="67"/>
  <c r="B91" i="67"/>
  <c r="V90" i="67"/>
  <c r="T90" i="67"/>
  <c r="X90" i="67" s="1"/>
  <c r="Z90" i="67" s="1"/>
  <c r="P90" i="67"/>
  <c r="H90" i="67"/>
  <c r="N90" i="67" s="1"/>
  <c r="D90" i="67"/>
  <c r="L90" i="67" s="1"/>
  <c r="B90" i="67"/>
  <c r="Z89" i="67"/>
  <c r="X89" i="67"/>
  <c r="N89" i="67"/>
  <c r="L89" i="67"/>
  <c r="B89" i="67"/>
  <c r="X88" i="67"/>
  <c r="Z88" i="67" s="1"/>
  <c r="V88" i="67"/>
  <c r="N88" i="67"/>
  <c r="L88" i="67"/>
  <c r="B88" i="67"/>
  <c r="X87" i="67"/>
  <c r="Z87" i="67" s="1"/>
  <c r="V87" i="67"/>
  <c r="N87" i="67"/>
  <c r="L87" i="67"/>
  <c r="B87" i="67"/>
  <c r="V86" i="67"/>
  <c r="T86" i="67"/>
  <c r="X86" i="67" s="1"/>
  <c r="Z86" i="67" s="1"/>
  <c r="P86" i="67"/>
  <c r="H86" i="67"/>
  <c r="D86" i="67"/>
  <c r="L86" i="67" s="1"/>
  <c r="B86" i="67"/>
  <c r="Z85" i="67"/>
  <c r="X85" i="67"/>
  <c r="N85" i="67"/>
  <c r="L85" i="67"/>
  <c r="B85" i="67"/>
  <c r="Z84" i="67"/>
  <c r="X84" i="67"/>
  <c r="V84" i="67"/>
  <c r="N84" i="67"/>
  <c r="L84" i="67"/>
  <c r="B84" i="67"/>
  <c r="T83" i="67"/>
  <c r="P83" i="67"/>
  <c r="H83" i="67"/>
  <c r="N83" i="67" s="1"/>
  <c r="D83" i="67"/>
  <c r="L83" i="67" s="1"/>
  <c r="B83" i="67"/>
  <c r="X82" i="67"/>
  <c r="Z82" i="67" s="1"/>
  <c r="N82" i="67"/>
  <c r="L82" i="67"/>
  <c r="B82" i="67"/>
  <c r="T81" i="67"/>
  <c r="P81" i="67"/>
  <c r="X81" i="67" s="1"/>
  <c r="N81" i="67"/>
  <c r="H81" i="67"/>
  <c r="D81" i="67"/>
  <c r="L81" i="67" s="1"/>
  <c r="B81" i="67"/>
  <c r="Z80" i="67"/>
  <c r="X80" i="67"/>
  <c r="L80" i="67"/>
  <c r="N80" i="67" s="1"/>
  <c r="B80" i="67"/>
  <c r="T79" i="67"/>
  <c r="P79" i="67"/>
  <c r="X79" i="67" s="1"/>
  <c r="Z79" i="67" s="1"/>
  <c r="L79" i="67"/>
  <c r="N79" i="67" s="1"/>
  <c r="H79" i="67"/>
  <c r="D79" i="67"/>
  <c r="B79" i="67"/>
  <c r="Z78" i="67"/>
  <c r="X78" i="67"/>
  <c r="V78" i="67"/>
  <c r="N78" i="67"/>
  <c r="L78" i="67"/>
  <c r="B78" i="67"/>
  <c r="Z77" i="67"/>
  <c r="X77" i="67"/>
  <c r="V77" i="67"/>
  <c r="T77" i="67"/>
  <c r="P77" i="67"/>
  <c r="H77" i="67"/>
  <c r="D77" i="67"/>
  <c r="B77" i="67"/>
  <c r="Z76" i="67"/>
  <c r="X76" i="67"/>
  <c r="V76" i="67"/>
  <c r="N76" i="67"/>
  <c r="L76" i="67"/>
  <c r="B76" i="67"/>
  <c r="X75" i="67"/>
  <c r="Z75" i="67" s="1"/>
  <c r="V75" i="67"/>
  <c r="N75" i="67"/>
  <c r="L75" i="67"/>
  <c r="B75" i="67"/>
  <c r="Z74" i="67"/>
  <c r="V74" i="67"/>
  <c r="T74" i="67"/>
  <c r="X74" i="67" s="1"/>
  <c r="P74" i="67"/>
  <c r="H74" i="67"/>
  <c r="D74" i="67"/>
  <c r="L74" i="67" s="1"/>
  <c r="B74" i="67"/>
  <c r="X73" i="67"/>
  <c r="Z73" i="67" s="1"/>
  <c r="L73" i="67"/>
  <c r="N73" i="67" s="1"/>
  <c r="B73" i="67"/>
  <c r="V72" i="67"/>
  <c r="T72" i="67"/>
  <c r="P72" i="67"/>
  <c r="X72" i="67" s="1"/>
  <c r="H72" i="67"/>
  <c r="D72" i="67"/>
  <c r="L72" i="67" s="1"/>
  <c r="B72" i="67"/>
  <c r="Z71" i="67"/>
  <c r="X71" i="67"/>
  <c r="N71" i="67"/>
  <c r="L71" i="67"/>
  <c r="B71" i="67"/>
  <c r="T70" i="67"/>
  <c r="Z70" i="67" s="1"/>
  <c r="P70" i="67"/>
  <c r="X70" i="67" s="1"/>
  <c r="N70" i="67"/>
  <c r="L70" i="67"/>
  <c r="H70" i="67"/>
  <c r="D70" i="67"/>
  <c r="B70" i="67"/>
  <c r="Z69" i="67"/>
  <c r="X69" i="67"/>
  <c r="V69" i="67"/>
  <c r="N69" i="67"/>
  <c r="L69" i="67"/>
  <c r="B69" i="67"/>
  <c r="Z68" i="67"/>
  <c r="X68" i="67"/>
  <c r="T68" i="67"/>
  <c r="P68" i="67"/>
  <c r="H68" i="67"/>
  <c r="D68" i="67"/>
  <c r="B68" i="67"/>
  <c r="Z67" i="67"/>
  <c r="X67" i="67"/>
  <c r="V67" i="67"/>
  <c r="N67" i="67"/>
  <c r="L67" i="67"/>
  <c r="B67" i="67"/>
  <c r="T66" i="67"/>
  <c r="X66" i="67" s="1"/>
  <c r="P66" i="67"/>
  <c r="H66" i="67"/>
  <c r="N66" i="67" s="1"/>
  <c r="D66" i="67"/>
  <c r="L66" i="67" s="1"/>
  <c r="B66" i="67"/>
  <c r="X65" i="67"/>
  <c r="Z65" i="67" s="1"/>
  <c r="L65" i="67"/>
  <c r="N65" i="67" s="1"/>
  <c r="B65" i="67"/>
  <c r="V64" i="67"/>
  <c r="T64" i="67"/>
  <c r="P64" i="67"/>
  <c r="X64" i="67" s="1"/>
  <c r="H64" i="67"/>
  <c r="N64" i="67" s="1"/>
  <c r="D64" i="67"/>
  <c r="L64" i="67" s="1"/>
  <c r="B64" i="67"/>
  <c r="Z63" i="67"/>
  <c r="X63" i="67"/>
  <c r="N63" i="67"/>
  <c r="L63" i="67"/>
  <c r="B63" i="67"/>
  <c r="Z62" i="67"/>
  <c r="X62" i="67"/>
  <c r="N62" i="67"/>
  <c r="L62" i="67"/>
  <c r="B62" i="67"/>
  <c r="Z61" i="67"/>
  <c r="X61" i="67"/>
  <c r="N61" i="67"/>
  <c r="L61" i="67"/>
  <c r="B61" i="67"/>
  <c r="X60" i="67"/>
  <c r="Z60" i="67" s="1"/>
  <c r="V60" i="67"/>
  <c r="L60" i="67"/>
  <c r="N60" i="67" s="1"/>
  <c r="B60" i="67"/>
  <c r="Z59" i="67"/>
  <c r="X59" i="67"/>
  <c r="V59" i="67"/>
  <c r="N59" i="67"/>
  <c r="L59" i="67"/>
  <c r="B59" i="67"/>
  <c r="Z58" i="67"/>
  <c r="X58" i="67"/>
  <c r="V58" i="67"/>
  <c r="N58" i="67"/>
  <c r="L58" i="67"/>
  <c r="B58" i="67"/>
  <c r="X57" i="67"/>
  <c r="Z57" i="67" s="1"/>
  <c r="V57" i="67"/>
  <c r="N57" i="67"/>
  <c r="L57" i="67"/>
  <c r="B57" i="67"/>
  <c r="Z56" i="67"/>
  <c r="X56" i="67"/>
  <c r="N56" i="67"/>
  <c r="L56" i="67"/>
  <c r="B56" i="67"/>
  <c r="Z55" i="67"/>
  <c r="X55" i="67"/>
  <c r="L55" i="67"/>
  <c r="N55" i="67" s="1"/>
  <c r="B55" i="67"/>
  <c r="Z54" i="67"/>
  <c r="X54" i="67"/>
  <c r="N54" i="67"/>
  <c r="L54" i="67"/>
  <c r="B54" i="67"/>
  <c r="T53" i="67"/>
  <c r="P53" i="67"/>
  <c r="H53" i="67"/>
  <c r="D53" i="67"/>
  <c r="L53" i="67" s="1"/>
  <c r="N53" i="67" s="1"/>
  <c r="B53" i="67"/>
  <c r="Z52" i="67"/>
  <c r="X52" i="67"/>
  <c r="L52" i="67"/>
  <c r="N52" i="67" s="1"/>
  <c r="J52" i="67"/>
  <c r="B52" i="67"/>
  <c r="Z51" i="67"/>
  <c r="X51" i="67"/>
  <c r="L51" i="67"/>
  <c r="N51" i="67" s="1"/>
  <c r="B51" i="67"/>
  <c r="Z50" i="67"/>
  <c r="X50" i="67"/>
  <c r="L50" i="67"/>
  <c r="N50" i="67" s="1"/>
  <c r="B50" i="67"/>
  <c r="Z49" i="67"/>
  <c r="X49" i="67"/>
  <c r="N49" i="67"/>
  <c r="L49" i="67"/>
  <c r="B49" i="67"/>
  <c r="X48" i="67"/>
  <c r="Z48" i="67" s="1"/>
  <c r="V48" i="67"/>
  <c r="N48" i="67"/>
  <c r="L48" i="67"/>
  <c r="B48" i="67"/>
  <c r="X47" i="67"/>
  <c r="Z47" i="67" s="1"/>
  <c r="V47" i="67"/>
  <c r="N47" i="67"/>
  <c r="L47" i="67"/>
  <c r="B47" i="67"/>
  <c r="X46" i="67"/>
  <c r="Z46" i="67" s="1"/>
  <c r="V46" i="67"/>
  <c r="N46" i="67"/>
  <c r="L46" i="67"/>
  <c r="B46" i="67"/>
  <c r="Z45" i="67"/>
  <c r="X45" i="67"/>
  <c r="V45" i="67"/>
  <c r="L45" i="67"/>
  <c r="N45" i="67" s="1"/>
  <c r="B45" i="67"/>
  <c r="Z44" i="67"/>
  <c r="X44" i="67"/>
  <c r="L44" i="67"/>
  <c r="N44" i="67" s="1"/>
  <c r="B44" i="67"/>
  <c r="T43" i="67"/>
  <c r="P43" i="67"/>
  <c r="X43" i="67" s="1"/>
  <c r="Z43" i="67" s="1"/>
  <c r="L43" i="67"/>
  <c r="N43" i="67" s="1"/>
  <c r="H43" i="67"/>
  <c r="D43" i="67"/>
  <c r="B43" i="67"/>
  <c r="T42" i="67"/>
  <c r="V42" i="67" s="1"/>
  <c r="P42" i="67"/>
  <c r="X42" i="67" s="1"/>
  <c r="H42" i="67"/>
  <c r="D42" i="67"/>
  <c r="Z38" i="67"/>
  <c r="X38" i="67"/>
  <c r="V38" i="67"/>
  <c r="N38" i="67"/>
  <c r="L38" i="67"/>
  <c r="B38" i="67"/>
  <c r="Z37" i="67"/>
  <c r="X37" i="67"/>
  <c r="V37" i="67"/>
  <c r="N37" i="67"/>
  <c r="L37" i="67"/>
  <c r="B37" i="67"/>
  <c r="Z36" i="67"/>
  <c r="X36" i="67"/>
  <c r="N36" i="67"/>
  <c r="L36" i="67"/>
  <c r="B36" i="67"/>
  <c r="Z35" i="67"/>
  <c r="X35" i="67"/>
  <c r="N35" i="67"/>
  <c r="L35" i="67"/>
  <c r="B35" i="67"/>
  <c r="Z34" i="67"/>
  <c r="X34" i="67"/>
  <c r="N34" i="67"/>
  <c r="L34" i="67"/>
  <c r="B34" i="67"/>
  <c r="Z33" i="67"/>
  <c r="X33" i="67"/>
  <c r="N33" i="67"/>
  <c r="L33" i="67"/>
  <c r="B33" i="67"/>
  <c r="Z32" i="67"/>
  <c r="X32" i="67"/>
  <c r="V32" i="67"/>
  <c r="N32" i="67"/>
  <c r="L32" i="67"/>
  <c r="B32" i="67"/>
  <c r="Z31" i="67"/>
  <c r="X31" i="67"/>
  <c r="V31" i="67"/>
  <c r="N31" i="67"/>
  <c r="L31" i="67"/>
  <c r="B31" i="67"/>
  <c r="Z30" i="67"/>
  <c r="X30" i="67"/>
  <c r="V30" i="67"/>
  <c r="N30" i="67"/>
  <c r="L30" i="67"/>
  <c r="B30" i="67"/>
  <c r="Z29" i="67"/>
  <c r="X29" i="67"/>
  <c r="V29" i="67"/>
  <c r="N29" i="67"/>
  <c r="L29" i="67"/>
  <c r="B29" i="67"/>
  <c r="Z28" i="67"/>
  <c r="X28" i="67"/>
  <c r="N28" i="67"/>
  <c r="L28" i="67"/>
  <c r="B28" i="67"/>
  <c r="Z27" i="67"/>
  <c r="X27" i="67"/>
  <c r="N27" i="67"/>
  <c r="L27" i="67"/>
  <c r="B27" i="67"/>
  <c r="Z26" i="67"/>
  <c r="X26" i="67"/>
  <c r="N26" i="67"/>
  <c r="L26" i="67"/>
  <c r="B26" i="67"/>
  <c r="Z25" i="67"/>
  <c r="X25" i="67"/>
  <c r="N25" i="67"/>
  <c r="L25" i="67"/>
  <c r="B25" i="67"/>
  <c r="Z24" i="67"/>
  <c r="X24" i="67"/>
  <c r="V24" i="67"/>
  <c r="N24" i="67"/>
  <c r="L24" i="67"/>
  <c r="B24" i="67"/>
  <c r="Z23" i="67"/>
  <c r="X23" i="67"/>
  <c r="V23" i="67"/>
  <c r="N23" i="67"/>
  <c r="L23" i="67"/>
  <c r="B23" i="67"/>
  <c r="Z22" i="67"/>
  <c r="X22" i="67"/>
  <c r="V22" i="67"/>
  <c r="N22" i="67"/>
  <c r="L22" i="67"/>
  <c r="B22" i="67"/>
  <c r="Z21" i="67"/>
  <c r="X21" i="67"/>
  <c r="V21" i="67"/>
  <c r="N21" i="67"/>
  <c r="L21" i="67"/>
  <c r="B21" i="67"/>
  <c r="Z20" i="67"/>
  <c r="X20" i="67"/>
  <c r="N20" i="67"/>
  <c r="L20" i="67"/>
  <c r="B20" i="67"/>
  <c r="V19" i="67"/>
  <c r="T19" i="67"/>
  <c r="P19" i="67"/>
  <c r="X19" i="67" s="1"/>
  <c r="Z19" i="67" s="1"/>
  <c r="N19" i="67"/>
  <c r="L19" i="67"/>
  <c r="J19" i="67"/>
  <c r="H19" i="67"/>
  <c r="D19" i="67"/>
  <c r="Z17" i="67"/>
  <c r="P17" i="67"/>
  <c r="X17" i="67" s="1"/>
  <c r="N17" i="67"/>
  <c r="L17" i="67"/>
  <c r="D17" i="67"/>
  <c r="B17" i="67"/>
  <c r="Z16" i="67"/>
  <c r="P16" i="67"/>
  <c r="N16" i="67"/>
  <c r="D16" i="67"/>
  <c r="L16" i="67" s="1"/>
  <c r="B16" i="67"/>
  <c r="Z15" i="67"/>
  <c r="X15" i="67"/>
  <c r="P15" i="67"/>
  <c r="N15" i="67"/>
  <c r="D15" i="67"/>
  <c r="L15" i="67" s="1"/>
  <c r="B15" i="67"/>
  <c r="Z14" i="67"/>
  <c r="X14" i="67"/>
  <c r="P14" i="67"/>
  <c r="N14" i="67"/>
  <c r="L14" i="67"/>
  <c r="D14" i="67"/>
  <c r="B14" i="67"/>
  <c r="Z13" i="67"/>
  <c r="P13" i="67"/>
  <c r="X13" i="67" s="1"/>
  <c r="D13" i="67"/>
  <c r="B13" i="67"/>
  <c r="T12" i="67"/>
  <c r="V100" i="67" s="1"/>
  <c r="H12" i="67"/>
  <c r="J50" i="67" s="1"/>
  <c r="D6" i="67"/>
  <c r="D4" i="67"/>
  <c r="Z91" i="65"/>
  <c r="X91" i="65"/>
  <c r="L91" i="65"/>
  <c r="N91" i="65" s="1"/>
  <c r="Z87" i="65"/>
  <c r="X87" i="65"/>
  <c r="P87" i="65"/>
  <c r="N87" i="65"/>
  <c r="D87" i="65"/>
  <c r="L87" i="65" s="1"/>
  <c r="B87" i="65"/>
  <c r="Z86" i="65"/>
  <c r="X86" i="65"/>
  <c r="P86" i="65"/>
  <c r="N86" i="65"/>
  <c r="J86" i="65"/>
  <c r="D86" i="65"/>
  <c r="L86" i="65" s="1"/>
  <c r="B86" i="65"/>
  <c r="P85" i="65"/>
  <c r="X85" i="65" s="1"/>
  <c r="Z85" i="65" s="1"/>
  <c r="N85" i="65"/>
  <c r="L85" i="65"/>
  <c r="D85" i="65"/>
  <c r="B85" i="65"/>
  <c r="X84" i="65"/>
  <c r="Z84" i="65" s="1"/>
  <c r="P84" i="65"/>
  <c r="D84" i="65"/>
  <c r="B84" i="65"/>
  <c r="T83" i="65"/>
  <c r="P83" i="65"/>
  <c r="X83" i="65" s="1"/>
  <c r="Z83" i="65" s="1"/>
  <c r="H83" i="65"/>
  <c r="Z81" i="65"/>
  <c r="X81" i="65"/>
  <c r="N81" i="65"/>
  <c r="L81" i="65"/>
  <c r="B81" i="65"/>
  <c r="Z80" i="65"/>
  <c r="X80" i="65"/>
  <c r="T80" i="65"/>
  <c r="P80" i="65"/>
  <c r="H80" i="65"/>
  <c r="N80" i="65" s="1"/>
  <c r="D80" i="65"/>
  <c r="L80" i="65" s="1"/>
  <c r="B80" i="65"/>
  <c r="X79" i="65"/>
  <c r="Z79" i="65" s="1"/>
  <c r="L79" i="65"/>
  <c r="N79" i="65" s="1"/>
  <c r="B79" i="65"/>
  <c r="Z78" i="65"/>
  <c r="X78" i="65"/>
  <c r="N78" i="65"/>
  <c r="L78" i="65"/>
  <c r="B78" i="65"/>
  <c r="T77" i="65"/>
  <c r="P77" i="65"/>
  <c r="H77" i="65"/>
  <c r="D77" i="65"/>
  <c r="L77" i="65" s="1"/>
  <c r="B77" i="65"/>
  <c r="X76" i="65"/>
  <c r="Z76" i="65" s="1"/>
  <c r="N76" i="65"/>
  <c r="L76" i="65"/>
  <c r="B76" i="65"/>
  <c r="X75" i="65"/>
  <c r="Z75" i="65" s="1"/>
  <c r="L75" i="65"/>
  <c r="N75" i="65" s="1"/>
  <c r="B75" i="65"/>
  <c r="T74" i="65"/>
  <c r="P74" i="65"/>
  <c r="H74" i="65"/>
  <c r="N74" i="65" s="1"/>
  <c r="D74" i="65"/>
  <c r="L74" i="65" s="1"/>
  <c r="B74" i="65"/>
  <c r="Z73" i="65"/>
  <c r="X73" i="65"/>
  <c r="L73" i="65"/>
  <c r="N73" i="65" s="1"/>
  <c r="B73" i="65"/>
  <c r="T72" i="65"/>
  <c r="P72" i="65"/>
  <c r="X72" i="65" s="1"/>
  <c r="L72" i="65"/>
  <c r="N72" i="65" s="1"/>
  <c r="H72" i="65"/>
  <c r="D72" i="65"/>
  <c r="B72" i="65"/>
  <c r="X71" i="65"/>
  <c r="Z71" i="65" s="1"/>
  <c r="N71" i="65"/>
  <c r="L71" i="65"/>
  <c r="B71" i="65"/>
  <c r="Z70" i="65"/>
  <c r="X70" i="65"/>
  <c r="L70" i="65"/>
  <c r="N70" i="65" s="1"/>
  <c r="B70" i="65"/>
  <c r="Z69" i="65"/>
  <c r="X69" i="65"/>
  <c r="N69" i="65"/>
  <c r="L69" i="65"/>
  <c r="B69" i="65"/>
  <c r="Z68" i="65"/>
  <c r="T68" i="65"/>
  <c r="P68" i="65"/>
  <c r="X68" i="65" s="1"/>
  <c r="L68" i="65"/>
  <c r="J68" i="65"/>
  <c r="H68" i="65"/>
  <c r="D68" i="65"/>
  <c r="B68" i="65"/>
  <c r="Z67" i="65"/>
  <c r="X67" i="65"/>
  <c r="V67" i="65"/>
  <c r="L67" i="65"/>
  <c r="N67" i="65" s="1"/>
  <c r="B67" i="65"/>
  <c r="X66" i="65"/>
  <c r="V66" i="65"/>
  <c r="T66" i="65"/>
  <c r="Z66" i="65" s="1"/>
  <c r="P66" i="65"/>
  <c r="H66" i="65"/>
  <c r="D66" i="65"/>
  <c r="B66" i="65"/>
  <c r="Z65" i="65"/>
  <c r="X65" i="65"/>
  <c r="L65" i="65"/>
  <c r="N65" i="65" s="1"/>
  <c r="B65" i="65"/>
  <c r="T64" i="65"/>
  <c r="P64" i="65"/>
  <c r="H64" i="65"/>
  <c r="D64" i="65"/>
  <c r="L64" i="65" s="1"/>
  <c r="N64" i="65" s="1"/>
  <c r="B64" i="65"/>
  <c r="X63" i="65"/>
  <c r="Z63" i="65" s="1"/>
  <c r="N63" i="65"/>
  <c r="L63" i="65"/>
  <c r="J63" i="65"/>
  <c r="B63" i="65"/>
  <c r="T62" i="65"/>
  <c r="P62" i="65"/>
  <c r="X62" i="65" s="1"/>
  <c r="Z62" i="65" s="1"/>
  <c r="N62" i="65"/>
  <c r="H62" i="65"/>
  <c r="D62" i="65"/>
  <c r="L62" i="65" s="1"/>
  <c r="B62" i="65"/>
  <c r="X61" i="65"/>
  <c r="Z61" i="65" s="1"/>
  <c r="N61" i="65"/>
  <c r="L61" i="65"/>
  <c r="B61" i="65"/>
  <c r="Z60" i="65"/>
  <c r="T60" i="65"/>
  <c r="P60" i="65"/>
  <c r="X60" i="65" s="1"/>
  <c r="L60" i="65"/>
  <c r="J60" i="65"/>
  <c r="H60" i="65"/>
  <c r="N60" i="65" s="1"/>
  <c r="D60" i="65"/>
  <c r="B60" i="65"/>
  <c r="Z59" i="65"/>
  <c r="X59" i="65"/>
  <c r="V59" i="65"/>
  <c r="L59" i="65"/>
  <c r="N59" i="65" s="1"/>
  <c r="B59" i="65"/>
  <c r="X58" i="65"/>
  <c r="V58" i="65"/>
  <c r="T58" i="65"/>
  <c r="P58" i="65"/>
  <c r="H58" i="65"/>
  <c r="D58" i="65"/>
  <c r="B58" i="65"/>
  <c r="Z57" i="65"/>
  <c r="X57" i="65"/>
  <c r="N57" i="65"/>
  <c r="L57" i="65"/>
  <c r="B57" i="65"/>
  <c r="T56" i="65"/>
  <c r="P56" i="65"/>
  <c r="H56" i="65"/>
  <c r="D56" i="65"/>
  <c r="L56" i="65" s="1"/>
  <c r="N56" i="65" s="1"/>
  <c r="B56" i="65"/>
  <c r="Z55" i="65"/>
  <c r="X55" i="65"/>
  <c r="N55" i="65"/>
  <c r="L55" i="65"/>
  <c r="J55" i="65"/>
  <c r="B55" i="65"/>
  <c r="Z54" i="65"/>
  <c r="X54" i="65"/>
  <c r="N54" i="65"/>
  <c r="L54" i="65"/>
  <c r="J54" i="65"/>
  <c r="B54" i="65"/>
  <c r="Z53" i="65"/>
  <c r="X53" i="65"/>
  <c r="N53" i="65"/>
  <c r="L53" i="65"/>
  <c r="B53" i="65"/>
  <c r="X52" i="65"/>
  <c r="Z52" i="65" s="1"/>
  <c r="N52" i="65"/>
  <c r="L52" i="65"/>
  <c r="J52" i="65"/>
  <c r="B52" i="65"/>
  <c r="Z51" i="65"/>
  <c r="X51" i="65"/>
  <c r="V51" i="65"/>
  <c r="N51" i="65"/>
  <c r="L51" i="65"/>
  <c r="B51" i="65"/>
  <c r="X50" i="65"/>
  <c r="Z50" i="65" s="1"/>
  <c r="V50" i="65"/>
  <c r="N50" i="65"/>
  <c r="L50" i="65"/>
  <c r="B50" i="65"/>
  <c r="X49" i="65"/>
  <c r="Z49" i="65" s="1"/>
  <c r="N49" i="65"/>
  <c r="L49" i="65"/>
  <c r="B49" i="65"/>
  <c r="Z48" i="65"/>
  <c r="X48" i="65"/>
  <c r="N48" i="65"/>
  <c r="L48" i="65"/>
  <c r="B48" i="65"/>
  <c r="X47" i="65"/>
  <c r="Z47" i="65" s="1"/>
  <c r="N47" i="65"/>
  <c r="L47" i="65"/>
  <c r="J47" i="65"/>
  <c r="B47" i="65"/>
  <c r="Z46" i="65"/>
  <c r="X46" i="65"/>
  <c r="N46" i="65"/>
  <c r="L46" i="65"/>
  <c r="J46" i="65"/>
  <c r="B46" i="65"/>
  <c r="T45" i="65"/>
  <c r="P45" i="65"/>
  <c r="X45" i="65" s="1"/>
  <c r="Z45" i="65" s="1"/>
  <c r="L45" i="65"/>
  <c r="H45" i="65"/>
  <c r="N45" i="65" s="1"/>
  <c r="D45" i="65"/>
  <c r="B45" i="65"/>
  <c r="Z44" i="65"/>
  <c r="X44" i="65"/>
  <c r="L44" i="65"/>
  <c r="N44" i="65" s="1"/>
  <c r="B44" i="65"/>
  <c r="X43" i="65"/>
  <c r="Z43" i="65" s="1"/>
  <c r="N43" i="65"/>
  <c r="L43" i="65"/>
  <c r="J43" i="65"/>
  <c r="B43" i="65"/>
  <c r="Z42" i="65"/>
  <c r="X42" i="65"/>
  <c r="L42" i="65"/>
  <c r="N42" i="65" s="1"/>
  <c r="J42" i="65"/>
  <c r="B42" i="65"/>
  <c r="Z41" i="65"/>
  <c r="X41" i="65"/>
  <c r="N41" i="65"/>
  <c r="L41" i="65"/>
  <c r="B41" i="65"/>
  <c r="Z40" i="65"/>
  <c r="X40" i="65"/>
  <c r="N40" i="65"/>
  <c r="L40" i="65"/>
  <c r="J40" i="65"/>
  <c r="B40" i="65"/>
  <c r="Z39" i="65"/>
  <c r="X39" i="65"/>
  <c r="V39" i="65"/>
  <c r="L39" i="65"/>
  <c r="N39" i="65" s="1"/>
  <c r="B39" i="65"/>
  <c r="X38" i="65"/>
  <c r="Z38" i="65" s="1"/>
  <c r="V38" i="65"/>
  <c r="N38" i="65"/>
  <c r="L38" i="65"/>
  <c r="B38" i="65"/>
  <c r="X37" i="65"/>
  <c r="Z37" i="65" s="1"/>
  <c r="N37" i="65"/>
  <c r="L37" i="65"/>
  <c r="J37" i="65"/>
  <c r="B37" i="65"/>
  <c r="Z36" i="65"/>
  <c r="X36" i="65"/>
  <c r="L36" i="65"/>
  <c r="N36" i="65" s="1"/>
  <c r="B36" i="65"/>
  <c r="X35" i="65"/>
  <c r="Z35" i="65" s="1"/>
  <c r="N35" i="65"/>
  <c r="L35" i="65"/>
  <c r="J35" i="65"/>
  <c r="B35" i="65"/>
  <c r="T34" i="65"/>
  <c r="P34" i="65"/>
  <c r="X34" i="65" s="1"/>
  <c r="Z34" i="65" s="1"/>
  <c r="J34" i="65"/>
  <c r="H34" i="65"/>
  <c r="D34" i="65"/>
  <c r="L34" i="65" s="1"/>
  <c r="N34" i="65" s="1"/>
  <c r="B34" i="65"/>
  <c r="X33" i="65"/>
  <c r="Z33" i="65" s="1"/>
  <c r="T33" i="65"/>
  <c r="P33" i="65"/>
  <c r="J33" i="65"/>
  <c r="H33" i="65"/>
  <c r="D33" i="65"/>
  <c r="Z29" i="65"/>
  <c r="X29" i="65"/>
  <c r="N29" i="65"/>
  <c r="L29" i="65"/>
  <c r="J29" i="65"/>
  <c r="B29" i="65"/>
  <c r="Z28" i="65"/>
  <c r="X28" i="65"/>
  <c r="N28" i="65"/>
  <c r="L28" i="65"/>
  <c r="B28" i="65"/>
  <c r="Z27" i="65"/>
  <c r="X27" i="65"/>
  <c r="N27" i="65"/>
  <c r="L27" i="65"/>
  <c r="J27" i="65"/>
  <c r="B27" i="65"/>
  <c r="Z26" i="65"/>
  <c r="X26" i="65"/>
  <c r="N26" i="65"/>
  <c r="L26" i="65"/>
  <c r="J26" i="65"/>
  <c r="B26" i="65"/>
  <c r="Z25" i="65"/>
  <c r="X25" i="65"/>
  <c r="N25" i="65"/>
  <c r="L25" i="65"/>
  <c r="B25" i="65"/>
  <c r="Z24" i="65"/>
  <c r="X24" i="65"/>
  <c r="N24" i="65"/>
  <c r="L24" i="65"/>
  <c r="J24" i="65"/>
  <c r="B24" i="65"/>
  <c r="Z23" i="65"/>
  <c r="X23" i="65"/>
  <c r="V23" i="65"/>
  <c r="N23" i="65"/>
  <c r="L23" i="65"/>
  <c r="J23" i="65"/>
  <c r="B23" i="65"/>
  <c r="Z22" i="65"/>
  <c r="X22" i="65"/>
  <c r="V22" i="65"/>
  <c r="N22" i="65"/>
  <c r="L22" i="65"/>
  <c r="J22" i="65"/>
  <c r="B22" i="65"/>
  <c r="Z21" i="65"/>
  <c r="X21" i="65"/>
  <c r="N21" i="65"/>
  <c r="L21" i="65"/>
  <c r="J21" i="65"/>
  <c r="B21" i="65"/>
  <c r="Z20" i="65"/>
  <c r="X20" i="65"/>
  <c r="L20" i="65"/>
  <c r="N20" i="65" s="1"/>
  <c r="B20" i="65"/>
  <c r="X19" i="65"/>
  <c r="T19" i="65"/>
  <c r="Z19" i="65" s="1"/>
  <c r="P19" i="65"/>
  <c r="L19" i="65"/>
  <c r="N19" i="65" s="1"/>
  <c r="H19" i="65"/>
  <c r="H31" i="65" s="1"/>
  <c r="D19" i="65"/>
  <c r="Z17" i="65"/>
  <c r="P17" i="65"/>
  <c r="X17" i="65" s="1"/>
  <c r="N17" i="65"/>
  <c r="D17" i="65"/>
  <c r="L17" i="65" s="1"/>
  <c r="B17" i="65"/>
  <c r="Z16" i="65"/>
  <c r="X16" i="65"/>
  <c r="P16" i="65"/>
  <c r="N16" i="65"/>
  <c r="L16" i="65"/>
  <c r="D16" i="65"/>
  <c r="B16" i="65"/>
  <c r="Z15" i="65"/>
  <c r="P15" i="65"/>
  <c r="X15" i="65" s="1"/>
  <c r="N15" i="65"/>
  <c r="L15" i="65"/>
  <c r="D15" i="65"/>
  <c r="B15" i="65"/>
  <c r="Z14" i="65"/>
  <c r="P14" i="65"/>
  <c r="X14" i="65" s="1"/>
  <c r="N14" i="65"/>
  <c r="D14" i="65"/>
  <c r="B14" i="65"/>
  <c r="X13" i="65"/>
  <c r="Z13" i="65" s="1"/>
  <c r="P13" i="65"/>
  <c r="L13" i="65"/>
  <c r="N13" i="65" s="1"/>
  <c r="D13" i="65"/>
  <c r="B13" i="65"/>
  <c r="T12" i="65"/>
  <c r="V84" i="65" s="1"/>
  <c r="H12" i="65"/>
  <c r="D6" i="65"/>
  <c r="D4" i="65"/>
  <c r="J40" i="64"/>
  <c r="V37" i="64"/>
  <c r="F37" i="64"/>
  <c r="Z35" i="64"/>
  <c r="X35" i="64"/>
  <c r="N35" i="64"/>
  <c r="L35" i="64"/>
  <c r="J35" i="64"/>
  <c r="J33" i="64"/>
  <c r="Z31" i="64"/>
  <c r="X31" i="64"/>
  <c r="T31" i="64"/>
  <c r="P31" i="64"/>
  <c r="H31" i="64"/>
  <c r="F31" i="64"/>
  <c r="D31" i="64"/>
  <c r="Z29" i="64"/>
  <c r="X29" i="64"/>
  <c r="N29" i="64"/>
  <c r="L29" i="64"/>
  <c r="J29" i="64"/>
  <c r="B29" i="64"/>
  <c r="Z28" i="64"/>
  <c r="T28" i="64"/>
  <c r="P28" i="64"/>
  <c r="X28" i="64" s="1"/>
  <c r="L28" i="64"/>
  <c r="H28" i="64"/>
  <c r="N28" i="64" s="1"/>
  <c r="D28" i="64"/>
  <c r="B28" i="64"/>
  <c r="Z27" i="64"/>
  <c r="X27" i="64"/>
  <c r="N27" i="64"/>
  <c r="L27" i="64"/>
  <c r="F27" i="64"/>
  <c r="B27" i="64"/>
  <c r="Z26" i="64"/>
  <c r="X26" i="64"/>
  <c r="N26" i="64"/>
  <c r="L26" i="64"/>
  <c r="J26" i="64"/>
  <c r="F26" i="64"/>
  <c r="B26" i="64"/>
  <c r="Z25" i="64"/>
  <c r="T25" i="64"/>
  <c r="P25" i="64"/>
  <c r="X25" i="64" s="1"/>
  <c r="N25" i="64"/>
  <c r="J25" i="64"/>
  <c r="H25" i="64"/>
  <c r="D25" i="64"/>
  <c r="L25" i="64" s="1"/>
  <c r="B25" i="64"/>
  <c r="Z24" i="64"/>
  <c r="X24" i="64"/>
  <c r="N24" i="64"/>
  <c r="L24" i="64"/>
  <c r="B24" i="64"/>
  <c r="Z23" i="64"/>
  <c r="T23" i="64"/>
  <c r="P23" i="64"/>
  <c r="X23" i="64" s="1"/>
  <c r="L23" i="64"/>
  <c r="J23" i="64"/>
  <c r="H23" i="64"/>
  <c r="N23" i="64" s="1"/>
  <c r="F23" i="64"/>
  <c r="D23" i="64"/>
  <c r="B23" i="64"/>
  <c r="Z22" i="64"/>
  <c r="X22" i="64"/>
  <c r="R22" i="64"/>
  <c r="N22" i="64"/>
  <c r="L22" i="64"/>
  <c r="B22" i="64"/>
  <c r="X21" i="64"/>
  <c r="T21" i="64"/>
  <c r="Z21" i="64" s="1"/>
  <c r="P21" i="64"/>
  <c r="H21" i="64"/>
  <c r="F21" i="64"/>
  <c r="D21" i="64"/>
  <c r="B21" i="64"/>
  <c r="Z20" i="64"/>
  <c r="X20" i="64"/>
  <c r="L20" i="64"/>
  <c r="N20" i="64" s="1"/>
  <c r="F20" i="64"/>
  <c r="B20" i="64"/>
  <c r="T19" i="64"/>
  <c r="R19" i="64"/>
  <c r="P19" i="64"/>
  <c r="H19" i="64"/>
  <c r="D19" i="64"/>
  <c r="L19" i="64" s="1"/>
  <c r="N19" i="64" s="1"/>
  <c r="B19" i="64"/>
  <c r="T18" i="64"/>
  <c r="P18" i="64"/>
  <c r="X18" i="64" s="1"/>
  <c r="H18" i="64"/>
  <c r="D18" i="64"/>
  <c r="L18" i="64" s="1"/>
  <c r="V16" i="64"/>
  <c r="T16" i="64"/>
  <c r="J16" i="64"/>
  <c r="F16" i="64"/>
  <c r="D16" i="64"/>
  <c r="X14" i="64"/>
  <c r="T14" i="64"/>
  <c r="Z14" i="64" s="1"/>
  <c r="P14" i="64"/>
  <c r="N14" i="64"/>
  <c r="L14" i="64"/>
  <c r="H14" i="64"/>
  <c r="D14" i="64"/>
  <c r="T12" i="64"/>
  <c r="V21" i="64" s="1"/>
  <c r="P12" i="64"/>
  <c r="L12" i="64"/>
  <c r="H12" i="64"/>
  <c r="J20" i="64" s="1"/>
  <c r="D12" i="64"/>
  <c r="F35" i="64" s="1"/>
  <c r="D6" i="64"/>
  <c r="D4" i="64"/>
  <c r="X86" i="63"/>
  <c r="Z86" i="63" s="1"/>
  <c r="L86" i="63"/>
  <c r="N86" i="63" s="1"/>
  <c r="Z82" i="63"/>
  <c r="T82" i="63"/>
  <c r="R82" i="63"/>
  <c r="P82" i="63"/>
  <c r="X82" i="63" s="1"/>
  <c r="L82" i="63"/>
  <c r="H82" i="63"/>
  <c r="N82" i="63" s="1"/>
  <c r="D82" i="63"/>
  <c r="X80" i="63"/>
  <c r="Z80" i="63" s="1"/>
  <c r="L80" i="63"/>
  <c r="N80" i="63" s="1"/>
  <c r="B80" i="63"/>
  <c r="Z79" i="63"/>
  <c r="T79" i="63"/>
  <c r="P79" i="63"/>
  <c r="X79" i="63" s="1"/>
  <c r="L79" i="63"/>
  <c r="N79" i="63" s="1"/>
  <c r="J79" i="63"/>
  <c r="H79" i="63"/>
  <c r="D79" i="63"/>
  <c r="B79" i="63"/>
  <c r="Z78" i="63"/>
  <c r="X78" i="63"/>
  <c r="L78" i="63"/>
  <c r="N78" i="63" s="1"/>
  <c r="B78" i="63"/>
  <c r="X77" i="63"/>
  <c r="Z77" i="63" s="1"/>
  <c r="V77" i="63"/>
  <c r="N77" i="63"/>
  <c r="L77" i="63"/>
  <c r="B77" i="63"/>
  <c r="X76" i="63"/>
  <c r="Z76" i="63" s="1"/>
  <c r="L76" i="63"/>
  <c r="N76" i="63" s="1"/>
  <c r="B76" i="63"/>
  <c r="Z75" i="63"/>
  <c r="X75" i="63"/>
  <c r="N75" i="63"/>
  <c r="L75" i="63"/>
  <c r="F75" i="63"/>
  <c r="B75" i="63"/>
  <c r="X74" i="63"/>
  <c r="T74" i="63"/>
  <c r="Z74" i="63" s="1"/>
  <c r="P74" i="63"/>
  <c r="N74" i="63"/>
  <c r="L74" i="63"/>
  <c r="H74" i="63"/>
  <c r="D74" i="63"/>
  <c r="B74" i="63"/>
  <c r="Z73" i="63"/>
  <c r="X73" i="63"/>
  <c r="V73" i="63"/>
  <c r="N73" i="63"/>
  <c r="L73" i="63"/>
  <c r="B73" i="63"/>
  <c r="Z72" i="63"/>
  <c r="X72" i="63"/>
  <c r="N72" i="63"/>
  <c r="L72" i="63"/>
  <c r="B72" i="63"/>
  <c r="Z71" i="63"/>
  <c r="T71" i="63"/>
  <c r="P71" i="63"/>
  <c r="X71" i="63" s="1"/>
  <c r="N71" i="63"/>
  <c r="L71" i="63"/>
  <c r="J71" i="63"/>
  <c r="H71" i="63"/>
  <c r="D71" i="63"/>
  <c r="B71" i="63"/>
  <c r="Z70" i="63"/>
  <c r="X70" i="63"/>
  <c r="N70" i="63"/>
  <c r="L70" i="63"/>
  <c r="B70" i="63"/>
  <c r="Z69" i="63"/>
  <c r="X69" i="63"/>
  <c r="N69" i="63"/>
  <c r="L69" i="63"/>
  <c r="B69" i="63"/>
  <c r="Z68" i="63"/>
  <c r="X68" i="63"/>
  <c r="T68" i="63"/>
  <c r="P68" i="63"/>
  <c r="H68" i="63"/>
  <c r="N68" i="63" s="1"/>
  <c r="D68" i="63"/>
  <c r="L68" i="63" s="1"/>
  <c r="B68" i="63"/>
  <c r="X67" i="63"/>
  <c r="Z67" i="63" s="1"/>
  <c r="R67" i="63"/>
  <c r="N67" i="63"/>
  <c r="L67" i="63"/>
  <c r="B67" i="63"/>
  <c r="T66" i="63"/>
  <c r="P66" i="63"/>
  <c r="H66" i="63"/>
  <c r="F66" i="63"/>
  <c r="D66" i="63"/>
  <c r="L66" i="63" s="1"/>
  <c r="N66" i="63" s="1"/>
  <c r="B66" i="63"/>
  <c r="Z65" i="63"/>
  <c r="X65" i="63"/>
  <c r="N65" i="63"/>
  <c r="L65" i="63"/>
  <c r="J65" i="63"/>
  <c r="B65" i="63"/>
  <c r="Z64" i="63"/>
  <c r="T64" i="63"/>
  <c r="P64" i="63"/>
  <c r="X64" i="63" s="1"/>
  <c r="L64" i="63"/>
  <c r="H64" i="63"/>
  <c r="N64" i="63" s="1"/>
  <c r="D64" i="63"/>
  <c r="B64" i="63"/>
  <c r="Z63" i="63"/>
  <c r="X63" i="63"/>
  <c r="N63" i="63"/>
  <c r="L63" i="63"/>
  <c r="F63" i="63"/>
  <c r="B63" i="63"/>
  <c r="X62" i="63"/>
  <c r="T62" i="63"/>
  <c r="Z62" i="63" s="1"/>
  <c r="P62" i="63"/>
  <c r="N62" i="63"/>
  <c r="L62" i="63"/>
  <c r="H62" i="63"/>
  <c r="D62" i="63"/>
  <c r="B62" i="63"/>
  <c r="Z61" i="63"/>
  <c r="X61" i="63"/>
  <c r="N61" i="63"/>
  <c r="L61" i="63"/>
  <c r="B61" i="63"/>
  <c r="Z60" i="63"/>
  <c r="X60" i="63"/>
  <c r="N60" i="63"/>
  <c r="L60" i="63"/>
  <c r="B60" i="63"/>
  <c r="Z59" i="63"/>
  <c r="T59" i="63"/>
  <c r="P59" i="63"/>
  <c r="X59" i="63" s="1"/>
  <c r="N59" i="63"/>
  <c r="L59" i="63"/>
  <c r="J59" i="63"/>
  <c r="H59" i="63"/>
  <c r="D59" i="63"/>
  <c r="B59" i="63"/>
  <c r="Z58" i="63"/>
  <c r="X58" i="63"/>
  <c r="L58" i="63"/>
  <c r="N58" i="63" s="1"/>
  <c r="B58" i="63"/>
  <c r="X57" i="63"/>
  <c r="Z57" i="63" s="1"/>
  <c r="T57" i="63"/>
  <c r="P57" i="63"/>
  <c r="H57" i="63"/>
  <c r="F57" i="63"/>
  <c r="D57" i="63"/>
  <c r="B57" i="63"/>
  <c r="X56" i="63"/>
  <c r="Z56" i="63" s="1"/>
  <c r="N56" i="63"/>
  <c r="L56" i="63"/>
  <c r="B56" i="63"/>
  <c r="T55" i="63"/>
  <c r="P55" i="63"/>
  <c r="H55" i="63"/>
  <c r="D55" i="63"/>
  <c r="L55" i="63" s="1"/>
  <c r="N55" i="63" s="1"/>
  <c r="B55" i="63"/>
  <c r="X54" i="63"/>
  <c r="Z54" i="63" s="1"/>
  <c r="N54" i="63"/>
  <c r="L54" i="63"/>
  <c r="J54" i="63"/>
  <c r="F54" i="63"/>
  <c r="B54" i="63"/>
  <c r="T53" i="63"/>
  <c r="P53" i="63"/>
  <c r="X53" i="63" s="1"/>
  <c r="Z53" i="63" s="1"/>
  <c r="H53" i="63"/>
  <c r="D53" i="63"/>
  <c r="L53" i="63" s="1"/>
  <c r="N53" i="63" s="1"/>
  <c r="B53" i="63"/>
  <c r="Z52" i="63"/>
  <c r="X52" i="63"/>
  <c r="N52" i="63"/>
  <c r="L52" i="63"/>
  <c r="B52" i="63"/>
  <c r="Z51" i="63"/>
  <c r="X51" i="63"/>
  <c r="N51" i="63"/>
  <c r="L51" i="63"/>
  <c r="F51" i="63"/>
  <c r="B51" i="63"/>
  <c r="X50" i="63"/>
  <c r="Z50" i="63" s="1"/>
  <c r="N50" i="63"/>
  <c r="L50" i="63"/>
  <c r="J50" i="63"/>
  <c r="F50" i="63"/>
  <c r="B50" i="63"/>
  <c r="Z49" i="63"/>
  <c r="X49" i="63"/>
  <c r="N49" i="63"/>
  <c r="L49" i="63"/>
  <c r="J49" i="63"/>
  <c r="B49" i="63"/>
  <c r="Z48" i="63"/>
  <c r="X48" i="63"/>
  <c r="N48" i="63"/>
  <c r="L48" i="63"/>
  <c r="B48" i="63"/>
  <c r="Z47" i="63"/>
  <c r="X47" i="63"/>
  <c r="N47" i="63"/>
  <c r="L47" i="63"/>
  <c r="J47" i="63"/>
  <c r="B47" i="63"/>
  <c r="Z46" i="63"/>
  <c r="X46" i="63"/>
  <c r="L46" i="63"/>
  <c r="N46" i="63" s="1"/>
  <c r="B46" i="63"/>
  <c r="Z45" i="63"/>
  <c r="X45" i="63"/>
  <c r="N45" i="63"/>
  <c r="L45" i="63"/>
  <c r="B45" i="63"/>
  <c r="Z44" i="63"/>
  <c r="X44" i="63"/>
  <c r="N44" i="63"/>
  <c r="L44" i="63"/>
  <c r="B44" i="63"/>
  <c r="Z43" i="63"/>
  <c r="X43" i="63"/>
  <c r="N43" i="63"/>
  <c r="L43" i="63"/>
  <c r="F43" i="63"/>
  <c r="B43" i="63"/>
  <c r="X42" i="63"/>
  <c r="T42" i="63"/>
  <c r="Z42" i="63" s="1"/>
  <c r="P42" i="63"/>
  <c r="L42" i="63"/>
  <c r="N42" i="63" s="1"/>
  <c r="H42" i="63"/>
  <c r="D42" i="63"/>
  <c r="B42" i="63"/>
  <c r="X41" i="63"/>
  <c r="Z41" i="63" s="1"/>
  <c r="N41" i="63"/>
  <c r="L41" i="63"/>
  <c r="B41" i="63"/>
  <c r="Z40" i="63"/>
  <c r="X40" i="63"/>
  <c r="N40" i="63"/>
  <c r="L40" i="63"/>
  <c r="B40" i="63"/>
  <c r="Z39" i="63"/>
  <c r="X39" i="63"/>
  <c r="N39" i="63"/>
  <c r="L39" i="63"/>
  <c r="F39" i="63"/>
  <c r="B39" i="63"/>
  <c r="Z38" i="63"/>
  <c r="X38" i="63"/>
  <c r="N38" i="63"/>
  <c r="L38" i="63"/>
  <c r="J38" i="63"/>
  <c r="F38" i="63"/>
  <c r="B38" i="63"/>
  <c r="Z37" i="63"/>
  <c r="X37" i="63"/>
  <c r="L37" i="63"/>
  <c r="N37" i="63" s="1"/>
  <c r="J37" i="63"/>
  <c r="B37" i="63"/>
  <c r="Z36" i="63"/>
  <c r="X36" i="63"/>
  <c r="N36" i="63"/>
  <c r="L36" i="63"/>
  <c r="F36" i="63"/>
  <c r="B36" i="63"/>
  <c r="X35" i="63"/>
  <c r="Z35" i="63" s="1"/>
  <c r="N35" i="63"/>
  <c r="L35" i="63"/>
  <c r="J35" i="63"/>
  <c r="B35" i="63"/>
  <c r="Z34" i="63"/>
  <c r="X34" i="63"/>
  <c r="L34" i="63"/>
  <c r="N34" i="63" s="1"/>
  <c r="B34" i="63"/>
  <c r="X33" i="63"/>
  <c r="Z33" i="63" s="1"/>
  <c r="V33" i="63"/>
  <c r="T33" i="63"/>
  <c r="P33" i="63"/>
  <c r="H33" i="63"/>
  <c r="F33" i="63"/>
  <c r="D33" i="63"/>
  <c r="B33" i="63"/>
  <c r="T32" i="63"/>
  <c r="R32" i="63"/>
  <c r="P32" i="63"/>
  <c r="X32" i="63" s="1"/>
  <c r="Z32" i="63" s="1"/>
  <c r="H32" i="63"/>
  <c r="D32" i="63"/>
  <c r="L32" i="63" s="1"/>
  <c r="J30" i="63"/>
  <c r="H30" i="63"/>
  <c r="Z28" i="63"/>
  <c r="X28" i="63"/>
  <c r="N28" i="63"/>
  <c r="L28" i="63"/>
  <c r="F28" i="63"/>
  <c r="B28" i="63"/>
  <c r="Z27" i="63"/>
  <c r="X27" i="63"/>
  <c r="N27" i="63"/>
  <c r="L27" i="63"/>
  <c r="J27" i="63"/>
  <c r="B27" i="63"/>
  <c r="Z26" i="63"/>
  <c r="X26" i="63"/>
  <c r="V26" i="63"/>
  <c r="N26" i="63"/>
  <c r="L26" i="63"/>
  <c r="B26" i="63"/>
  <c r="Z25" i="63"/>
  <c r="X25" i="63"/>
  <c r="V25" i="63"/>
  <c r="N25" i="63"/>
  <c r="L25" i="63"/>
  <c r="B25" i="63"/>
  <c r="Z24" i="63"/>
  <c r="X24" i="63"/>
  <c r="N24" i="63"/>
  <c r="L24" i="63"/>
  <c r="B24" i="63"/>
  <c r="Z23" i="63"/>
  <c r="X23" i="63"/>
  <c r="N23" i="63"/>
  <c r="L23" i="63"/>
  <c r="F23" i="63"/>
  <c r="B23" i="63"/>
  <c r="Z22" i="63"/>
  <c r="X22" i="63"/>
  <c r="N22" i="63"/>
  <c r="L22" i="63"/>
  <c r="J22" i="63"/>
  <c r="F22" i="63"/>
  <c r="B22" i="63"/>
  <c r="Z21" i="63"/>
  <c r="X21" i="63"/>
  <c r="N21" i="63"/>
  <c r="L21" i="63"/>
  <c r="J21" i="63"/>
  <c r="B21" i="63"/>
  <c r="Z20" i="63"/>
  <c r="X20" i="63"/>
  <c r="N20" i="63"/>
  <c r="L20" i="63"/>
  <c r="F20" i="63"/>
  <c r="B20" i="63"/>
  <c r="Z19" i="63"/>
  <c r="X19" i="63"/>
  <c r="N19" i="63"/>
  <c r="L19" i="63"/>
  <c r="J19" i="63"/>
  <c r="B19" i="63"/>
  <c r="V18" i="63"/>
  <c r="T18" i="63"/>
  <c r="P18" i="63"/>
  <c r="H18" i="63"/>
  <c r="D18" i="63"/>
  <c r="Z16" i="63"/>
  <c r="X16" i="63"/>
  <c r="P16" i="63"/>
  <c r="N16" i="63"/>
  <c r="D16" i="63"/>
  <c r="L16" i="63" s="1"/>
  <c r="B16" i="63"/>
  <c r="Z15" i="63"/>
  <c r="P15" i="63"/>
  <c r="X15" i="63" s="1"/>
  <c r="N15" i="63"/>
  <c r="L15" i="63"/>
  <c r="D15" i="63"/>
  <c r="B15" i="63"/>
  <c r="Z14" i="63"/>
  <c r="X14" i="63"/>
  <c r="P14" i="63"/>
  <c r="N14" i="63"/>
  <c r="D14" i="63"/>
  <c r="L14" i="63" s="1"/>
  <c r="B14" i="63"/>
  <c r="X13" i="63"/>
  <c r="Z13" i="63" s="1"/>
  <c r="P13" i="63"/>
  <c r="P12" i="63" s="1"/>
  <c r="L13" i="63"/>
  <c r="N13" i="63" s="1"/>
  <c r="D13" i="63"/>
  <c r="B13" i="63"/>
  <c r="T12" i="63"/>
  <c r="L12" i="63"/>
  <c r="H12" i="63"/>
  <c r="J74" i="63" s="1"/>
  <c r="D12" i="63"/>
  <c r="D6" i="63"/>
  <c r="D4" i="63"/>
  <c r="J108" i="62"/>
  <c r="Z103" i="62"/>
  <c r="X103" i="62"/>
  <c r="R103" i="62"/>
  <c r="N103" i="62"/>
  <c r="L103" i="62"/>
  <c r="P99" i="62"/>
  <c r="X99" i="62" s="1"/>
  <c r="Z99" i="62" s="1"/>
  <c r="N99" i="62"/>
  <c r="D99" i="62"/>
  <c r="L99" i="62" s="1"/>
  <c r="B99" i="62"/>
  <c r="P98" i="62"/>
  <c r="D98" i="62"/>
  <c r="B98" i="62"/>
  <c r="T97" i="62"/>
  <c r="H97" i="62"/>
  <c r="Z95" i="62"/>
  <c r="X95" i="62"/>
  <c r="L95" i="62"/>
  <c r="N95" i="62" s="1"/>
  <c r="B95" i="62"/>
  <c r="X94" i="62"/>
  <c r="Z94" i="62" s="1"/>
  <c r="T94" i="62"/>
  <c r="P94" i="62"/>
  <c r="H94" i="62"/>
  <c r="D94" i="62"/>
  <c r="B94" i="62"/>
  <c r="Z93" i="62"/>
  <c r="X93" i="62"/>
  <c r="N93" i="62"/>
  <c r="L93" i="62"/>
  <c r="B93" i="62"/>
  <c r="Z92" i="62"/>
  <c r="X92" i="62"/>
  <c r="N92" i="62"/>
  <c r="L92" i="62"/>
  <c r="B92" i="62"/>
  <c r="T91" i="62"/>
  <c r="P91" i="62"/>
  <c r="X91" i="62" s="1"/>
  <c r="H91" i="62"/>
  <c r="F91" i="62"/>
  <c r="D91" i="62"/>
  <c r="L91" i="62" s="1"/>
  <c r="B91" i="62"/>
  <c r="Z90" i="62"/>
  <c r="X90" i="62"/>
  <c r="N90" i="62"/>
  <c r="L90" i="62"/>
  <c r="B90" i="62"/>
  <c r="X89" i="62"/>
  <c r="T89" i="62"/>
  <c r="Z89" i="62" s="1"/>
  <c r="P89" i="62"/>
  <c r="H89" i="62"/>
  <c r="N89" i="62" s="1"/>
  <c r="D89" i="62"/>
  <c r="B89" i="62"/>
  <c r="Z88" i="62"/>
  <c r="X88" i="62"/>
  <c r="N88" i="62"/>
  <c r="L88" i="62"/>
  <c r="B88" i="62"/>
  <c r="X87" i="62"/>
  <c r="T87" i="62"/>
  <c r="P87" i="62"/>
  <c r="H87" i="62"/>
  <c r="D87" i="62"/>
  <c r="L87" i="62" s="1"/>
  <c r="N87" i="62" s="1"/>
  <c r="B87" i="62"/>
  <c r="X86" i="62"/>
  <c r="Z86" i="62" s="1"/>
  <c r="N86" i="62"/>
  <c r="L86" i="62"/>
  <c r="B86" i="62"/>
  <c r="Z85" i="62"/>
  <c r="X85" i="62"/>
  <c r="N85" i="62"/>
  <c r="L85" i="62"/>
  <c r="B85" i="62"/>
  <c r="Z84" i="62"/>
  <c r="X84" i="62"/>
  <c r="N84" i="62"/>
  <c r="L84" i="62"/>
  <c r="B84" i="62"/>
  <c r="Z83" i="62"/>
  <c r="X83" i="62"/>
  <c r="N83" i="62"/>
  <c r="L83" i="62"/>
  <c r="B83" i="62"/>
  <c r="Z82" i="62"/>
  <c r="X82" i="62"/>
  <c r="L82" i="62"/>
  <c r="N82" i="62" s="1"/>
  <c r="B82" i="62"/>
  <c r="X81" i="62"/>
  <c r="Z81" i="62" s="1"/>
  <c r="L81" i="62"/>
  <c r="N81" i="62" s="1"/>
  <c r="B81" i="62"/>
  <c r="Z80" i="62"/>
  <c r="X80" i="62"/>
  <c r="T80" i="62"/>
  <c r="P80" i="62"/>
  <c r="J80" i="62"/>
  <c r="H80" i="62"/>
  <c r="D80" i="62"/>
  <c r="B80" i="62"/>
  <c r="X79" i="62"/>
  <c r="Z79" i="62" s="1"/>
  <c r="N79" i="62"/>
  <c r="L79" i="62"/>
  <c r="B79" i="62"/>
  <c r="V78" i="62"/>
  <c r="T78" i="62"/>
  <c r="P78" i="62"/>
  <c r="H78" i="62"/>
  <c r="N78" i="62" s="1"/>
  <c r="F78" i="62"/>
  <c r="D78" i="62"/>
  <c r="L78" i="62" s="1"/>
  <c r="B78" i="62"/>
  <c r="Z77" i="62"/>
  <c r="X77" i="62"/>
  <c r="N77" i="62"/>
  <c r="L77" i="62"/>
  <c r="J77" i="62"/>
  <c r="B77" i="62"/>
  <c r="X76" i="62"/>
  <c r="Z76" i="62" s="1"/>
  <c r="N76" i="62"/>
  <c r="L76" i="62"/>
  <c r="B76" i="62"/>
  <c r="T75" i="62"/>
  <c r="P75" i="62"/>
  <c r="H75" i="62"/>
  <c r="D75" i="62"/>
  <c r="L75" i="62" s="1"/>
  <c r="B75" i="62"/>
  <c r="Z74" i="62"/>
  <c r="X74" i="62"/>
  <c r="N74" i="62"/>
  <c r="L74" i="62"/>
  <c r="J74" i="62"/>
  <c r="F74" i="62"/>
  <c r="B74" i="62"/>
  <c r="Z73" i="62"/>
  <c r="X73" i="62"/>
  <c r="L73" i="62"/>
  <c r="N73" i="62" s="1"/>
  <c r="J73" i="62"/>
  <c r="B73" i="62"/>
  <c r="X72" i="62"/>
  <c r="Z72" i="62" s="1"/>
  <c r="L72" i="62"/>
  <c r="N72" i="62" s="1"/>
  <c r="B72" i="62"/>
  <c r="X71" i="62"/>
  <c r="Z71" i="62" s="1"/>
  <c r="R71" i="62"/>
  <c r="N71" i="62"/>
  <c r="L71" i="62"/>
  <c r="B71" i="62"/>
  <c r="T70" i="62"/>
  <c r="P70" i="62"/>
  <c r="H70" i="62"/>
  <c r="F70" i="62"/>
  <c r="D70" i="62"/>
  <c r="L70" i="62" s="1"/>
  <c r="B70" i="62"/>
  <c r="Z69" i="62"/>
  <c r="X69" i="62"/>
  <c r="L69" i="62"/>
  <c r="N69" i="62" s="1"/>
  <c r="J69" i="62"/>
  <c r="B69" i="62"/>
  <c r="T68" i="62"/>
  <c r="Z68" i="62" s="1"/>
  <c r="R68" i="62"/>
  <c r="P68" i="62"/>
  <c r="X68" i="62" s="1"/>
  <c r="H68" i="62"/>
  <c r="D68" i="62"/>
  <c r="L68" i="62" s="1"/>
  <c r="N68" i="62" s="1"/>
  <c r="B68" i="62"/>
  <c r="Z67" i="62"/>
  <c r="X67" i="62"/>
  <c r="N67" i="62"/>
  <c r="L67" i="62"/>
  <c r="F67" i="62"/>
  <c r="B67" i="62"/>
  <c r="Z66" i="62"/>
  <c r="T66" i="62"/>
  <c r="P66" i="62"/>
  <c r="X66" i="62" s="1"/>
  <c r="N66" i="62"/>
  <c r="L66" i="62"/>
  <c r="H66" i="62"/>
  <c r="D66" i="62"/>
  <c r="B66" i="62"/>
  <c r="X65" i="62"/>
  <c r="Z65" i="62" s="1"/>
  <c r="N65" i="62"/>
  <c r="L65" i="62"/>
  <c r="B65" i="62"/>
  <c r="Z64" i="62"/>
  <c r="X64" i="62"/>
  <c r="T64" i="62"/>
  <c r="P64" i="62"/>
  <c r="J64" i="62"/>
  <c r="H64" i="62"/>
  <c r="D64" i="62"/>
  <c r="B64" i="62"/>
  <c r="X63" i="62"/>
  <c r="Z63" i="62" s="1"/>
  <c r="N63" i="62"/>
  <c r="L63" i="62"/>
  <c r="B63" i="62"/>
  <c r="T62" i="62"/>
  <c r="P62" i="62"/>
  <c r="H62" i="62"/>
  <c r="N62" i="62" s="1"/>
  <c r="F62" i="62"/>
  <c r="D62" i="62"/>
  <c r="L62" i="62" s="1"/>
  <c r="B62" i="62"/>
  <c r="Z61" i="62"/>
  <c r="X61" i="62"/>
  <c r="L61" i="62"/>
  <c r="N61" i="62" s="1"/>
  <c r="J61" i="62"/>
  <c r="B61" i="62"/>
  <c r="T60" i="62"/>
  <c r="P60" i="62"/>
  <c r="X60" i="62" s="1"/>
  <c r="H60" i="62"/>
  <c r="D60" i="62"/>
  <c r="L60" i="62" s="1"/>
  <c r="N60" i="62" s="1"/>
  <c r="B60" i="62"/>
  <c r="Z59" i="62"/>
  <c r="X59" i="62"/>
  <c r="L59" i="62"/>
  <c r="N59" i="62" s="1"/>
  <c r="F59" i="62"/>
  <c r="B59" i="62"/>
  <c r="T58" i="62"/>
  <c r="P58" i="62"/>
  <c r="X58" i="62" s="1"/>
  <c r="Z58" i="62" s="1"/>
  <c r="L58" i="62"/>
  <c r="N58" i="62" s="1"/>
  <c r="H58" i="62"/>
  <c r="D58" i="62"/>
  <c r="B58" i="62"/>
  <c r="X57" i="62"/>
  <c r="Z57" i="62" s="1"/>
  <c r="V57" i="62"/>
  <c r="N57" i="62"/>
  <c r="L57" i="62"/>
  <c r="B57" i="62"/>
  <c r="Z56" i="62"/>
  <c r="X56" i="62"/>
  <c r="T56" i="62"/>
  <c r="P56" i="62"/>
  <c r="J56" i="62"/>
  <c r="H56" i="62"/>
  <c r="D56" i="62"/>
  <c r="B56" i="62"/>
  <c r="X55" i="62"/>
  <c r="Z55" i="62" s="1"/>
  <c r="N55" i="62"/>
  <c r="L55" i="62"/>
  <c r="B55" i="62"/>
  <c r="T54" i="62"/>
  <c r="P54" i="62"/>
  <c r="H54" i="62"/>
  <c r="N54" i="62" s="1"/>
  <c r="F54" i="62"/>
  <c r="D54" i="62"/>
  <c r="L54" i="62" s="1"/>
  <c r="B54" i="62"/>
  <c r="Z53" i="62"/>
  <c r="X53" i="62"/>
  <c r="N53" i="62"/>
  <c r="L53" i="62"/>
  <c r="J53" i="62"/>
  <c r="B53" i="62"/>
  <c r="Z52" i="62"/>
  <c r="X52" i="62"/>
  <c r="N52" i="62"/>
  <c r="L52" i="62"/>
  <c r="F52" i="62"/>
  <c r="B52" i="62"/>
  <c r="T51" i="62"/>
  <c r="Z51" i="62" s="1"/>
  <c r="P51" i="62"/>
  <c r="N51" i="62"/>
  <c r="H51" i="62"/>
  <c r="F51" i="62"/>
  <c r="D51" i="62"/>
  <c r="L51" i="62" s="1"/>
  <c r="B51" i="62"/>
  <c r="X50" i="62"/>
  <c r="Z50" i="62" s="1"/>
  <c r="L50" i="62"/>
  <c r="N50" i="62" s="1"/>
  <c r="J50" i="62"/>
  <c r="F50" i="62"/>
  <c r="B50" i="62"/>
  <c r="Z49" i="62"/>
  <c r="X49" i="62"/>
  <c r="N49" i="62"/>
  <c r="L49" i="62"/>
  <c r="J49" i="62"/>
  <c r="F49" i="62"/>
  <c r="B49" i="62"/>
  <c r="T48" i="62"/>
  <c r="Z48" i="62" s="1"/>
  <c r="P48" i="62"/>
  <c r="X48" i="62" s="1"/>
  <c r="H48" i="62"/>
  <c r="D48" i="62"/>
  <c r="L48" i="62" s="1"/>
  <c r="N48" i="62" s="1"/>
  <c r="B48" i="62"/>
  <c r="Z47" i="62"/>
  <c r="X47" i="62"/>
  <c r="L47" i="62"/>
  <c r="N47" i="62" s="1"/>
  <c r="F47" i="62"/>
  <c r="B47" i="62"/>
  <c r="T46" i="62"/>
  <c r="P46" i="62"/>
  <c r="X46" i="62" s="1"/>
  <c r="Z46" i="62" s="1"/>
  <c r="L46" i="62"/>
  <c r="N46" i="62" s="1"/>
  <c r="H46" i="62"/>
  <c r="D46" i="62"/>
  <c r="B46" i="62"/>
  <c r="X45" i="62"/>
  <c r="Z45" i="62" s="1"/>
  <c r="N45" i="62"/>
  <c r="L45" i="62"/>
  <c r="F45" i="62"/>
  <c r="B45" i="62"/>
  <c r="Z44" i="62"/>
  <c r="X44" i="62"/>
  <c r="T44" i="62"/>
  <c r="P44" i="62"/>
  <c r="J44" i="62"/>
  <c r="H44" i="62"/>
  <c r="F44" i="62"/>
  <c r="D44" i="62"/>
  <c r="B44" i="62"/>
  <c r="Z43" i="62"/>
  <c r="X43" i="62"/>
  <c r="N43" i="62"/>
  <c r="L43" i="62"/>
  <c r="B43" i="62"/>
  <c r="T42" i="62"/>
  <c r="P42" i="62"/>
  <c r="H42" i="62"/>
  <c r="N42" i="62" s="1"/>
  <c r="F42" i="62"/>
  <c r="D42" i="62"/>
  <c r="L42" i="62" s="1"/>
  <c r="B42" i="62"/>
  <c r="Z41" i="62"/>
  <c r="X41" i="62"/>
  <c r="N41" i="62"/>
  <c r="L41" i="62"/>
  <c r="J41" i="62"/>
  <c r="F41" i="62"/>
  <c r="B41" i="62"/>
  <c r="Z40" i="62"/>
  <c r="X40" i="62"/>
  <c r="N40" i="62"/>
  <c r="L40" i="62"/>
  <c r="F40" i="62"/>
  <c r="B40" i="62"/>
  <c r="X39" i="62"/>
  <c r="Z39" i="62" s="1"/>
  <c r="N39" i="62"/>
  <c r="L39" i="62"/>
  <c r="B39" i="62"/>
  <c r="X38" i="62"/>
  <c r="Z38" i="62" s="1"/>
  <c r="N38" i="62"/>
  <c r="L38" i="62"/>
  <c r="B38" i="62"/>
  <c r="Z37" i="62"/>
  <c r="X37" i="62"/>
  <c r="V37" i="62"/>
  <c r="N37" i="62"/>
  <c r="L37" i="62"/>
  <c r="F37" i="62"/>
  <c r="B37" i="62"/>
  <c r="Z36" i="62"/>
  <c r="X36" i="62"/>
  <c r="N36" i="62"/>
  <c r="L36" i="62"/>
  <c r="F36" i="62"/>
  <c r="B36" i="62"/>
  <c r="Z35" i="62"/>
  <c r="X35" i="62"/>
  <c r="L35" i="62"/>
  <c r="N35" i="62" s="1"/>
  <c r="F35" i="62"/>
  <c r="B35" i="62"/>
  <c r="Z34" i="62"/>
  <c r="X34" i="62"/>
  <c r="N34" i="62"/>
  <c r="L34" i="62"/>
  <c r="J34" i="62"/>
  <c r="F34" i="62"/>
  <c r="B34" i="62"/>
  <c r="Z33" i="62"/>
  <c r="X33" i="62"/>
  <c r="N33" i="62"/>
  <c r="L33" i="62"/>
  <c r="J33" i="62"/>
  <c r="F33" i="62"/>
  <c r="B33" i="62"/>
  <c r="X32" i="62"/>
  <c r="Z32" i="62" s="1"/>
  <c r="L32" i="62"/>
  <c r="N32" i="62" s="1"/>
  <c r="F32" i="62"/>
  <c r="B32" i="62"/>
  <c r="T31" i="62"/>
  <c r="P31" i="62"/>
  <c r="H31" i="62"/>
  <c r="F31" i="62"/>
  <c r="D31" i="62"/>
  <c r="L31" i="62" s="1"/>
  <c r="N31" i="62" s="1"/>
  <c r="B31" i="62"/>
  <c r="Z30" i="62"/>
  <c r="X30" i="62"/>
  <c r="N30" i="62"/>
  <c r="L30" i="62"/>
  <c r="J30" i="62"/>
  <c r="F30" i="62"/>
  <c r="B30" i="62"/>
  <c r="Z29" i="62"/>
  <c r="X29" i="62"/>
  <c r="L29" i="62"/>
  <c r="N29" i="62" s="1"/>
  <c r="J29" i="62"/>
  <c r="F29" i="62"/>
  <c r="B29" i="62"/>
  <c r="X28" i="62"/>
  <c r="Z28" i="62" s="1"/>
  <c r="N28" i="62"/>
  <c r="L28" i="62"/>
  <c r="F28" i="62"/>
  <c r="B28" i="62"/>
  <c r="Z27" i="62"/>
  <c r="X27" i="62"/>
  <c r="N27" i="62"/>
  <c r="L27" i="62"/>
  <c r="J27" i="62"/>
  <c r="B27" i="62"/>
  <c r="Z26" i="62"/>
  <c r="X26" i="62"/>
  <c r="N26" i="62"/>
  <c r="L26" i="62"/>
  <c r="B26" i="62"/>
  <c r="X25" i="62"/>
  <c r="Z25" i="62" s="1"/>
  <c r="V25" i="62"/>
  <c r="N25" i="62"/>
  <c r="L25" i="62"/>
  <c r="F25" i="62"/>
  <c r="B25" i="62"/>
  <c r="Z24" i="62"/>
  <c r="X24" i="62"/>
  <c r="L24" i="62"/>
  <c r="N24" i="62" s="1"/>
  <c r="F24" i="62"/>
  <c r="B24" i="62"/>
  <c r="Z23" i="62"/>
  <c r="X23" i="62"/>
  <c r="L23" i="62"/>
  <c r="N23" i="62" s="1"/>
  <c r="J23" i="62"/>
  <c r="F23" i="62"/>
  <c r="B23" i="62"/>
  <c r="X22" i="62"/>
  <c r="Z22" i="62" s="1"/>
  <c r="L22" i="62"/>
  <c r="N22" i="62" s="1"/>
  <c r="J22" i="62"/>
  <c r="F22" i="62"/>
  <c r="B22" i="62"/>
  <c r="Z21" i="62"/>
  <c r="X21" i="62"/>
  <c r="L21" i="62"/>
  <c r="N21" i="62" s="1"/>
  <c r="J21" i="62"/>
  <c r="F21" i="62"/>
  <c r="B21" i="62"/>
  <c r="T20" i="62"/>
  <c r="P20" i="62"/>
  <c r="X20" i="62" s="1"/>
  <c r="L20" i="62"/>
  <c r="N20" i="62" s="1"/>
  <c r="H20" i="62"/>
  <c r="F20" i="62"/>
  <c r="D20" i="62"/>
  <c r="B20" i="62"/>
  <c r="T19" i="62"/>
  <c r="P19" i="62"/>
  <c r="J19" i="62"/>
  <c r="H19" i="62"/>
  <c r="F19" i="62"/>
  <c r="D19" i="62"/>
  <c r="L19" i="62" s="1"/>
  <c r="H17" i="62"/>
  <c r="N17" i="62" s="1"/>
  <c r="F17" i="62"/>
  <c r="D17" i="62"/>
  <c r="L17" i="62" s="1"/>
  <c r="Z15" i="62"/>
  <c r="X15" i="62"/>
  <c r="N15" i="62"/>
  <c r="L15" i="62"/>
  <c r="J15" i="62"/>
  <c r="F15" i="62"/>
  <c r="B15" i="62"/>
  <c r="Z14" i="62"/>
  <c r="T14" i="62"/>
  <c r="P14" i="62"/>
  <c r="X14" i="62" s="1"/>
  <c r="N14" i="62"/>
  <c r="L14" i="62"/>
  <c r="J14" i="62"/>
  <c r="H14" i="62"/>
  <c r="F14" i="62"/>
  <c r="D14" i="62"/>
  <c r="T12" i="62"/>
  <c r="V65" i="62" s="1"/>
  <c r="P12" i="62"/>
  <c r="R43" i="62" s="1"/>
  <c r="N12" i="62"/>
  <c r="L12" i="62"/>
  <c r="H12" i="62"/>
  <c r="J86" i="62" s="1"/>
  <c r="D12" i="62"/>
  <c r="F88" i="62" s="1"/>
  <c r="D6" i="62"/>
  <c r="D4" i="62"/>
  <c r="J64" i="61"/>
  <c r="R61" i="61"/>
  <c r="Z59" i="61"/>
  <c r="X59" i="61"/>
  <c r="N59" i="61"/>
  <c r="L59" i="61"/>
  <c r="J57" i="61"/>
  <c r="H57" i="61"/>
  <c r="T55" i="61"/>
  <c r="Z55" i="61" s="1"/>
  <c r="R55" i="61"/>
  <c r="P55" i="61"/>
  <c r="X55" i="61" s="1"/>
  <c r="N55" i="61"/>
  <c r="H55" i="61"/>
  <c r="D55" i="61"/>
  <c r="L55" i="61" s="1"/>
  <c r="X53" i="61"/>
  <c r="Z53" i="61" s="1"/>
  <c r="N53" i="61"/>
  <c r="L53" i="61"/>
  <c r="B53" i="61"/>
  <c r="Z52" i="61"/>
  <c r="X52" i="61"/>
  <c r="T52" i="61"/>
  <c r="P52" i="61"/>
  <c r="L52" i="61"/>
  <c r="J52" i="61"/>
  <c r="H52" i="61"/>
  <c r="N52" i="61" s="1"/>
  <c r="D52" i="61"/>
  <c r="B52" i="61"/>
  <c r="Z51" i="61"/>
  <c r="X51" i="61"/>
  <c r="R51" i="61"/>
  <c r="N51" i="61"/>
  <c r="L51" i="61"/>
  <c r="B51" i="61"/>
  <c r="X50" i="61"/>
  <c r="Z50" i="61" s="1"/>
  <c r="N50" i="61"/>
  <c r="L50" i="61"/>
  <c r="B50" i="61"/>
  <c r="Z49" i="61"/>
  <c r="X49" i="61"/>
  <c r="T49" i="61"/>
  <c r="P49" i="61"/>
  <c r="J49" i="61"/>
  <c r="H49" i="61"/>
  <c r="D49" i="61"/>
  <c r="B49" i="61"/>
  <c r="X48" i="61"/>
  <c r="Z48" i="61" s="1"/>
  <c r="R48" i="61"/>
  <c r="N48" i="61"/>
  <c r="L48" i="61"/>
  <c r="B48" i="61"/>
  <c r="V47" i="61"/>
  <c r="T47" i="61"/>
  <c r="P47" i="61"/>
  <c r="J47" i="61"/>
  <c r="H47" i="61"/>
  <c r="F47" i="61"/>
  <c r="D47" i="61"/>
  <c r="L47" i="61" s="1"/>
  <c r="B47" i="61"/>
  <c r="Z46" i="61"/>
  <c r="X46" i="61"/>
  <c r="N46" i="61"/>
  <c r="L46" i="61"/>
  <c r="J46" i="61"/>
  <c r="B46" i="61"/>
  <c r="Z45" i="61"/>
  <c r="X45" i="61"/>
  <c r="N45" i="61"/>
  <c r="L45" i="61"/>
  <c r="J45" i="61"/>
  <c r="B45" i="61"/>
  <c r="T44" i="61"/>
  <c r="R44" i="61"/>
  <c r="P44" i="61"/>
  <c r="X44" i="61" s="1"/>
  <c r="H44" i="61"/>
  <c r="D44" i="61"/>
  <c r="L44" i="61" s="1"/>
  <c r="B44" i="61"/>
  <c r="Z43" i="61"/>
  <c r="X43" i="61"/>
  <c r="N43" i="61"/>
  <c r="L43" i="61"/>
  <c r="J43" i="61"/>
  <c r="F43" i="61"/>
  <c r="B43" i="61"/>
  <c r="T42" i="61"/>
  <c r="P42" i="61"/>
  <c r="X42" i="61" s="1"/>
  <c r="N42" i="61"/>
  <c r="L42" i="61"/>
  <c r="H42" i="61"/>
  <c r="D42" i="61"/>
  <c r="B42" i="61"/>
  <c r="Z41" i="61"/>
  <c r="X41" i="61"/>
  <c r="N41" i="61"/>
  <c r="L41" i="61"/>
  <c r="J41" i="61"/>
  <c r="B41" i="61"/>
  <c r="Z40" i="61"/>
  <c r="X40" i="61"/>
  <c r="T40" i="61"/>
  <c r="P40" i="61"/>
  <c r="L40" i="61"/>
  <c r="J40" i="61"/>
  <c r="H40" i="61"/>
  <c r="D40" i="61"/>
  <c r="B40" i="61"/>
  <c r="Z39" i="61"/>
  <c r="X39" i="61"/>
  <c r="R39" i="61"/>
  <c r="N39" i="61"/>
  <c r="L39" i="61"/>
  <c r="B39" i="61"/>
  <c r="Z38" i="61"/>
  <c r="X38" i="61"/>
  <c r="V38" i="61"/>
  <c r="N38" i="61"/>
  <c r="L38" i="61"/>
  <c r="B38" i="61"/>
  <c r="X37" i="61"/>
  <c r="Z37" i="61" s="1"/>
  <c r="N37" i="61"/>
  <c r="L37" i="61"/>
  <c r="J37" i="61"/>
  <c r="B37" i="61"/>
  <c r="Z36" i="61"/>
  <c r="X36" i="61"/>
  <c r="N36" i="61"/>
  <c r="L36" i="61"/>
  <c r="J36" i="61"/>
  <c r="F36" i="61"/>
  <c r="B36" i="61"/>
  <c r="Z35" i="61"/>
  <c r="X35" i="61"/>
  <c r="N35" i="61"/>
  <c r="L35" i="61"/>
  <c r="J35" i="61"/>
  <c r="F35" i="61"/>
  <c r="B35" i="61"/>
  <c r="Z34" i="61"/>
  <c r="X34" i="61"/>
  <c r="N34" i="61"/>
  <c r="L34" i="61"/>
  <c r="J34" i="61"/>
  <c r="B34" i="61"/>
  <c r="Z33" i="61"/>
  <c r="X33" i="61"/>
  <c r="N33" i="61"/>
  <c r="L33" i="61"/>
  <c r="J33" i="61"/>
  <c r="B33" i="61"/>
  <c r="Z32" i="61"/>
  <c r="X32" i="61"/>
  <c r="R32" i="61"/>
  <c r="N32" i="61"/>
  <c r="L32" i="61"/>
  <c r="J32" i="61"/>
  <c r="B32" i="61"/>
  <c r="Z31" i="61"/>
  <c r="X31" i="61"/>
  <c r="V31" i="61"/>
  <c r="R31" i="61"/>
  <c r="N31" i="61"/>
  <c r="L31" i="61"/>
  <c r="B31" i="61"/>
  <c r="Z30" i="61"/>
  <c r="X30" i="61"/>
  <c r="V30" i="61"/>
  <c r="N30" i="61"/>
  <c r="L30" i="61"/>
  <c r="B30" i="61"/>
  <c r="Z29" i="61"/>
  <c r="X29" i="61"/>
  <c r="T29" i="61"/>
  <c r="P29" i="61"/>
  <c r="J29" i="61"/>
  <c r="H29" i="61"/>
  <c r="D29" i="61"/>
  <c r="B29" i="61"/>
  <c r="X28" i="61"/>
  <c r="Z28" i="61" s="1"/>
  <c r="R28" i="61"/>
  <c r="N28" i="61"/>
  <c r="L28" i="61"/>
  <c r="J28" i="61"/>
  <c r="B28" i="61"/>
  <c r="Z27" i="61"/>
  <c r="X27" i="61"/>
  <c r="V27" i="61"/>
  <c r="R27" i="61"/>
  <c r="N27" i="61"/>
  <c r="L27" i="61"/>
  <c r="B27" i="61"/>
  <c r="X26" i="61"/>
  <c r="Z26" i="61" s="1"/>
  <c r="V26" i="61"/>
  <c r="N26" i="61"/>
  <c r="L26" i="61"/>
  <c r="B26" i="61"/>
  <c r="Z25" i="61"/>
  <c r="X25" i="61"/>
  <c r="N25" i="61"/>
  <c r="L25" i="61"/>
  <c r="J25" i="61"/>
  <c r="B25" i="61"/>
  <c r="Z24" i="61"/>
  <c r="X24" i="61"/>
  <c r="N24" i="61"/>
  <c r="L24" i="61"/>
  <c r="J24" i="61"/>
  <c r="F24" i="61"/>
  <c r="B24" i="61"/>
  <c r="Z23" i="61"/>
  <c r="X23" i="61"/>
  <c r="N23" i="61"/>
  <c r="L23" i="61"/>
  <c r="J23" i="61"/>
  <c r="F23" i="61"/>
  <c r="B23" i="61"/>
  <c r="Z22" i="61"/>
  <c r="X22" i="61"/>
  <c r="L22" i="61"/>
  <c r="N22" i="61" s="1"/>
  <c r="J22" i="61"/>
  <c r="B22" i="61"/>
  <c r="Z21" i="61"/>
  <c r="X21" i="61"/>
  <c r="L21" i="61"/>
  <c r="N21" i="61" s="1"/>
  <c r="J21" i="61"/>
  <c r="B21" i="61"/>
  <c r="X20" i="61"/>
  <c r="Z20" i="61" s="1"/>
  <c r="R20" i="61"/>
  <c r="N20" i="61"/>
  <c r="L20" i="61"/>
  <c r="J20" i="61"/>
  <c r="B20" i="61"/>
  <c r="T19" i="61"/>
  <c r="P19" i="61"/>
  <c r="J19" i="61"/>
  <c r="H19" i="61"/>
  <c r="F19" i="61"/>
  <c r="D19" i="61"/>
  <c r="L19" i="61" s="1"/>
  <c r="B19" i="61"/>
  <c r="T18" i="61"/>
  <c r="P18" i="61"/>
  <c r="X18" i="61" s="1"/>
  <c r="J18" i="61"/>
  <c r="H18" i="61"/>
  <c r="D18" i="61"/>
  <c r="L18" i="61" s="1"/>
  <c r="N18" i="61" s="1"/>
  <c r="V16" i="61"/>
  <c r="J16" i="61"/>
  <c r="H16" i="61"/>
  <c r="N16" i="61" s="1"/>
  <c r="F16" i="61"/>
  <c r="T14" i="61"/>
  <c r="Z14" i="61" s="1"/>
  <c r="P14" i="61"/>
  <c r="X14" i="61" s="1"/>
  <c r="N14" i="61"/>
  <c r="J14" i="61"/>
  <c r="H14" i="61"/>
  <c r="D14" i="61"/>
  <c r="L14" i="61" s="1"/>
  <c r="X12" i="61"/>
  <c r="T12" i="61"/>
  <c r="P12" i="61"/>
  <c r="R50" i="61" s="1"/>
  <c r="N12" i="61"/>
  <c r="H12" i="61"/>
  <c r="J48" i="61" s="1"/>
  <c r="D12" i="61"/>
  <c r="F64" i="61" s="1"/>
  <c r="D6" i="61"/>
  <c r="D4" i="61"/>
  <c r="J65" i="60"/>
  <c r="R62" i="60"/>
  <c r="Z60" i="60"/>
  <c r="X60" i="60"/>
  <c r="N60" i="60"/>
  <c r="L60" i="60"/>
  <c r="F60" i="60"/>
  <c r="J58" i="60"/>
  <c r="T56" i="60"/>
  <c r="R56" i="60"/>
  <c r="P56" i="60"/>
  <c r="H56" i="60"/>
  <c r="N56" i="60" s="1"/>
  <c r="D56" i="60"/>
  <c r="L56" i="60" s="1"/>
  <c r="Z54" i="60"/>
  <c r="X54" i="60"/>
  <c r="L54" i="60"/>
  <c r="N54" i="60" s="1"/>
  <c r="F54" i="60"/>
  <c r="B54" i="60"/>
  <c r="T53" i="60"/>
  <c r="P53" i="60"/>
  <c r="X53" i="60" s="1"/>
  <c r="Z53" i="60" s="1"/>
  <c r="N53" i="60"/>
  <c r="L53" i="60"/>
  <c r="H53" i="60"/>
  <c r="D53" i="60"/>
  <c r="B53" i="60"/>
  <c r="X52" i="60"/>
  <c r="Z52" i="60" s="1"/>
  <c r="V52" i="60"/>
  <c r="N52" i="60"/>
  <c r="L52" i="60"/>
  <c r="B52" i="60"/>
  <c r="X51" i="60"/>
  <c r="Z51" i="60" s="1"/>
  <c r="N51" i="60"/>
  <c r="L51" i="60"/>
  <c r="B51" i="60"/>
  <c r="Z50" i="60"/>
  <c r="X50" i="60"/>
  <c r="N50" i="60"/>
  <c r="L50" i="60"/>
  <c r="F50" i="60"/>
  <c r="B50" i="60"/>
  <c r="T49" i="60"/>
  <c r="R49" i="60"/>
  <c r="P49" i="60"/>
  <c r="X49" i="60" s="1"/>
  <c r="Z49" i="60" s="1"/>
  <c r="N49" i="60"/>
  <c r="L49" i="60"/>
  <c r="H49" i="60"/>
  <c r="D49" i="60"/>
  <c r="B49" i="60"/>
  <c r="X48" i="60"/>
  <c r="Z48" i="60" s="1"/>
  <c r="V48" i="60"/>
  <c r="N48" i="60"/>
  <c r="L48" i="60"/>
  <c r="B48" i="60"/>
  <c r="X47" i="60"/>
  <c r="Z47" i="60" s="1"/>
  <c r="T47" i="60"/>
  <c r="P47" i="60"/>
  <c r="J47" i="60"/>
  <c r="H47" i="60"/>
  <c r="D47" i="60"/>
  <c r="B47" i="60"/>
  <c r="Z46" i="60"/>
  <c r="X46" i="60"/>
  <c r="R46" i="60"/>
  <c r="N46" i="60"/>
  <c r="L46" i="60"/>
  <c r="B46" i="60"/>
  <c r="Z45" i="60"/>
  <c r="X45" i="60"/>
  <c r="V45" i="60"/>
  <c r="R45" i="60"/>
  <c r="N45" i="60"/>
  <c r="L45" i="60"/>
  <c r="B45" i="60"/>
  <c r="X44" i="60"/>
  <c r="V44" i="60"/>
  <c r="T44" i="60"/>
  <c r="Z44" i="60" s="1"/>
  <c r="P44" i="60"/>
  <c r="H44" i="60"/>
  <c r="F44" i="60"/>
  <c r="D44" i="60"/>
  <c r="B44" i="60"/>
  <c r="X43" i="60"/>
  <c r="Z43" i="60" s="1"/>
  <c r="N43" i="60"/>
  <c r="L43" i="60"/>
  <c r="B43" i="60"/>
  <c r="T42" i="60"/>
  <c r="R42" i="60"/>
  <c r="P42" i="60"/>
  <c r="H42" i="60"/>
  <c r="N42" i="60" s="1"/>
  <c r="D42" i="60"/>
  <c r="L42" i="60" s="1"/>
  <c r="B42" i="60"/>
  <c r="Z41" i="60"/>
  <c r="X41" i="60"/>
  <c r="N41" i="60"/>
  <c r="L41" i="60"/>
  <c r="J41" i="60"/>
  <c r="B41" i="60"/>
  <c r="T40" i="60"/>
  <c r="Z40" i="60" s="1"/>
  <c r="P40" i="60"/>
  <c r="X40" i="60" s="1"/>
  <c r="H40" i="60"/>
  <c r="D40" i="60"/>
  <c r="L40" i="60" s="1"/>
  <c r="N40" i="60" s="1"/>
  <c r="B40" i="60"/>
  <c r="Z39" i="60"/>
  <c r="X39" i="60"/>
  <c r="N39" i="60"/>
  <c r="L39" i="60"/>
  <c r="B39" i="60"/>
  <c r="Z38" i="60"/>
  <c r="X38" i="60"/>
  <c r="N38" i="60"/>
  <c r="L38" i="60"/>
  <c r="B38" i="60"/>
  <c r="Z37" i="60"/>
  <c r="X37" i="60"/>
  <c r="N37" i="60"/>
  <c r="L37" i="60"/>
  <c r="J37" i="60"/>
  <c r="B37" i="60"/>
  <c r="Z36" i="60"/>
  <c r="X36" i="60"/>
  <c r="R36" i="60"/>
  <c r="N36" i="60"/>
  <c r="L36" i="60"/>
  <c r="J36" i="60"/>
  <c r="B36" i="60"/>
  <c r="Z35" i="60"/>
  <c r="X35" i="60"/>
  <c r="R35" i="60"/>
  <c r="N35" i="60"/>
  <c r="L35" i="60"/>
  <c r="B35" i="60"/>
  <c r="Z34" i="60"/>
  <c r="X34" i="60"/>
  <c r="R34" i="60"/>
  <c r="N34" i="60"/>
  <c r="L34" i="60"/>
  <c r="B34" i="60"/>
  <c r="Z33" i="60"/>
  <c r="X33" i="60"/>
  <c r="V33" i="60"/>
  <c r="R33" i="60"/>
  <c r="N33" i="60"/>
  <c r="L33" i="60"/>
  <c r="B33" i="60"/>
  <c r="Z32" i="60"/>
  <c r="X32" i="60"/>
  <c r="V32" i="60"/>
  <c r="R32" i="60"/>
  <c r="N32" i="60"/>
  <c r="L32" i="60"/>
  <c r="B32" i="60"/>
  <c r="Z31" i="60"/>
  <c r="X31" i="60"/>
  <c r="N31" i="60"/>
  <c r="L31" i="60"/>
  <c r="B31" i="60"/>
  <c r="Z30" i="60"/>
  <c r="X30" i="60"/>
  <c r="N30" i="60"/>
  <c r="L30" i="60"/>
  <c r="B30" i="60"/>
  <c r="T29" i="60"/>
  <c r="R29" i="60"/>
  <c r="P29" i="60"/>
  <c r="X29" i="60" s="1"/>
  <c r="Z29" i="60" s="1"/>
  <c r="L29" i="60"/>
  <c r="N29" i="60" s="1"/>
  <c r="H29" i="60"/>
  <c r="D29" i="60"/>
  <c r="B29" i="60"/>
  <c r="X28" i="60"/>
  <c r="Z28" i="60" s="1"/>
  <c r="V28" i="60"/>
  <c r="R28" i="60"/>
  <c r="N28" i="60"/>
  <c r="L28" i="60"/>
  <c r="B28" i="60"/>
  <c r="X27" i="60"/>
  <c r="Z27" i="60" s="1"/>
  <c r="R27" i="60"/>
  <c r="L27" i="60"/>
  <c r="N27" i="60" s="1"/>
  <c r="J27" i="60"/>
  <c r="B27" i="60"/>
  <c r="Z26" i="60"/>
  <c r="X26" i="60"/>
  <c r="L26" i="60"/>
  <c r="N26" i="60" s="1"/>
  <c r="F26" i="60"/>
  <c r="B26" i="60"/>
  <c r="Z25" i="60"/>
  <c r="X25" i="60"/>
  <c r="N25" i="60"/>
  <c r="L25" i="60"/>
  <c r="J25" i="60"/>
  <c r="B25" i="60"/>
  <c r="Z24" i="60"/>
  <c r="X24" i="60"/>
  <c r="R24" i="60"/>
  <c r="N24" i="60"/>
  <c r="L24" i="60"/>
  <c r="J24" i="60"/>
  <c r="B24" i="60"/>
  <c r="X23" i="60"/>
  <c r="Z23" i="60" s="1"/>
  <c r="V23" i="60"/>
  <c r="R23" i="60"/>
  <c r="N23" i="60"/>
  <c r="L23" i="60"/>
  <c r="B23" i="60"/>
  <c r="X22" i="60"/>
  <c r="Z22" i="60" s="1"/>
  <c r="R22" i="60"/>
  <c r="N22" i="60"/>
  <c r="L22" i="60"/>
  <c r="B22" i="60"/>
  <c r="Z21" i="60"/>
  <c r="X21" i="60"/>
  <c r="V21" i="60"/>
  <c r="R21" i="60"/>
  <c r="N21" i="60"/>
  <c r="L21" i="60"/>
  <c r="B21" i="60"/>
  <c r="X20" i="60"/>
  <c r="Z20" i="60" s="1"/>
  <c r="V20" i="60"/>
  <c r="R20" i="60"/>
  <c r="N20" i="60"/>
  <c r="L20" i="60"/>
  <c r="B20" i="60"/>
  <c r="Z19" i="60"/>
  <c r="X19" i="60"/>
  <c r="V19" i="60"/>
  <c r="T19" i="60"/>
  <c r="P19" i="60"/>
  <c r="J19" i="60"/>
  <c r="H19" i="60"/>
  <c r="D19" i="60"/>
  <c r="B19" i="60"/>
  <c r="V18" i="60"/>
  <c r="T18" i="60"/>
  <c r="R18" i="60"/>
  <c r="P18" i="60"/>
  <c r="H18" i="60"/>
  <c r="D18" i="60"/>
  <c r="P16" i="60"/>
  <c r="J16" i="60"/>
  <c r="V14" i="60"/>
  <c r="T14" i="60"/>
  <c r="R14" i="60"/>
  <c r="P14" i="60"/>
  <c r="H14" i="60"/>
  <c r="H16" i="60" s="1"/>
  <c r="D14" i="60"/>
  <c r="L14" i="60" s="1"/>
  <c r="Z12" i="60"/>
  <c r="X12" i="60"/>
  <c r="T12" i="60"/>
  <c r="V51" i="60" s="1"/>
  <c r="P12" i="60"/>
  <c r="R52" i="60" s="1"/>
  <c r="H12" i="60"/>
  <c r="J53" i="60" s="1"/>
  <c r="D12" i="60"/>
  <c r="F30" i="60" s="1"/>
  <c r="D6" i="60"/>
  <c r="D4" i="60"/>
  <c r="V64" i="59"/>
  <c r="F64" i="59"/>
  <c r="Z62" i="59"/>
  <c r="X62" i="59"/>
  <c r="N62" i="59"/>
  <c r="L62" i="59"/>
  <c r="J62" i="59"/>
  <c r="X58" i="59"/>
  <c r="V58" i="59"/>
  <c r="T58" i="59"/>
  <c r="Z58" i="59" s="1"/>
  <c r="P58" i="59"/>
  <c r="H58" i="59"/>
  <c r="F58" i="59"/>
  <c r="D58" i="59"/>
  <c r="Z56" i="59"/>
  <c r="X56" i="59"/>
  <c r="L56" i="59"/>
  <c r="N56" i="59" s="1"/>
  <c r="J56" i="59"/>
  <c r="B56" i="59"/>
  <c r="Z55" i="59"/>
  <c r="X55" i="59"/>
  <c r="L55" i="59"/>
  <c r="N55" i="59" s="1"/>
  <c r="B55" i="59"/>
  <c r="T54" i="59"/>
  <c r="P54" i="59"/>
  <c r="H54" i="59"/>
  <c r="D54" i="59"/>
  <c r="L54" i="59" s="1"/>
  <c r="B54" i="59"/>
  <c r="Z53" i="59"/>
  <c r="X53" i="59"/>
  <c r="N53" i="59"/>
  <c r="L53" i="59"/>
  <c r="J53" i="59"/>
  <c r="F53" i="59"/>
  <c r="B53" i="59"/>
  <c r="T52" i="59"/>
  <c r="P52" i="59"/>
  <c r="X52" i="59" s="1"/>
  <c r="H52" i="59"/>
  <c r="D52" i="59"/>
  <c r="L52" i="59" s="1"/>
  <c r="N52" i="59" s="1"/>
  <c r="B52" i="59"/>
  <c r="Z51" i="59"/>
  <c r="X51" i="59"/>
  <c r="N51" i="59"/>
  <c r="L51" i="59"/>
  <c r="B51" i="59"/>
  <c r="Z50" i="59"/>
  <c r="X50" i="59"/>
  <c r="L50" i="59"/>
  <c r="N50" i="59" s="1"/>
  <c r="F50" i="59"/>
  <c r="B50" i="59"/>
  <c r="Z49" i="59"/>
  <c r="X49" i="59"/>
  <c r="N49" i="59"/>
  <c r="L49" i="59"/>
  <c r="J49" i="59"/>
  <c r="F49" i="59"/>
  <c r="B49" i="59"/>
  <c r="Z48" i="59"/>
  <c r="X48" i="59"/>
  <c r="L48" i="59"/>
  <c r="N48" i="59" s="1"/>
  <c r="J48" i="59"/>
  <c r="B48" i="59"/>
  <c r="T47" i="59"/>
  <c r="Z47" i="59" s="1"/>
  <c r="P47" i="59"/>
  <c r="X47" i="59" s="1"/>
  <c r="H47" i="59"/>
  <c r="D47" i="59"/>
  <c r="L47" i="59" s="1"/>
  <c r="N47" i="59" s="1"/>
  <c r="B47" i="59"/>
  <c r="Z46" i="59"/>
  <c r="X46" i="59"/>
  <c r="L46" i="59"/>
  <c r="N46" i="59" s="1"/>
  <c r="F46" i="59"/>
  <c r="B46" i="59"/>
  <c r="T45" i="59"/>
  <c r="P45" i="59"/>
  <c r="X45" i="59" s="1"/>
  <c r="Z45" i="59" s="1"/>
  <c r="N45" i="59"/>
  <c r="L45" i="59"/>
  <c r="H45" i="59"/>
  <c r="D45" i="59"/>
  <c r="B45" i="59"/>
  <c r="X44" i="59"/>
  <c r="Z44" i="59" s="1"/>
  <c r="V44" i="59"/>
  <c r="N44" i="59"/>
  <c r="L44" i="59"/>
  <c r="B44" i="59"/>
  <c r="X43" i="59"/>
  <c r="Z43" i="59" s="1"/>
  <c r="L43" i="59"/>
  <c r="N43" i="59" s="1"/>
  <c r="B43" i="59"/>
  <c r="T42" i="59"/>
  <c r="P42" i="59"/>
  <c r="X42" i="59" s="1"/>
  <c r="Z42" i="59" s="1"/>
  <c r="L42" i="59"/>
  <c r="J42" i="59"/>
  <c r="H42" i="59"/>
  <c r="N42" i="59" s="1"/>
  <c r="D42" i="59"/>
  <c r="B42" i="59"/>
  <c r="Z41" i="59"/>
  <c r="X41" i="59"/>
  <c r="V41" i="59"/>
  <c r="N41" i="59"/>
  <c r="L41" i="59"/>
  <c r="B41" i="59"/>
  <c r="X40" i="59"/>
  <c r="V40" i="59"/>
  <c r="T40" i="59"/>
  <c r="Z40" i="59" s="1"/>
  <c r="P40" i="59"/>
  <c r="H40" i="59"/>
  <c r="F40" i="59"/>
  <c r="D40" i="59"/>
  <c r="B40" i="59"/>
  <c r="Z39" i="59"/>
  <c r="X39" i="59"/>
  <c r="N39" i="59"/>
  <c r="L39" i="59"/>
  <c r="B39" i="59"/>
  <c r="Z38" i="59"/>
  <c r="X38" i="59"/>
  <c r="R38" i="59"/>
  <c r="N38" i="59"/>
  <c r="L38" i="59"/>
  <c r="B38" i="59"/>
  <c r="Z37" i="59"/>
  <c r="X37" i="59"/>
  <c r="V37" i="59"/>
  <c r="N37" i="59"/>
  <c r="L37" i="59"/>
  <c r="B37" i="59"/>
  <c r="Z36" i="59"/>
  <c r="X36" i="59"/>
  <c r="V36" i="59"/>
  <c r="N36" i="59"/>
  <c r="L36" i="59"/>
  <c r="F36" i="59"/>
  <c r="B36" i="59"/>
  <c r="Z35" i="59"/>
  <c r="X35" i="59"/>
  <c r="N35" i="59"/>
  <c r="L35" i="59"/>
  <c r="J35" i="59"/>
  <c r="B35" i="59"/>
  <c r="Z34" i="59"/>
  <c r="X34" i="59"/>
  <c r="N34" i="59"/>
  <c r="L34" i="59"/>
  <c r="F34" i="59"/>
  <c r="B34" i="59"/>
  <c r="Z33" i="59"/>
  <c r="X33" i="59"/>
  <c r="N33" i="59"/>
  <c r="L33" i="59"/>
  <c r="J33" i="59"/>
  <c r="F33" i="59"/>
  <c r="B33" i="59"/>
  <c r="Z32" i="59"/>
  <c r="X32" i="59"/>
  <c r="N32" i="59"/>
  <c r="L32" i="59"/>
  <c r="J32" i="59"/>
  <c r="F32" i="59"/>
  <c r="B32" i="59"/>
  <c r="X31" i="59"/>
  <c r="Z31" i="59" s="1"/>
  <c r="N31" i="59"/>
  <c r="L31" i="59"/>
  <c r="J31" i="59"/>
  <c r="B31" i="59"/>
  <c r="Z30" i="59"/>
  <c r="X30" i="59"/>
  <c r="N30" i="59"/>
  <c r="L30" i="59"/>
  <c r="B30" i="59"/>
  <c r="V29" i="59"/>
  <c r="T29" i="59"/>
  <c r="P29" i="59"/>
  <c r="J29" i="59"/>
  <c r="H29" i="59"/>
  <c r="F29" i="59"/>
  <c r="D29" i="59"/>
  <c r="L29" i="59" s="1"/>
  <c r="B29" i="59"/>
  <c r="Z28" i="59"/>
  <c r="X28" i="59"/>
  <c r="L28" i="59"/>
  <c r="N28" i="59" s="1"/>
  <c r="J28" i="59"/>
  <c r="F28" i="59"/>
  <c r="B28" i="59"/>
  <c r="X27" i="59"/>
  <c r="Z27" i="59" s="1"/>
  <c r="V27" i="59"/>
  <c r="N27" i="59"/>
  <c r="L27" i="59"/>
  <c r="J27" i="59"/>
  <c r="B27" i="59"/>
  <c r="X26" i="59"/>
  <c r="Z26" i="59" s="1"/>
  <c r="N26" i="59"/>
  <c r="L26" i="59"/>
  <c r="B26" i="59"/>
  <c r="Z25" i="59"/>
  <c r="X25" i="59"/>
  <c r="V25" i="59"/>
  <c r="N25" i="59"/>
  <c r="L25" i="59"/>
  <c r="B25" i="59"/>
  <c r="X24" i="59"/>
  <c r="Z24" i="59" s="1"/>
  <c r="V24" i="59"/>
  <c r="N24" i="59"/>
  <c r="L24" i="59"/>
  <c r="F24" i="59"/>
  <c r="B24" i="59"/>
  <c r="X23" i="59"/>
  <c r="Z23" i="59" s="1"/>
  <c r="V23" i="59"/>
  <c r="L23" i="59"/>
  <c r="N23" i="59" s="1"/>
  <c r="J23" i="59"/>
  <c r="F23" i="59"/>
  <c r="B23" i="59"/>
  <c r="Z22" i="59"/>
  <c r="X22" i="59"/>
  <c r="L22" i="59"/>
  <c r="N22" i="59" s="1"/>
  <c r="F22" i="59"/>
  <c r="B22" i="59"/>
  <c r="Z21" i="59"/>
  <c r="X21" i="59"/>
  <c r="N21" i="59"/>
  <c r="L21" i="59"/>
  <c r="J21" i="59"/>
  <c r="F21" i="59"/>
  <c r="B21" i="59"/>
  <c r="Z20" i="59"/>
  <c r="X20" i="59"/>
  <c r="L20" i="59"/>
  <c r="N20" i="59" s="1"/>
  <c r="J20" i="59"/>
  <c r="F20" i="59"/>
  <c r="B20" i="59"/>
  <c r="V19" i="59"/>
  <c r="T19" i="59"/>
  <c r="Z19" i="59" s="1"/>
  <c r="P19" i="59"/>
  <c r="X19" i="59" s="1"/>
  <c r="N19" i="59"/>
  <c r="H19" i="59"/>
  <c r="F19" i="59"/>
  <c r="D19" i="59"/>
  <c r="L19" i="59" s="1"/>
  <c r="B19" i="59"/>
  <c r="T18" i="59"/>
  <c r="P18" i="59"/>
  <c r="X18" i="59" s="1"/>
  <c r="Z18" i="59" s="1"/>
  <c r="J18" i="59"/>
  <c r="H18" i="59"/>
  <c r="F18" i="59"/>
  <c r="D18" i="59"/>
  <c r="T16" i="59"/>
  <c r="F16" i="59"/>
  <c r="D16" i="59"/>
  <c r="Z14" i="59"/>
  <c r="T14" i="59"/>
  <c r="P14" i="59"/>
  <c r="X14" i="59" s="1"/>
  <c r="J14" i="59"/>
  <c r="H14" i="59"/>
  <c r="F14" i="59"/>
  <c r="D14" i="59"/>
  <c r="T12" i="59"/>
  <c r="V51" i="59" s="1"/>
  <c r="P12" i="59"/>
  <c r="R37" i="59" s="1"/>
  <c r="N12" i="59"/>
  <c r="L12" i="59"/>
  <c r="H12" i="59"/>
  <c r="J55" i="59" s="1"/>
  <c r="D12" i="59"/>
  <c r="F62" i="59" s="1"/>
  <c r="D6" i="59"/>
  <c r="D4" i="59"/>
  <c r="V83" i="58"/>
  <c r="J83" i="58"/>
  <c r="R80" i="58"/>
  <c r="Z78" i="58"/>
  <c r="X78" i="58"/>
  <c r="R78" i="58"/>
  <c r="N78" i="58"/>
  <c r="L78" i="58"/>
  <c r="F78" i="58"/>
  <c r="V76" i="58"/>
  <c r="F76" i="58"/>
  <c r="D76" i="58"/>
  <c r="D80" i="58" s="1"/>
  <c r="D83" i="58" s="1"/>
  <c r="T74" i="58"/>
  <c r="Z74" i="58" s="1"/>
  <c r="P74" i="58"/>
  <c r="N74" i="58"/>
  <c r="H74" i="58"/>
  <c r="D74" i="58"/>
  <c r="L74" i="58" s="1"/>
  <c r="Z72" i="58"/>
  <c r="X72" i="58"/>
  <c r="V72" i="58"/>
  <c r="N72" i="58"/>
  <c r="L72" i="58"/>
  <c r="B72" i="58"/>
  <c r="Z71" i="58"/>
  <c r="X71" i="58"/>
  <c r="V71" i="58"/>
  <c r="T71" i="58"/>
  <c r="P71" i="58"/>
  <c r="J71" i="58"/>
  <c r="H71" i="58"/>
  <c r="D71" i="58"/>
  <c r="B71" i="58"/>
  <c r="X70" i="58"/>
  <c r="Z70" i="58" s="1"/>
  <c r="V70" i="58"/>
  <c r="L70" i="58"/>
  <c r="N70" i="58" s="1"/>
  <c r="B70" i="58"/>
  <c r="X69" i="58"/>
  <c r="V69" i="58"/>
  <c r="T69" i="58"/>
  <c r="R69" i="58"/>
  <c r="P69" i="58"/>
  <c r="H69" i="58"/>
  <c r="F69" i="58"/>
  <c r="D69" i="58"/>
  <c r="L69" i="58" s="1"/>
  <c r="N69" i="58" s="1"/>
  <c r="B69" i="58"/>
  <c r="X68" i="58"/>
  <c r="Z68" i="58" s="1"/>
  <c r="N68" i="58"/>
  <c r="L68" i="58"/>
  <c r="J68" i="58"/>
  <c r="B68" i="58"/>
  <c r="V67" i="58"/>
  <c r="T67" i="58"/>
  <c r="P67" i="58"/>
  <c r="N67" i="58"/>
  <c r="L67" i="58"/>
  <c r="H67" i="58"/>
  <c r="F67" i="58"/>
  <c r="D67" i="58"/>
  <c r="B67" i="58"/>
  <c r="Z66" i="58"/>
  <c r="X66" i="58"/>
  <c r="V66" i="58"/>
  <c r="N66" i="58"/>
  <c r="L66" i="58"/>
  <c r="B66" i="58"/>
  <c r="Z65" i="58"/>
  <c r="X65" i="58"/>
  <c r="V65" i="58"/>
  <c r="R65" i="58"/>
  <c r="N65" i="58"/>
  <c r="L65" i="58"/>
  <c r="B65" i="58"/>
  <c r="Z64" i="58"/>
  <c r="X64" i="58"/>
  <c r="V64" i="58"/>
  <c r="R64" i="58"/>
  <c r="L64" i="58"/>
  <c r="N64" i="58" s="1"/>
  <c r="F64" i="58"/>
  <c r="B64" i="58"/>
  <c r="Z63" i="58"/>
  <c r="X63" i="58"/>
  <c r="V63" i="58"/>
  <c r="N63" i="58"/>
  <c r="L63" i="58"/>
  <c r="J63" i="58"/>
  <c r="B63" i="58"/>
  <c r="T62" i="58"/>
  <c r="P62" i="58"/>
  <c r="X62" i="58" s="1"/>
  <c r="Z62" i="58" s="1"/>
  <c r="J62" i="58"/>
  <c r="H62" i="58"/>
  <c r="D62" i="58"/>
  <c r="L62" i="58" s="1"/>
  <c r="B62" i="58"/>
  <c r="Z61" i="58"/>
  <c r="X61" i="58"/>
  <c r="V61" i="58"/>
  <c r="R61" i="58"/>
  <c r="N61" i="58"/>
  <c r="L61" i="58"/>
  <c r="B61" i="58"/>
  <c r="V60" i="58"/>
  <c r="T60" i="58"/>
  <c r="P60" i="58"/>
  <c r="L60" i="58"/>
  <c r="H60" i="58"/>
  <c r="N60" i="58" s="1"/>
  <c r="F60" i="58"/>
  <c r="D60" i="58"/>
  <c r="B60" i="58"/>
  <c r="Z59" i="58"/>
  <c r="X59" i="58"/>
  <c r="V59" i="58"/>
  <c r="N59" i="58"/>
  <c r="L59" i="58"/>
  <c r="J59" i="58"/>
  <c r="B59" i="58"/>
  <c r="X58" i="58"/>
  <c r="Z58" i="58" s="1"/>
  <c r="V58" i="58"/>
  <c r="N58" i="58"/>
  <c r="L58" i="58"/>
  <c r="B58" i="58"/>
  <c r="Z57" i="58"/>
  <c r="V57" i="58"/>
  <c r="T57" i="58"/>
  <c r="X57" i="58" s="1"/>
  <c r="R57" i="58"/>
  <c r="P57" i="58"/>
  <c r="J57" i="58"/>
  <c r="H57" i="58"/>
  <c r="D57" i="58"/>
  <c r="L57" i="58" s="1"/>
  <c r="B57" i="58"/>
  <c r="X56" i="58"/>
  <c r="Z56" i="58" s="1"/>
  <c r="R56" i="58"/>
  <c r="N56" i="58"/>
  <c r="L56" i="58"/>
  <c r="J56" i="58"/>
  <c r="F56" i="58"/>
  <c r="B56" i="58"/>
  <c r="Z55" i="58"/>
  <c r="X55" i="58"/>
  <c r="V55" i="58"/>
  <c r="L55" i="58"/>
  <c r="N55" i="58" s="1"/>
  <c r="J55" i="58"/>
  <c r="B55" i="58"/>
  <c r="Z54" i="58"/>
  <c r="X54" i="58"/>
  <c r="V54" i="58"/>
  <c r="N54" i="58"/>
  <c r="L54" i="58"/>
  <c r="B54" i="58"/>
  <c r="V53" i="58"/>
  <c r="T53" i="58"/>
  <c r="X53" i="58" s="1"/>
  <c r="R53" i="58"/>
  <c r="P53" i="58"/>
  <c r="J53" i="58"/>
  <c r="H53" i="58"/>
  <c r="D53" i="58"/>
  <c r="L53" i="58" s="1"/>
  <c r="B53" i="58"/>
  <c r="X52" i="58"/>
  <c r="Z52" i="58" s="1"/>
  <c r="R52" i="58"/>
  <c r="N52" i="58"/>
  <c r="L52" i="58"/>
  <c r="J52" i="58"/>
  <c r="F52" i="58"/>
  <c r="B52" i="58"/>
  <c r="V51" i="58"/>
  <c r="T51" i="58"/>
  <c r="Z51" i="58" s="1"/>
  <c r="P51" i="58"/>
  <c r="X51" i="58" s="1"/>
  <c r="H51" i="58"/>
  <c r="F51" i="58"/>
  <c r="D51" i="58"/>
  <c r="L51" i="58" s="1"/>
  <c r="N51" i="58" s="1"/>
  <c r="B51" i="58"/>
  <c r="Z50" i="58"/>
  <c r="X50" i="58"/>
  <c r="N50" i="58"/>
  <c r="L50" i="58"/>
  <c r="B50" i="58"/>
  <c r="Z49" i="58"/>
  <c r="V49" i="58"/>
  <c r="T49" i="58"/>
  <c r="R49" i="58"/>
  <c r="P49" i="58"/>
  <c r="X49" i="58" s="1"/>
  <c r="N49" i="58"/>
  <c r="L49" i="58"/>
  <c r="J49" i="58"/>
  <c r="H49" i="58"/>
  <c r="D49" i="58"/>
  <c r="B49" i="58"/>
  <c r="Z48" i="58"/>
  <c r="X48" i="58"/>
  <c r="V48" i="58"/>
  <c r="R48" i="58"/>
  <c r="L48" i="58"/>
  <c r="N48" i="58" s="1"/>
  <c r="F48" i="58"/>
  <c r="B48" i="58"/>
  <c r="X47" i="58"/>
  <c r="Z47" i="58" s="1"/>
  <c r="V47" i="58"/>
  <c r="T47" i="58"/>
  <c r="P47" i="58"/>
  <c r="H47" i="58"/>
  <c r="L47" i="58" s="1"/>
  <c r="F47" i="58"/>
  <c r="D47" i="58"/>
  <c r="B47" i="58"/>
  <c r="X46" i="58"/>
  <c r="Z46" i="58" s="1"/>
  <c r="V46" i="58"/>
  <c r="L46" i="58"/>
  <c r="N46" i="58" s="1"/>
  <c r="B46" i="58"/>
  <c r="Z45" i="58"/>
  <c r="V45" i="58"/>
  <c r="T45" i="58"/>
  <c r="X45" i="58" s="1"/>
  <c r="R45" i="58"/>
  <c r="P45" i="58"/>
  <c r="J45" i="58"/>
  <c r="H45" i="58"/>
  <c r="D45" i="58"/>
  <c r="L45" i="58" s="1"/>
  <c r="B45" i="58"/>
  <c r="X44" i="58"/>
  <c r="Z44" i="58" s="1"/>
  <c r="R44" i="58"/>
  <c r="N44" i="58"/>
  <c r="L44" i="58"/>
  <c r="J44" i="58"/>
  <c r="F44" i="58"/>
  <c r="B44" i="58"/>
  <c r="V43" i="58"/>
  <c r="T43" i="58"/>
  <c r="P43" i="58"/>
  <c r="X43" i="58" s="1"/>
  <c r="H43" i="58"/>
  <c r="F43" i="58"/>
  <c r="D43" i="58"/>
  <c r="L43" i="58" s="1"/>
  <c r="N43" i="58" s="1"/>
  <c r="B43" i="58"/>
  <c r="Z42" i="58"/>
  <c r="X42" i="58"/>
  <c r="L42" i="58"/>
  <c r="N42" i="58" s="1"/>
  <c r="B42" i="58"/>
  <c r="V41" i="58"/>
  <c r="T41" i="58"/>
  <c r="R41" i="58"/>
  <c r="P41" i="58"/>
  <c r="X41" i="58" s="1"/>
  <c r="Z41" i="58" s="1"/>
  <c r="L41" i="58"/>
  <c r="N41" i="58" s="1"/>
  <c r="J41" i="58"/>
  <c r="H41" i="58"/>
  <c r="D41" i="58"/>
  <c r="B41" i="58"/>
  <c r="Z40" i="58"/>
  <c r="X40" i="58"/>
  <c r="V40" i="58"/>
  <c r="R40" i="58"/>
  <c r="N40" i="58"/>
  <c r="L40" i="58"/>
  <c r="F40" i="58"/>
  <c r="B40" i="58"/>
  <c r="Z39" i="58"/>
  <c r="X39" i="58"/>
  <c r="V39" i="58"/>
  <c r="N39" i="58"/>
  <c r="L39" i="58"/>
  <c r="J39" i="58"/>
  <c r="B39" i="58"/>
  <c r="Z38" i="58"/>
  <c r="X38" i="58"/>
  <c r="N38" i="58"/>
  <c r="L38" i="58"/>
  <c r="B38" i="58"/>
  <c r="Z37" i="58"/>
  <c r="X37" i="58"/>
  <c r="V37" i="58"/>
  <c r="N37" i="58"/>
  <c r="L37" i="58"/>
  <c r="F37" i="58"/>
  <c r="B37" i="58"/>
  <c r="Z36" i="58"/>
  <c r="X36" i="58"/>
  <c r="R36" i="58"/>
  <c r="N36" i="58"/>
  <c r="L36" i="58"/>
  <c r="J36" i="58"/>
  <c r="F36" i="58"/>
  <c r="B36" i="58"/>
  <c r="Z35" i="58"/>
  <c r="X35" i="58"/>
  <c r="V35" i="58"/>
  <c r="L35" i="58"/>
  <c r="N35" i="58" s="1"/>
  <c r="J35" i="58"/>
  <c r="B35" i="58"/>
  <c r="X34" i="58"/>
  <c r="Z34" i="58" s="1"/>
  <c r="V34" i="58"/>
  <c r="L34" i="58"/>
  <c r="N34" i="58" s="1"/>
  <c r="B34" i="58"/>
  <c r="Z33" i="58"/>
  <c r="X33" i="58"/>
  <c r="V33" i="58"/>
  <c r="R33" i="58"/>
  <c r="N33" i="58"/>
  <c r="L33" i="58"/>
  <c r="B33" i="58"/>
  <c r="Z32" i="58"/>
  <c r="X32" i="58"/>
  <c r="V32" i="58"/>
  <c r="R32" i="58"/>
  <c r="N32" i="58"/>
  <c r="L32" i="58"/>
  <c r="F32" i="58"/>
  <c r="B32" i="58"/>
  <c r="X31" i="58"/>
  <c r="Z31" i="58" s="1"/>
  <c r="V31" i="58"/>
  <c r="N31" i="58"/>
  <c r="L31" i="58"/>
  <c r="J31" i="58"/>
  <c r="B31" i="58"/>
  <c r="X30" i="58"/>
  <c r="Z30" i="58" s="1"/>
  <c r="T30" i="58"/>
  <c r="P30" i="58"/>
  <c r="J30" i="58"/>
  <c r="H30" i="58"/>
  <c r="D30" i="58"/>
  <c r="L30" i="58" s="1"/>
  <c r="B30" i="58"/>
  <c r="Z29" i="58"/>
  <c r="X29" i="58"/>
  <c r="V29" i="58"/>
  <c r="R29" i="58"/>
  <c r="N29" i="58"/>
  <c r="L29" i="58"/>
  <c r="B29" i="58"/>
  <c r="Z28" i="58"/>
  <c r="X28" i="58"/>
  <c r="V28" i="58"/>
  <c r="R28" i="58"/>
  <c r="L28" i="58"/>
  <c r="N28" i="58" s="1"/>
  <c r="F28" i="58"/>
  <c r="B28" i="58"/>
  <c r="X27" i="58"/>
  <c r="Z27" i="58" s="1"/>
  <c r="V27" i="58"/>
  <c r="N27" i="58"/>
  <c r="L27" i="58"/>
  <c r="J27" i="58"/>
  <c r="B27" i="58"/>
  <c r="Z26" i="58"/>
  <c r="X26" i="58"/>
  <c r="N26" i="58"/>
  <c r="L26" i="58"/>
  <c r="B26" i="58"/>
  <c r="Z25" i="58"/>
  <c r="X25" i="58"/>
  <c r="V25" i="58"/>
  <c r="N25" i="58"/>
  <c r="L25" i="58"/>
  <c r="F25" i="58"/>
  <c r="B25" i="58"/>
  <c r="X24" i="58"/>
  <c r="Z24" i="58" s="1"/>
  <c r="R24" i="58"/>
  <c r="N24" i="58"/>
  <c r="L24" i="58"/>
  <c r="J24" i="58"/>
  <c r="F24" i="58"/>
  <c r="B24" i="58"/>
  <c r="Z23" i="58"/>
  <c r="X23" i="58"/>
  <c r="V23" i="58"/>
  <c r="L23" i="58"/>
  <c r="N23" i="58" s="1"/>
  <c r="J23" i="58"/>
  <c r="B23" i="58"/>
  <c r="X22" i="58"/>
  <c r="Z22" i="58" s="1"/>
  <c r="V22" i="58"/>
  <c r="N22" i="58"/>
  <c r="L22" i="58"/>
  <c r="B22" i="58"/>
  <c r="Z21" i="58"/>
  <c r="X21" i="58"/>
  <c r="V21" i="58"/>
  <c r="R21" i="58"/>
  <c r="N21" i="58"/>
  <c r="L21" i="58"/>
  <c r="B21" i="58"/>
  <c r="Z20" i="58"/>
  <c r="X20" i="58"/>
  <c r="V20" i="58"/>
  <c r="R20" i="58"/>
  <c r="L20" i="58"/>
  <c r="N20" i="58" s="1"/>
  <c r="F20" i="58"/>
  <c r="B20" i="58"/>
  <c r="X19" i="58"/>
  <c r="Z19" i="58" s="1"/>
  <c r="V19" i="58"/>
  <c r="T19" i="58"/>
  <c r="P19" i="58"/>
  <c r="H19" i="58"/>
  <c r="L19" i="58" s="1"/>
  <c r="F19" i="58"/>
  <c r="D19" i="58"/>
  <c r="B19" i="58"/>
  <c r="V18" i="58"/>
  <c r="T18" i="58"/>
  <c r="R18" i="58"/>
  <c r="P18" i="58"/>
  <c r="X18" i="58" s="1"/>
  <c r="H18" i="58"/>
  <c r="D18" i="58"/>
  <c r="Z16" i="58"/>
  <c r="T16" i="58"/>
  <c r="J16" i="58"/>
  <c r="H16" i="58"/>
  <c r="D16" i="58"/>
  <c r="L16" i="58" s="1"/>
  <c r="X14" i="58"/>
  <c r="V14" i="58"/>
  <c r="T14" i="58"/>
  <c r="Z14" i="58" s="1"/>
  <c r="R14" i="58"/>
  <c r="P14" i="58"/>
  <c r="P16" i="58" s="1"/>
  <c r="H14" i="58"/>
  <c r="D14" i="58"/>
  <c r="Z12" i="58"/>
  <c r="X12" i="58"/>
  <c r="T12" i="58"/>
  <c r="V78" i="58" s="1"/>
  <c r="P12" i="58"/>
  <c r="R72" i="58" s="1"/>
  <c r="L12" i="58"/>
  <c r="H12" i="58"/>
  <c r="J67" i="58" s="1"/>
  <c r="D12" i="58"/>
  <c r="D6" i="58"/>
  <c r="D4" i="58"/>
  <c r="R72" i="57"/>
  <c r="V69" i="57"/>
  <c r="F69" i="57"/>
  <c r="Z67" i="57"/>
  <c r="X67" i="57"/>
  <c r="R67" i="57"/>
  <c r="N67" i="57"/>
  <c r="L67" i="57"/>
  <c r="J67" i="57"/>
  <c r="F67" i="57"/>
  <c r="R65" i="57"/>
  <c r="V63" i="57"/>
  <c r="T63" i="57"/>
  <c r="Z63" i="57" s="1"/>
  <c r="P63" i="57"/>
  <c r="X63" i="57" s="1"/>
  <c r="H63" i="57"/>
  <c r="N63" i="57" s="1"/>
  <c r="D63" i="57"/>
  <c r="L63" i="57" s="1"/>
  <c r="Z61" i="57"/>
  <c r="X61" i="57"/>
  <c r="R61" i="57"/>
  <c r="N61" i="57"/>
  <c r="L61" i="57"/>
  <c r="J61" i="57"/>
  <c r="B61" i="57"/>
  <c r="Z60" i="57"/>
  <c r="V60" i="57"/>
  <c r="T60" i="57"/>
  <c r="R60" i="57"/>
  <c r="P60" i="57"/>
  <c r="X60" i="57" s="1"/>
  <c r="N60" i="57"/>
  <c r="H60" i="57"/>
  <c r="D60" i="57"/>
  <c r="L60" i="57" s="1"/>
  <c r="B60" i="57"/>
  <c r="Z59" i="57"/>
  <c r="X59" i="57"/>
  <c r="R59" i="57"/>
  <c r="N59" i="57"/>
  <c r="L59" i="57"/>
  <c r="B59" i="57"/>
  <c r="Z58" i="57"/>
  <c r="T58" i="57"/>
  <c r="R58" i="57"/>
  <c r="P58" i="57"/>
  <c r="X58" i="57" s="1"/>
  <c r="N58" i="57"/>
  <c r="L58" i="57"/>
  <c r="J58" i="57"/>
  <c r="H58" i="57"/>
  <c r="D58" i="57"/>
  <c r="B58" i="57"/>
  <c r="X57" i="57"/>
  <c r="Z57" i="57" s="1"/>
  <c r="V57" i="57"/>
  <c r="R57" i="57"/>
  <c r="L57" i="57"/>
  <c r="N57" i="57" s="1"/>
  <c r="B57" i="57"/>
  <c r="X56" i="57"/>
  <c r="Z56" i="57" s="1"/>
  <c r="V56" i="57"/>
  <c r="T56" i="57"/>
  <c r="R56" i="57"/>
  <c r="P56" i="57"/>
  <c r="N56" i="57"/>
  <c r="H56" i="57"/>
  <c r="L56" i="57" s="1"/>
  <c r="D56" i="57"/>
  <c r="B56" i="57"/>
  <c r="X55" i="57"/>
  <c r="Z55" i="57" s="1"/>
  <c r="R55" i="57"/>
  <c r="L55" i="57"/>
  <c r="N55" i="57" s="1"/>
  <c r="B55" i="57"/>
  <c r="Z54" i="57"/>
  <c r="T54" i="57"/>
  <c r="X54" i="57" s="1"/>
  <c r="R54" i="57"/>
  <c r="P54" i="57"/>
  <c r="J54" i="57"/>
  <c r="H54" i="57"/>
  <c r="D54" i="57"/>
  <c r="L54" i="57" s="1"/>
  <c r="N54" i="57" s="1"/>
  <c r="B54" i="57"/>
  <c r="X53" i="57"/>
  <c r="Z53" i="57" s="1"/>
  <c r="R53" i="57"/>
  <c r="L53" i="57"/>
  <c r="N53" i="57" s="1"/>
  <c r="J53" i="57"/>
  <c r="F53" i="57"/>
  <c r="B53" i="57"/>
  <c r="V52" i="57"/>
  <c r="T52" i="57"/>
  <c r="R52" i="57"/>
  <c r="P52" i="57"/>
  <c r="X52" i="57" s="1"/>
  <c r="Z52" i="57" s="1"/>
  <c r="J52" i="57"/>
  <c r="H52" i="57"/>
  <c r="D52" i="57"/>
  <c r="L52" i="57" s="1"/>
  <c r="N52" i="57" s="1"/>
  <c r="B52" i="57"/>
  <c r="Z51" i="57"/>
  <c r="X51" i="57"/>
  <c r="R51" i="57"/>
  <c r="L51" i="57"/>
  <c r="N51" i="57" s="1"/>
  <c r="B51" i="57"/>
  <c r="Z50" i="57"/>
  <c r="X50" i="57"/>
  <c r="N50" i="57"/>
  <c r="L50" i="57"/>
  <c r="B50" i="57"/>
  <c r="Z49" i="57"/>
  <c r="X49" i="57"/>
  <c r="R49" i="57"/>
  <c r="N49" i="57"/>
  <c r="L49" i="57"/>
  <c r="J49" i="57"/>
  <c r="B49" i="57"/>
  <c r="V48" i="57"/>
  <c r="T48" i="57"/>
  <c r="R48" i="57"/>
  <c r="P48" i="57"/>
  <c r="X48" i="57" s="1"/>
  <c r="Z48" i="57" s="1"/>
  <c r="J48" i="57"/>
  <c r="H48" i="57"/>
  <c r="D48" i="57"/>
  <c r="L48" i="57" s="1"/>
  <c r="N48" i="57" s="1"/>
  <c r="B48" i="57"/>
  <c r="X47" i="57"/>
  <c r="Z47" i="57" s="1"/>
  <c r="R47" i="57"/>
  <c r="L47" i="57"/>
  <c r="N47" i="57" s="1"/>
  <c r="B47" i="57"/>
  <c r="Z46" i="57"/>
  <c r="T46" i="57"/>
  <c r="R46" i="57"/>
  <c r="P46" i="57"/>
  <c r="X46" i="57" s="1"/>
  <c r="L46" i="57"/>
  <c r="N46" i="57" s="1"/>
  <c r="J46" i="57"/>
  <c r="H46" i="57"/>
  <c r="D46" i="57"/>
  <c r="B46" i="57"/>
  <c r="X45" i="57"/>
  <c r="Z45" i="57" s="1"/>
  <c r="V45" i="57"/>
  <c r="R45" i="57"/>
  <c r="L45" i="57"/>
  <c r="N45" i="57" s="1"/>
  <c r="B45" i="57"/>
  <c r="X44" i="57"/>
  <c r="Z44" i="57" s="1"/>
  <c r="V44" i="57"/>
  <c r="T44" i="57"/>
  <c r="R44" i="57"/>
  <c r="P44" i="57"/>
  <c r="N44" i="57"/>
  <c r="H44" i="57"/>
  <c r="L44" i="57" s="1"/>
  <c r="D44" i="57"/>
  <c r="B44" i="57"/>
  <c r="X43" i="57"/>
  <c r="Z43" i="57" s="1"/>
  <c r="R43" i="57"/>
  <c r="L43" i="57"/>
  <c r="N43" i="57" s="1"/>
  <c r="B43" i="57"/>
  <c r="Z42" i="57"/>
  <c r="T42" i="57"/>
  <c r="X42" i="57" s="1"/>
  <c r="R42" i="57"/>
  <c r="P42" i="57"/>
  <c r="J42" i="57"/>
  <c r="H42" i="57"/>
  <c r="D42" i="57"/>
  <c r="L42" i="57" s="1"/>
  <c r="N42" i="57" s="1"/>
  <c r="B42" i="57"/>
  <c r="X41" i="57"/>
  <c r="Z41" i="57" s="1"/>
  <c r="R41" i="57"/>
  <c r="L41" i="57"/>
  <c r="N41" i="57" s="1"/>
  <c r="J41" i="57"/>
  <c r="F41" i="57"/>
  <c r="B41" i="57"/>
  <c r="V40" i="57"/>
  <c r="T40" i="57"/>
  <c r="R40" i="57"/>
  <c r="P40" i="57"/>
  <c r="X40" i="57" s="1"/>
  <c r="Z40" i="57" s="1"/>
  <c r="J40" i="57"/>
  <c r="H40" i="57"/>
  <c r="D40" i="57"/>
  <c r="L40" i="57" s="1"/>
  <c r="N40" i="57" s="1"/>
  <c r="B40" i="57"/>
  <c r="Z39" i="57"/>
  <c r="X39" i="57"/>
  <c r="R39" i="57"/>
  <c r="N39" i="57"/>
  <c r="L39" i="57"/>
  <c r="B39" i="57"/>
  <c r="Z38" i="57"/>
  <c r="X38" i="57"/>
  <c r="N38" i="57"/>
  <c r="L38" i="57"/>
  <c r="B38" i="57"/>
  <c r="X37" i="57"/>
  <c r="Z37" i="57" s="1"/>
  <c r="R37" i="57"/>
  <c r="N37" i="57"/>
  <c r="L37" i="57"/>
  <c r="J37" i="57"/>
  <c r="B37" i="57"/>
  <c r="Z36" i="57"/>
  <c r="X36" i="57"/>
  <c r="V36" i="57"/>
  <c r="R36" i="57"/>
  <c r="N36" i="57"/>
  <c r="L36" i="57"/>
  <c r="J36" i="57"/>
  <c r="B36" i="57"/>
  <c r="Z35" i="57"/>
  <c r="X35" i="57"/>
  <c r="R35" i="57"/>
  <c r="N35" i="57"/>
  <c r="L35" i="57"/>
  <c r="B35" i="57"/>
  <c r="Z34" i="57"/>
  <c r="X34" i="57"/>
  <c r="R34" i="57"/>
  <c r="N34" i="57"/>
  <c r="L34" i="57"/>
  <c r="J34" i="57"/>
  <c r="B34" i="57"/>
  <c r="Z33" i="57"/>
  <c r="X33" i="57"/>
  <c r="V33" i="57"/>
  <c r="R33" i="57"/>
  <c r="N33" i="57"/>
  <c r="L33" i="57"/>
  <c r="F33" i="57"/>
  <c r="B33" i="57"/>
  <c r="Z32" i="57"/>
  <c r="X32" i="57"/>
  <c r="V32" i="57"/>
  <c r="N32" i="57"/>
  <c r="L32" i="57"/>
  <c r="J32" i="57"/>
  <c r="B32" i="57"/>
  <c r="X31" i="57"/>
  <c r="Z31" i="57" s="1"/>
  <c r="R31" i="57"/>
  <c r="L31" i="57"/>
  <c r="N31" i="57" s="1"/>
  <c r="B31" i="57"/>
  <c r="Z30" i="57"/>
  <c r="X30" i="57"/>
  <c r="N30" i="57"/>
  <c r="L30" i="57"/>
  <c r="B30" i="57"/>
  <c r="T29" i="57"/>
  <c r="R29" i="57"/>
  <c r="P29" i="57"/>
  <c r="L29" i="57"/>
  <c r="N29" i="57" s="1"/>
  <c r="H29" i="57"/>
  <c r="D29" i="57"/>
  <c r="B29" i="57"/>
  <c r="X28" i="57"/>
  <c r="Z28" i="57" s="1"/>
  <c r="V28" i="57"/>
  <c r="N28" i="57"/>
  <c r="L28" i="57"/>
  <c r="J28" i="57"/>
  <c r="B28" i="57"/>
  <c r="Z27" i="57"/>
  <c r="X27" i="57"/>
  <c r="R27" i="57"/>
  <c r="L27" i="57"/>
  <c r="N27" i="57" s="1"/>
  <c r="B27" i="57"/>
  <c r="Z26" i="57"/>
  <c r="X26" i="57"/>
  <c r="N26" i="57"/>
  <c r="L26" i="57"/>
  <c r="B26" i="57"/>
  <c r="Z25" i="57"/>
  <c r="X25" i="57"/>
  <c r="R25" i="57"/>
  <c r="N25" i="57"/>
  <c r="L25" i="57"/>
  <c r="J25" i="57"/>
  <c r="B25" i="57"/>
  <c r="Z24" i="57"/>
  <c r="X24" i="57"/>
  <c r="V24" i="57"/>
  <c r="R24" i="57"/>
  <c r="L24" i="57"/>
  <c r="N24" i="57" s="1"/>
  <c r="J24" i="57"/>
  <c r="B24" i="57"/>
  <c r="X23" i="57"/>
  <c r="Z23" i="57" s="1"/>
  <c r="R23" i="57"/>
  <c r="N23" i="57"/>
  <c r="L23" i="57"/>
  <c r="B23" i="57"/>
  <c r="Z22" i="57"/>
  <c r="X22" i="57"/>
  <c r="R22" i="57"/>
  <c r="N22" i="57"/>
  <c r="L22" i="57"/>
  <c r="J22" i="57"/>
  <c r="B22" i="57"/>
  <c r="X21" i="57"/>
  <c r="Z21" i="57" s="1"/>
  <c r="V21" i="57"/>
  <c r="R21" i="57"/>
  <c r="L21" i="57"/>
  <c r="N21" i="57" s="1"/>
  <c r="B21" i="57"/>
  <c r="X20" i="57"/>
  <c r="Z20" i="57" s="1"/>
  <c r="V20" i="57"/>
  <c r="N20" i="57"/>
  <c r="L20" i="57"/>
  <c r="J20" i="57"/>
  <c r="B20" i="57"/>
  <c r="X19" i="57"/>
  <c r="Z19" i="57" s="1"/>
  <c r="T19" i="57"/>
  <c r="P19" i="57"/>
  <c r="J19" i="57"/>
  <c r="H19" i="57"/>
  <c r="D19" i="57"/>
  <c r="L19" i="57" s="1"/>
  <c r="B19" i="57"/>
  <c r="T18" i="57"/>
  <c r="R18" i="57"/>
  <c r="P18" i="57"/>
  <c r="J18" i="57"/>
  <c r="H18" i="57"/>
  <c r="D18" i="57"/>
  <c r="L18" i="57" s="1"/>
  <c r="N18" i="57" s="1"/>
  <c r="R16" i="57"/>
  <c r="P16" i="57"/>
  <c r="J16" i="57"/>
  <c r="Z14" i="57"/>
  <c r="T14" i="57"/>
  <c r="X14" i="57" s="1"/>
  <c r="R14" i="57"/>
  <c r="P14" i="57"/>
  <c r="N14" i="57"/>
  <c r="J14" i="57"/>
  <c r="H14" i="57"/>
  <c r="D14" i="57"/>
  <c r="L14" i="57" s="1"/>
  <c r="Z12" i="57"/>
  <c r="T12" i="57"/>
  <c r="V59" i="57" s="1"/>
  <c r="P12" i="57"/>
  <c r="R69" i="57" s="1"/>
  <c r="N12" i="57"/>
  <c r="H12" i="57"/>
  <c r="J72" i="57" s="1"/>
  <c r="D12" i="57"/>
  <c r="F52" i="57" s="1"/>
  <c r="D6" i="57"/>
  <c r="D4" i="57"/>
  <c r="V78" i="56"/>
  <c r="F78" i="56"/>
  <c r="V75" i="56"/>
  <c r="F75" i="56"/>
  <c r="Z73" i="56"/>
  <c r="X73" i="56"/>
  <c r="V73" i="56"/>
  <c r="N73" i="56"/>
  <c r="L73" i="56"/>
  <c r="J73" i="56"/>
  <c r="V71" i="56"/>
  <c r="F71" i="56"/>
  <c r="Z69" i="56"/>
  <c r="X69" i="56"/>
  <c r="V69" i="56"/>
  <c r="T69" i="56"/>
  <c r="P69" i="56"/>
  <c r="N69" i="56"/>
  <c r="H69" i="56"/>
  <c r="L69" i="56" s="1"/>
  <c r="F69" i="56"/>
  <c r="D69" i="56"/>
  <c r="Z67" i="56"/>
  <c r="X67" i="56"/>
  <c r="V67" i="56"/>
  <c r="N67" i="56"/>
  <c r="L67" i="56"/>
  <c r="J67" i="56"/>
  <c r="B67" i="56"/>
  <c r="V66" i="56"/>
  <c r="T66" i="56"/>
  <c r="R66" i="56"/>
  <c r="P66" i="56"/>
  <c r="X66" i="56" s="1"/>
  <c r="H66" i="56"/>
  <c r="D66" i="56"/>
  <c r="B66" i="56"/>
  <c r="Z65" i="56"/>
  <c r="X65" i="56"/>
  <c r="V65" i="56"/>
  <c r="N65" i="56"/>
  <c r="L65" i="56"/>
  <c r="F65" i="56"/>
  <c r="B65" i="56"/>
  <c r="T64" i="56"/>
  <c r="P64" i="56"/>
  <c r="L64" i="56"/>
  <c r="N64" i="56" s="1"/>
  <c r="H64" i="56"/>
  <c r="D64" i="56"/>
  <c r="B64" i="56"/>
  <c r="Z63" i="56"/>
  <c r="X63" i="56"/>
  <c r="V63" i="56"/>
  <c r="N63" i="56"/>
  <c r="L63" i="56"/>
  <c r="J63" i="56"/>
  <c r="B63" i="56"/>
  <c r="Z62" i="56"/>
  <c r="X62" i="56"/>
  <c r="L62" i="56"/>
  <c r="N62" i="56" s="1"/>
  <c r="B62" i="56"/>
  <c r="V61" i="56"/>
  <c r="T61" i="56"/>
  <c r="R61" i="56"/>
  <c r="P61" i="56"/>
  <c r="X61" i="56" s="1"/>
  <c r="Z61" i="56" s="1"/>
  <c r="L61" i="56"/>
  <c r="N61" i="56" s="1"/>
  <c r="J61" i="56"/>
  <c r="H61" i="56"/>
  <c r="D61" i="56"/>
  <c r="B61" i="56"/>
  <c r="Z60" i="56"/>
  <c r="X60" i="56"/>
  <c r="V60" i="56"/>
  <c r="R60" i="56"/>
  <c r="N60" i="56"/>
  <c r="L60" i="56"/>
  <c r="F60" i="56"/>
  <c r="B60" i="56"/>
  <c r="X59" i="56"/>
  <c r="Z59" i="56" s="1"/>
  <c r="V59" i="56"/>
  <c r="T59" i="56"/>
  <c r="P59" i="56"/>
  <c r="N59" i="56"/>
  <c r="H59" i="56"/>
  <c r="L59" i="56" s="1"/>
  <c r="F59" i="56"/>
  <c r="D59" i="56"/>
  <c r="B59" i="56"/>
  <c r="Z58" i="56"/>
  <c r="X58" i="56"/>
  <c r="V58" i="56"/>
  <c r="N58" i="56"/>
  <c r="L58" i="56"/>
  <c r="B58" i="56"/>
  <c r="Z57" i="56"/>
  <c r="X57" i="56"/>
  <c r="V57" i="56"/>
  <c r="R57" i="56"/>
  <c r="N57" i="56"/>
  <c r="L57" i="56"/>
  <c r="B57" i="56"/>
  <c r="V56" i="56"/>
  <c r="T56" i="56"/>
  <c r="P56" i="56"/>
  <c r="X56" i="56" s="1"/>
  <c r="H56" i="56"/>
  <c r="F56" i="56"/>
  <c r="D56" i="56"/>
  <c r="L56" i="56" s="1"/>
  <c r="B56" i="56"/>
  <c r="Z55" i="56"/>
  <c r="X55" i="56"/>
  <c r="V55" i="56"/>
  <c r="L55" i="56"/>
  <c r="N55" i="56" s="1"/>
  <c r="J55" i="56"/>
  <c r="B55" i="56"/>
  <c r="X54" i="56"/>
  <c r="Z54" i="56" s="1"/>
  <c r="V54" i="56"/>
  <c r="L54" i="56"/>
  <c r="N54" i="56" s="1"/>
  <c r="B54" i="56"/>
  <c r="Z53" i="56"/>
  <c r="X53" i="56"/>
  <c r="V53" i="56"/>
  <c r="R53" i="56"/>
  <c r="N53" i="56"/>
  <c r="L53" i="56"/>
  <c r="B53" i="56"/>
  <c r="V52" i="56"/>
  <c r="T52" i="56"/>
  <c r="P52" i="56"/>
  <c r="X52" i="56" s="1"/>
  <c r="H52" i="56"/>
  <c r="F52" i="56"/>
  <c r="D52" i="56"/>
  <c r="L52" i="56" s="1"/>
  <c r="B52" i="56"/>
  <c r="Z51" i="56"/>
  <c r="X51" i="56"/>
  <c r="V51" i="56"/>
  <c r="L51" i="56"/>
  <c r="N51" i="56" s="1"/>
  <c r="J51" i="56"/>
  <c r="B51" i="56"/>
  <c r="V50" i="56"/>
  <c r="T50" i="56"/>
  <c r="R50" i="56"/>
  <c r="P50" i="56"/>
  <c r="X50" i="56" s="1"/>
  <c r="H50" i="56"/>
  <c r="D50" i="56"/>
  <c r="B50" i="56"/>
  <c r="Z49" i="56"/>
  <c r="X49" i="56"/>
  <c r="V49" i="56"/>
  <c r="N49" i="56"/>
  <c r="L49" i="56"/>
  <c r="F49" i="56"/>
  <c r="B49" i="56"/>
  <c r="T48" i="56"/>
  <c r="P48" i="56"/>
  <c r="L48" i="56"/>
  <c r="N48" i="56" s="1"/>
  <c r="H48" i="56"/>
  <c r="D48" i="56"/>
  <c r="B48" i="56"/>
  <c r="X47" i="56"/>
  <c r="Z47" i="56" s="1"/>
  <c r="V47" i="56"/>
  <c r="N47" i="56"/>
  <c r="L47" i="56"/>
  <c r="J47" i="56"/>
  <c r="B47" i="56"/>
  <c r="Z46" i="56"/>
  <c r="T46" i="56"/>
  <c r="P46" i="56"/>
  <c r="X46" i="56" s="1"/>
  <c r="J46" i="56"/>
  <c r="H46" i="56"/>
  <c r="D46" i="56"/>
  <c r="L46" i="56" s="1"/>
  <c r="B46" i="56"/>
  <c r="Z45" i="56"/>
  <c r="X45" i="56"/>
  <c r="V45" i="56"/>
  <c r="R45" i="56"/>
  <c r="N45" i="56"/>
  <c r="L45" i="56"/>
  <c r="J45" i="56"/>
  <c r="B45" i="56"/>
  <c r="V44" i="56"/>
  <c r="T44" i="56"/>
  <c r="P44" i="56"/>
  <c r="X44" i="56" s="1"/>
  <c r="H44" i="56"/>
  <c r="F44" i="56"/>
  <c r="D44" i="56"/>
  <c r="L44" i="56" s="1"/>
  <c r="B44" i="56"/>
  <c r="Z43" i="56"/>
  <c r="X43" i="56"/>
  <c r="V43" i="56"/>
  <c r="L43" i="56"/>
  <c r="N43" i="56" s="1"/>
  <c r="J43" i="56"/>
  <c r="B43" i="56"/>
  <c r="X42" i="56"/>
  <c r="V42" i="56"/>
  <c r="T42" i="56"/>
  <c r="Z42" i="56" s="1"/>
  <c r="R42" i="56"/>
  <c r="P42" i="56"/>
  <c r="H42" i="56"/>
  <c r="D42" i="56"/>
  <c r="B42" i="56"/>
  <c r="Z41" i="56"/>
  <c r="X41" i="56"/>
  <c r="V41" i="56"/>
  <c r="N41" i="56"/>
  <c r="L41" i="56"/>
  <c r="F41" i="56"/>
  <c r="B41" i="56"/>
  <c r="T40" i="56"/>
  <c r="P40" i="56"/>
  <c r="L40" i="56"/>
  <c r="N40" i="56" s="1"/>
  <c r="H40" i="56"/>
  <c r="D40" i="56"/>
  <c r="B40" i="56"/>
  <c r="Z39" i="56"/>
  <c r="X39" i="56"/>
  <c r="V39" i="56"/>
  <c r="N39" i="56"/>
  <c r="L39" i="56"/>
  <c r="J39" i="56"/>
  <c r="B39" i="56"/>
  <c r="Z38" i="56"/>
  <c r="X38" i="56"/>
  <c r="N38" i="56"/>
  <c r="L38" i="56"/>
  <c r="B38" i="56"/>
  <c r="Z37" i="56"/>
  <c r="X37" i="56"/>
  <c r="V37" i="56"/>
  <c r="N37" i="56"/>
  <c r="L37" i="56"/>
  <c r="F37" i="56"/>
  <c r="B37" i="56"/>
  <c r="Z36" i="56"/>
  <c r="X36" i="56"/>
  <c r="R36" i="56"/>
  <c r="N36" i="56"/>
  <c r="L36" i="56"/>
  <c r="J36" i="56"/>
  <c r="F36" i="56"/>
  <c r="B36" i="56"/>
  <c r="Z35" i="56"/>
  <c r="X35" i="56"/>
  <c r="V35" i="56"/>
  <c r="N35" i="56"/>
  <c r="L35" i="56"/>
  <c r="J35" i="56"/>
  <c r="B35" i="56"/>
  <c r="Z34" i="56"/>
  <c r="X34" i="56"/>
  <c r="V34" i="56"/>
  <c r="N34" i="56"/>
  <c r="L34" i="56"/>
  <c r="B34" i="56"/>
  <c r="Z33" i="56"/>
  <c r="X33" i="56"/>
  <c r="V33" i="56"/>
  <c r="R33" i="56"/>
  <c r="N33" i="56"/>
  <c r="L33" i="56"/>
  <c r="J33" i="56"/>
  <c r="B33" i="56"/>
  <c r="Z32" i="56"/>
  <c r="X32" i="56"/>
  <c r="V32" i="56"/>
  <c r="R32" i="56"/>
  <c r="N32" i="56"/>
  <c r="L32" i="56"/>
  <c r="F32" i="56"/>
  <c r="B32" i="56"/>
  <c r="X31" i="56"/>
  <c r="Z31" i="56" s="1"/>
  <c r="V31" i="56"/>
  <c r="N31" i="56"/>
  <c r="L31" i="56"/>
  <c r="J31" i="56"/>
  <c r="B31" i="56"/>
  <c r="Z30" i="56"/>
  <c r="X30" i="56"/>
  <c r="L30" i="56"/>
  <c r="N30" i="56" s="1"/>
  <c r="B30" i="56"/>
  <c r="Z29" i="56"/>
  <c r="V29" i="56"/>
  <c r="T29" i="56"/>
  <c r="R29" i="56"/>
  <c r="P29" i="56"/>
  <c r="X29" i="56" s="1"/>
  <c r="L29" i="56"/>
  <c r="N29" i="56" s="1"/>
  <c r="J29" i="56"/>
  <c r="H29" i="56"/>
  <c r="F29" i="56"/>
  <c r="D29" i="56"/>
  <c r="B29" i="56"/>
  <c r="X28" i="56"/>
  <c r="Z28" i="56" s="1"/>
  <c r="V28" i="56"/>
  <c r="R28" i="56"/>
  <c r="L28" i="56"/>
  <c r="N28" i="56" s="1"/>
  <c r="F28" i="56"/>
  <c r="B28" i="56"/>
  <c r="X27" i="56"/>
  <c r="Z27" i="56" s="1"/>
  <c r="V27" i="56"/>
  <c r="N27" i="56"/>
  <c r="L27" i="56"/>
  <c r="J27" i="56"/>
  <c r="B27" i="56"/>
  <c r="X26" i="56"/>
  <c r="Z26" i="56" s="1"/>
  <c r="L26" i="56"/>
  <c r="N26" i="56" s="1"/>
  <c r="B26" i="56"/>
  <c r="Z25" i="56"/>
  <c r="X25" i="56"/>
  <c r="V25" i="56"/>
  <c r="N25" i="56"/>
  <c r="L25" i="56"/>
  <c r="F25" i="56"/>
  <c r="B25" i="56"/>
  <c r="X24" i="56"/>
  <c r="Z24" i="56" s="1"/>
  <c r="R24" i="56"/>
  <c r="L24" i="56"/>
  <c r="N24" i="56" s="1"/>
  <c r="J24" i="56"/>
  <c r="F24" i="56"/>
  <c r="B24" i="56"/>
  <c r="Z23" i="56"/>
  <c r="X23" i="56"/>
  <c r="V23" i="56"/>
  <c r="L23" i="56"/>
  <c r="N23" i="56" s="1"/>
  <c r="J23" i="56"/>
  <c r="B23" i="56"/>
  <c r="X22" i="56"/>
  <c r="Z22" i="56" s="1"/>
  <c r="V22" i="56"/>
  <c r="N22" i="56"/>
  <c r="L22" i="56"/>
  <c r="F22" i="56"/>
  <c r="B22" i="56"/>
  <c r="Z21" i="56"/>
  <c r="X21" i="56"/>
  <c r="V21" i="56"/>
  <c r="R21" i="56"/>
  <c r="N21" i="56"/>
  <c r="L21" i="56"/>
  <c r="J21" i="56"/>
  <c r="B21" i="56"/>
  <c r="X20" i="56"/>
  <c r="Z20" i="56" s="1"/>
  <c r="V20" i="56"/>
  <c r="R20" i="56"/>
  <c r="L20" i="56"/>
  <c r="N20" i="56" s="1"/>
  <c r="F20" i="56"/>
  <c r="B20" i="56"/>
  <c r="X19" i="56"/>
  <c r="Z19" i="56" s="1"/>
  <c r="V19" i="56"/>
  <c r="T19" i="56"/>
  <c r="P19" i="56"/>
  <c r="H19" i="56"/>
  <c r="L19" i="56" s="1"/>
  <c r="F19" i="56"/>
  <c r="D19" i="56"/>
  <c r="B19" i="56"/>
  <c r="V18" i="56"/>
  <c r="T18" i="56"/>
  <c r="R18" i="56"/>
  <c r="P18" i="56"/>
  <c r="H18" i="56"/>
  <c r="D18" i="56"/>
  <c r="Z16" i="56"/>
  <c r="T16" i="56"/>
  <c r="J16" i="56"/>
  <c r="H16" i="56"/>
  <c r="D16" i="56"/>
  <c r="V14" i="56"/>
  <c r="T14" i="56"/>
  <c r="Z14" i="56" s="1"/>
  <c r="R14" i="56"/>
  <c r="P14" i="56"/>
  <c r="P16" i="56" s="1"/>
  <c r="X16" i="56" s="1"/>
  <c r="H14" i="56"/>
  <c r="D14" i="56"/>
  <c r="Z12" i="56"/>
  <c r="X12" i="56"/>
  <c r="T12" i="56"/>
  <c r="V62" i="56" s="1"/>
  <c r="P12" i="56"/>
  <c r="R63" i="56" s="1"/>
  <c r="L12" i="56"/>
  <c r="H12" i="56"/>
  <c r="J64" i="56" s="1"/>
  <c r="D12" i="56"/>
  <c r="F73" i="56" s="1"/>
  <c r="D6" i="56"/>
  <c r="D4" i="56"/>
  <c r="R38" i="55"/>
  <c r="F35" i="55"/>
  <c r="Z33" i="55"/>
  <c r="X33" i="55"/>
  <c r="R33" i="55"/>
  <c r="N33" i="55"/>
  <c r="L33" i="55"/>
  <c r="J33" i="55"/>
  <c r="F33" i="55"/>
  <c r="R31" i="55"/>
  <c r="V29" i="55"/>
  <c r="T29" i="55"/>
  <c r="Z29" i="55" s="1"/>
  <c r="P29" i="55"/>
  <c r="L29" i="55"/>
  <c r="H29" i="55"/>
  <c r="N29" i="55" s="1"/>
  <c r="F29" i="55"/>
  <c r="D29" i="55"/>
  <c r="X27" i="55"/>
  <c r="Z27" i="55" s="1"/>
  <c r="R27" i="55"/>
  <c r="L27" i="55"/>
  <c r="N27" i="55" s="1"/>
  <c r="F27" i="55"/>
  <c r="B27" i="55"/>
  <c r="Z26" i="55"/>
  <c r="X26" i="55"/>
  <c r="V26" i="55"/>
  <c r="R26" i="55"/>
  <c r="N26" i="55"/>
  <c r="L26" i="55"/>
  <c r="J26" i="55"/>
  <c r="B26" i="55"/>
  <c r="T25" i="55"/>
  <c r="R25" i="55"/>
  <c r="P25" i="55"/>
  <c r="X25" i="55" s="1"/>
  <c r="H25" i="55"/>
  <c r="D25" i="55"/>
  <c r="B25" i="55"/>
  <c r="Z24" i="55"/>
  <c r="X24" i="55"/>
  <c r="N24" i="55"/>
  <c r="L24" i="55"/>
  <c r="F24" i="55"/>
  <c r="B24" i="55"/>
  <c r="T23" i="55"/>
  <c r="R23" i="55"/>
  <c r="P23" i="55"/>
  <c r="H23" i="55"/>
  <c r="D23" i="55"/>
  <c r="L23" i="55" s="1"/>
  <c r="N23" i="55" s="1"/>
  <c r="B23" i="55"/>
  <c r="X22" i="55"/>
  <c r="Z22" i="55" s="1"/>
  <c r="V22" i="55"/>
  <c r="N22" i="55"/>
  <c r="L22" i="55"/>
  <c r="B22" i="55"/>
  <c r="X21" i="55"/>
  <c r="Z21" i="55" s="1"/>
  <c r="T21" i="55"/>
  <c r="P21" i="55"/>
  <c r="H21" i="55"/>
  <c r="D21" i="55"/>
  <c r="B21" i="55"/>
  <c r="Z20" i="55"/>
  <c r="X20" i="55"/>
  <c r="R20" i="55"/>
  <c r="N20" i="55"/>
  <c r="L20" i="55"/>
  <c r="B20" i="55"/>
  <c r="T19" i="55"/>
  <c r="P19" i="55"/>
  <c r="X19" i="55" s="1"/>
  <c r="L19" i="55"/>
  <c r="H19" i="55"/>
  <c r="F19" i="55"/>
  <c r="D19" i="55"/>
  <c r="B19" i="55"/>
  <c r="T18" i="55"/>
  <c r="R18" i="55"/>
  <c r="P18" i="55"/>
  <c r="X18" i="55" s="1"/>
  <c r="Z18" i="55" s="1"/>
  <c r="H18" i="55"/>
  <c r="F18" i="55"/>
  <c r="D18" i="55"/>
  <c r="V16" i="55"/>
  <c r="R16" i="55"/>
  <c r="F16" i="55"/>
  <c r="Z14" i="55"/>
  <c r="V14" i="55"/>
  <c r="T14" i="55"/>
  <c r="R14" i="55"/>
  <c r="P14" i="55"/>
  <c r="N14" i="55"/>
  <c r="H14" i="55"/>
  <c r="F14" i="55"/>
  <c r="D14" i="55"/>
  <c r="L14" i="55" s="1"/>
  <c r="X12" i="55"/>
  <c r="T12" i="55"/>
  <c r="V35" i="55" s="1"/>
  <c r="P12" i="55"/>
  <c r="R35" i="55" s="1"/>
  <c r="H12" i="55"/>
  <c r="J27" i="55" s="1"/>
  <c r="D12" i="55"/>
  <c r="F26" i="55" s="1"/>
  <c r="D6" i="55"/>
  <c r="D4" i="55"/>
  <c r="V31" i="54"/>
  <c r="J31" i="54"/>
  <c r="F31" i="54"/>
  <c r="T29" i="54"/>
  <c r="P29" i="54"/>
  <c r="J29" i="54"/>
  <c r="H29" i="54"/>
  <c r="F29" i="54"/>
  <c r="D29" i="54"/>
  <c r="L29" i="54" s="1"/>
  <c r="N29" i="54" s="1"/>
  <c r="V28" i="54"/>
  <c r="T28" i="54"/>
  <c r="P28" i="54"/>
  <c r="X28" i="54" s="1"/>
  <c r="Z28" i="54" s="1"/>
  <c r="L28" i="54"/>
  <c r="N28" i="54" s="1"/>
  <c r="J28" i="54"/>
  <c r="H28" i="54"/>
  <c r="F28" i="54"/>
  <c r="D28" i="54"/>
  <c r="J26" i="54"/>
  <c r="F26" i="54"/>
  <c r="Z24" i="54"/>
  <c r="X24" i="54"/>
  <c r="V24" i="54"/>
  <c r="N24" i="54"/>
  <c r="L24" i="54"/>
  <c r="F24" i="54"/>
  <c r="V22" i="54"/>
  <c r="J22" i="54"/>
  <c r="F22" i="54"/>
  <c r="T20" i="54"/>
  <c r="X20" i="54" s="1"/>
  <c r="R20" i="54"/>
  <c r="P20" i="54"/>
  <c r="N20" i="54"/>
  <c r="J20" i="54"/>
  <c r="H20" i="54"/>
  <c r="F20" i="54"/>
  <c r="D20" i="54"/>
  <c r="L20" i="54" s="1"/>
  <c r="Z18" i="54"/>
  <c r="V18" i="54"/>
  <c r="T18" i="54"/>
  <c r="P18" i="54"/>
  <c r="X18" i="54" s="1"/>
  <c r="N18" i="54"/>
  <c r="L18" i="54"/>
  <c r="J18" i="54"/>
  <c r="H18" i="54"/>
  <c r="F18" i="54"/>
  <c r="D18" i="54"/>
  <c r="T16" i="54"/>
  <c r="J16" i="54"/>
  <c r="F16" i="54"/>
  <c r="D16" i="54"/>
  <c r="Z14" i="54"/>
  <c r="V14" i="54"/>
  <c r="T14" i="54"/>
  <c r="R14" i="54"/>
  <c r="P14" i="54"/>
  <c r="X14" i="54" s="1"/>
  <c r="N14" i="54"/>
  <c r="L14" i="54"/>
  <c r="J14" i="54"/>
  <c r="H14" i="54"/>
  <c r="F14" i="54"/>
  <c r="D14" i="54"/>
  <c r="Z12" i="54"/>
  <c r="T12" i="54"/>
  <c r="V29" i="54" s="1"/>
  <c r="P12" i="54"/>
  <c r="R31" i="54" s="1"/>
  <c r="N12" i="54"/>
  <c r="H12" i="54"/>
  <c r="H16" i="54" s="1"/>
  <c r="D12" i="54"/>
  <c r="L12" i="54" s="1"/>
  <c r="D6" i="54"/>
  <c r="D4" i="54"/>
  <c r="B39" i="53"/>
  <c r="B38" i="53"/>
  <c r="T34" i="53"/>
  <c r="Z34" i="53" s="1"/>
  <c r="P34" i="53"/>
  <c r="H34" i="53"/>
  <c r="N34" i="53" s="1"/>
  <c r="D34" i="53"/>
  <c r="T33" i="53"/>
  <c r="Z33" i="53" s="1"/>
  <c r="P33" i="53"/>
  <c r="H33" i="53"/>
  <c r="N33" i="53" s="1"/>
  <c r="D33" i="53"/>
  <c r="T29" i="53"/>
  <c r="Z29" i="53" s="1"/>
  <c r="P29" i="53"/>
  <c r="H29" i="53"/>
  <c r="N29" i="53" s="1"/>
  <c r="D29" i="53"/>
  <c r="T25" i="53"/>
  <c r="Z25" i="53" s="1"/>
  <c r="P25" i="53"/>
  <c r="H25" i="53"/>
  <c r="N25" i="53" s="1"/>
  <c r="D25" i="53"/>
  <c r="B25" i="53"/>
  <c r="T24" i="53"/>
  <c r="Z24" i="53" s="1"/>
  <c r="P24" i="53"/>
  <c r="H24" i="53"/>
  <c r="N24" i="53" s="1"/>
  <c r="D24" i="53"/>
  <c r="T22" i="53"/>
  <c r="P22" i="53"/>
  <c r="H22" i="53"/>
  <c r="N22" i="53" s="1"/>
  <c r="D22" i="53"/>
  <c r="B22" i="53"/>
  <c r="T21" i="53"/>
  <c r="Z21" i="53" s="1"/>
  <c r="P21" i="53"/>
  <c r="H21" i="53"/>
  <c r="N21" i="53" s="1"/>
  <c r="D21" i="53"/>
  <c r="B21" i="53"/>
  <c r="T20" i="53"/>
  <c r="Z20" i="53" s="1"/>
  <c r="P20" i="53"/>
  <c r="H20" i="53"/>
  <c r="D20" i="53"/>
  <c r="T16" i="53"/>
  <c r="Z16" i="53" s="1"/>
  <c r="P16" i="53"/>
  <c r="H16" i="53"/>
  <c r="D16" i="53"/>
  <c r="B16" i="53"/>
  <c r="T15" i="53"/>
  <c r="Z15" i="53" s="1"/>
  <c r="P15" i="53"/>
  <c r="H15" i="53"/>
  <c r="N15" i="53" s="1"/>
  <c r="D15" i="53"/>
  <c r="T13" i="53"/>
  <c r="Z13" i="53" s="1"/>
  <c r="P13" i="53"/>
  <c r="H13" i="53"/>
  <c r="N13" i="53" s="1"/>
  <c r="D13" i="53"/>
  <c r="B13" i="53"/>
  <c r="T12" i="53"/>
  <c r="P12" i="53"/>
  <c r="R29" i="53" s="1"/>
  <c r="H12" i="53"/>
  <c r="J33" i="53" s="1"/>
  <c r="D12" i="53"/>
  <c r="D5" i="53"/>
  <c r="D4" i="53"/>
  <c r="B39" i="52"/>
  <c r="B38" i="52"/>
  <c r="T34" i="52"/>
  <c r="Z34" i="52" s="1"/>
  <c r="P34" i="52"/>
  <c r="H34" i="52"/>
  <c r="N34" i="52" s="1"/>
  <c r="D34" i="52"/>
  <c r="T33" i="52"/>
  <c r="Z33" i="52" s="1"/>
  <c r="P33" i="52"/>
  <c r="H33" i="52"/>
  <c r="N33" i="52" s="1"/>
  <c r="D33" i="52"/>
  <c r="T29" i="52"/>
  <c r="Z29" i="52" s="1"/>
  <c r="P29" i="52"/>
  <c r="H29" i="52"/>
  <c r="N29" i="52" s="1"/>
  <c r="D29" i="52"/>
  <c r="T25" i="52"/>
  <c r="Z25" i="52" s="1"/>
  <c r="P25" i="52"/>
  <c r="H25" i="52"/>
  <c r="N25" i="52" s="1"/>
  <c r="D25" i="52"/>
  <c r="B25" i="52"/>
  <c r="T24" i="52"/>
  <c r="Z24" i="52" s="1"/>
  <c r="P24" i="52"/>
  <c r="H24" i="52"/>
  <c r="D24" i="52"/>
  <c r="T22" i="52"/>
  <c r="Z22" i="52" s="1"/>
  <c r="P22" i="52"/>
  <c r="H22" i="52"/>
  <c r="N22" i="52" s="1"/>
  <c r="D22" i="52"/>
  <c r="B22" i="52"/>
  <c r="T21" i="52"/>
  <c r="Z21" i="52" s="1"/>
  <c r="P21" i="52"/>
  <c r="H21" i="52"/>
  <c r="D21" i="52"/>
  <c r="B21" i="52"/>
  <c r="T20" i="52"/>
  <c r="P20" i="52"/>
  <c r="H20" i="52"/>
  <c r="N20" i="52" s="1"/>
  <c r="D20" i="52"/>
  <c r="T16" i="52"/>
  <c r="P16" i="52"/>
  <c r="H16" i="52"/>
  <c r="N16" i="52" s="1"/>
  <c r="D16" i="52"/>
  <c r="B16" i="52"/>
  <c r="T15" i="52"/>
  <c r="Z15" i="52" s="1"/>
  <c r="P15" i="52"/>
  <c r="H15" i="52"/>
  <c r="N15" i="52" s="1"/>
  <c r="D15" i="52"/>
  <c r="T13" i="52"/>
  <c r="Z13" i="52" s="1"/>
  <c r="P13" i="52"/>
  <c r="H13" i="52"/>
  <c r="N13" i="52" s="1"/>
  <c r="D13" i="52"/>
  <c r="B13" i="52"/>
  <c r="T12" i="52"/>
  <c r="V31" i="52" s="1"/>
  <c r="P12" i="52"/>
  <c r="R29" i="52" s="1"/>
  <c r="H12" i="52"/>
  <c r="J20" i="52" s="1"/>
  <c r="D12" i="52"/>
  <c r="F21" i="52" s="1"/>
  <c r="D5" i="52"/>
  <c r="D4" i="52"/>
  <c r="Z81" i="51"/>
  <c r="X81" i="51"/>
  <c r="V81" i="51"/>
  <c r="N81" i="51"/>
  <c r="L81" i="51"/>
  <c r="F81" i="51"/>
  <c r="V77" i="51"/>
  <c r="P77" i="51"/>
  <c r="X77" i="51" s="1"/>
  <c r="Z77" i="51" s="1"/>
  <c r="L77" i="51"/>
  <c r="N77" i="51" s="1"/>
  <c r="F77" i="51"/>
  <c r="D77" i="51"/>
  <c r="B77" i="51"/>
  <c r="Z76" i="51"/>
  <c r="X76" i="51"/>
  <c r="P76" i="51"/>
  <c r="N76" i="51"/>
  <c r="D76" i="51"/>
  <c r="L76" i="51" s="1"/>
  <c r="B76" i="51"/>
  <c r="Z75" i="51"/>
  <c r="V75" i="51"/>
  <c r="P75" i="51"/>
  <c r="N75" i="51"/>
  <c r="L75" i="51"/>
  <c r="D75" i="51"/>
  <c r="B75" i="51"/>
  <c r="T74" i="51"/>
  <c r="H74" i="51"/>
  <c r="D74" i="51"/>
  <c r="L74" i="51" s="1"/>
  <c r="X72" i="51"/>
  <c r="Z72" i="51" s="1"/>
  <c r="L72" i="51"/>
  <c r="N72" i="51" s="1"/>
  <c r="B72" i="51"/>
  <c r="V71" i="51"/>
  <c r="T71" i="51"/>
  <c r="P71" i="51"/>
  <c r="X71" i="51" s="1"/>
  <c r="Z71" i="51" s="1"/>
  <c r="N71" i="51"/>
  <c r="H71" i="51"/>
  <c r="D71" i="51"/>
  <c r="L71" i="51" s="1"/>
  <c r="B71" i="51"/>
  <c r="X70" i="51"/>
  <c r="Z70" i="51" s="1"/>
  <c r="L70" i="51"/>
  <c r="N70" i="51" s="1"/>
  <c r="B70" i="51"/>
  <c r="Z69" i="51"/>
  <c r="X69" i="51"/>
  <c r="V69" i="51"/>
  <c r="N69" i="51"/>
  <c r="L69" i="51"/>
  <c r="F69" i="51"/>
  <c r="B69" i="51"/>
  <c r="T68" i="51"/>
  <c r="P68" i="51"/>
  <c r="H68" i="51"/>
  <c r="D68" i="51"/>
  <c r="L68" i="51" s="1"/>
  <c r="N68" i="51" s="1"/>
  <c r="B68" i="51"/>
  <c r="X67" i="51"/>
  <c r="Z67" i="51" s="1"/>
  <c r="V67" i="51"/>
  <c r="N67" i="51"/>
  <c r="L67" i="51"/>
  <c r="B67" i="51"/>
  <c r="T66" i="51"/>
  <c r="P66" i="51"/>
  <c r="X66" i="51" s="1"/>
  <c r="Z66" i="51" s="1"/>
  <c r="H66" i="51"/>
  <c r="D66" i="51"/>
  <c r="B66" i="51"/>
  <c r="Z65" i="51"/>
  <c r="X65" i="51"/>
  <c r="V65" i="51"/>
  <c r="N65" i="51"/>
  <c r="L65" i="51"/>
  <c r="B65" i="51"/>
  <c r="T64" i="51"/>
  <c r="P64" i="51"/>
  <c r="H64" i="51"/>
  <c r="D64" i="51"/>
  <c r="L64" i="51" s="1"/>
  <c r="B64" i="51"/>
  <c r="Z63" i="51"/>
  <c r="X63" i="51"/>
  <c r="V63" i="51"/>
  <c r="L63" i="51"/>
  <c r="N63" i="51" s="1"/>
  <c r="J63" i="51"/>
  <c r="B63" i="51"/>
  <c r="T62" i="51"/>
  <c r="P62" i="51"/>
  <c r="X62" i="51" s="1"/>
  <c r="H62" i="51"/>
  <c r="D62" i="51"/>
  <c r="B62" i="51"/>
  <c r="Z61" i="51"/>
  <c r="X61" i="51"/>
  <c r="V61" i="51"/>
  <c r="N61" i="51"/>
  <c r="L61" i="51"/>
  <c r="F61" i="51"/>
  <c r="B61" i="51"/>
  <c r="X60" i="51"/>
  <c r="T60" i="51"/>
  <c r="P60" i="51"/>
  <c r="H60" i="51"/>
  <c r="D60" i="51"/>
  <c r="L60" i="51" s="1"/>
  <c r="B60" i="51"/>
  <c r="Z59" i="51"/>
  <c r="X59" i="51"/>
  <c r="V59" i="51"/>
  <c r="N59" i="51"/>
  <c r="L59" i="51"/>
  <c r="J59" i="51"/>
  <c r="B59" i="51"/>
  <c r="Z58" i="51"/>
  <c r="X58" i="51"/>
  <c r="T58" i="51"/>
  <c r="P58" i="51"/>
  <c r="H58" i="51"/>
  <c r="N58" i="51" s="1"/>
  <c r="D58" i="51"/>
  <c r="L58" i="51" s="1"/>
  <c r="B58" i="51"/>
  <c r="Z57" i="51"/>
  <c r="X57" i="51"/>
  <c r="V57" i="51"/>
  <c r="N57" i="51"/>
  <c r="L57" i="51"/>
  <c r="J57" i="51"/>
  <c r="B57" i="51"/>
  <c r="X56" i="51"/>
  <c r="T56" i="51"/>
  <c r="P56" i="51"/>
  <c r="H56" i="51"/>
  <c r="F56" i="51"/>
  <c r="D56" i="51"/>
  <c r="L56" i="51" s="1"/>
  <c r="B56" i="51"/>
  <c r="Z55" i="51"/>
  <c r="X55" i="51"/>
  <c r="V55" i="51"/>
  <c r="N55" i="51"/>
  <c r="L55" i="51"/>
  <c r="J55" i="51"/>
  <c r="B55" i="51"/>
  <c r="Z54" i="51"/>
  <c r="X54" i="51"/>
  <c r="V54" i="51"/>
  <c r="N54" i="51"/>
  <c r="L54" i="51"/>
  <c r="F54" i="51"/>
  <c r="B54" i="51"/>
  <c r="Z53" i="51"/>
  <c r="X53" i="51"/>
  <c r="V53" i="51"/>
  <c r="N53" i="51"/>
  <c r="L53" i="51"/>
  <c r="J53" i="51"/>
  <c r="B53" i="51"/>
  <c r="X52" i="51"/>
  <c r="Z52" i="51" s="1"/>
  <c r="V52" i="51"/>
  <c r="N52" i="51"/>
  <c r="L52" i="51"/>
  <c r="B52" i="51"/>
  <c r="Z51" i="51"/>
  <c r="X51" i="51"/>
  <c r="V51" i="51"/>
  <c r="N51" i="51"/>
  <c r="L51" i="51"/>
  <c r="B51" i="51"/>
  <c r="Z50" i="51"/>
  <c r="X50" i="51"/>
  <c r="N50" i="51"/>
  <c r="L50" i="51"/>
  <c r="B50" i="51"/>
  <c r="Z49" i="51"/>
  <c r="X49" i="51"/>
  <c r="V49" i="51"/>
  <c r="N49" i="51"/>
  <c r="L49" i="51"/>
  <c r="B49" i="51"/>
  <c r="Z48" i="51"/>
  <c r="X48" i="51"/>
  <c r="N48" i="51"/>
  <c r="L48" i="51"/>
  <c r="B48" i="51"/>
  <c r="Z47" i="51"/>
  <c r="X47" i="51"/>
  <c r="V47" i="51"/>
  <c r="N47" i="51"/>
  <c r="L47" i="51"/>
  <c r="J47" i="51"/>
  <c r="B47" i="51"/>
  <c r="Z46" i="51"/>
  <c r="X46" i="51"/>
  <c r="V46" i="51"/>
  <c r="N46" i="51"/>
  <c r="L46" i="51"/>
  <c r="B46" i="51"/>
  <c r="X45" i="51"/>
  <c r="T45" i="51"/>
  <c r="V45" i="51" s="1"/>
  <c r="P45" i="51"/>
  <c r="J45" i="51"/>
  <c r="H45" i="51"/>
  <c r="F45" i="51"/>
  <c r="D45" i="51"/>
  <c r="B45" i="51"/>
  <c r="X44" i="51"/>
  <c r="Z44" i="51" s="1"/>
  <c r="L44" i="51"/>
  <c r="N44" i="51" s="1"/>
  <c r="F44" i="51"/>
  <c r="B44" i="51"/>
  <c r="Z43" i="51"/>
  <c r="X43" i="51"/>
  <c r="V43" i="51"/>
  <c r="N43" i="51"/>
  <c r="L43" i="51"/>
  <c r="J43" i="51"/>
  <c r="B43" i="51"/>
  <c r="X42" i="51"/>
  <c r="Z42" i="51" s="1"/>
  <c r="V42" i="51"/>
  <c r="L42" i="51"/>
  <c r="N42" i="51" s="1"/>
  <c r="B42" i="51"/>
  <c r="Z41" i="51"/>
  <c r="X41" i="51"/>
  <c r="V41" i="51"/>
  <c r="N41" i="51"/>
  <c r="L41" i="51"/>
  <c r="B41" i="51"/>
  <c r="Z40" i="51"/>
  <c r="X40" i="51"/>
  <c r="V40" i="51"/>
  <c r="N40" i="51"/>
  <c r="L40" i="51"/>
  <c r="B40" i="51"/>
  <c r="X39" i="51"/>
  <c r="Z39" i="51" s="1"/>
  <c r="V39" i="51"/>
  <c r="N39" i="51"/>
  <c r="L39" i="51"/>
  <c r="J39" i="51"/>
  <c r="B39" i="51"/>
  <c r="X38" i="51"/>
  <c r="Z38" i="51" s="1"/>
  <c r="L38" i="51"/>
  <c r="N38" i="51" s="1"/>
  <c r="J38" i="51"/>
  <c r="F38" i="51"/>
  <c r="B38" i="51"/>
  <c r="Z37" i="51"/>
  <c r="X37" i="51"/>
  <c r="V37" i="51"/>
  <c r="N37" i="51"/>
  <c r="L37" i="51"/>
  <c r="J37" i="51"/>
  <c r="F37" i="51"/>
  <c r="B37" i="51"/>
  <c r="X36" i="51"/>
  <c r="Z36" i="51" s="1"/>
  <c r="N36" i="51"/>
  <c r="L36" i="51"/>
  <c r="B36" i="51"/>
  <c r="Z35" i="51"/>
  <c r="X35" i="51"/>
  <c r="V35" i="51"/>
  <c r="N35" i="51"/>
  <c r="L35" i="51"/>
  <c r="J35" i="51"/>
  <c r="B35" i="51"/>
  <c r="X34" i="51"/>
  <c r="V34" i="51"/>
  <c r="T34" i="51"/>
  <c r="P34" i="51"/>
  <c r="H34" i="51"/>
  <c r="F34" i="51"/>
  <c r="D34" i="51"/>
  <c r="L34" i="51" s="1"/>
  <c r="B34" i="51"/>
  <c r="T33" i="51"/>
  <c r="V33" i="51" s="1"/>
  <c r="P33" i="51"/>
  <c r="X33" i="51" s="1"/>
  <c r="Z33" i="51" s="1"/>
  <c r="H33" i="51"/>
  <c r="D33" i="51"/>
  <c r="L33" i="51" s="1"/>
  <c r="V31" i="51"/>
  <c r="Z29" i="51"/>
  <c r="X29" i="51"/>
  <c r="V29" i="51"/>
  <c r="N29" i="51"/>
  <c r="L29" i="51"/>
  <c r="B29" i="51"/>
  <c r="Z28" i="51"/>
  <c r="X28" i="51"/>
  <c r="N28" i="51"/>
  <c r="L28" i="51"/>
  <c r="B28" i="51"/>
  <c r="Z27" i="51"/>
  <c r="X27" i="51"/>
  <c r="V27" i="51"/>
  <c r="N27" i="51"/>
  <c r="L27" i="51"/>
  <c r="B27" i="51"/>
  <c r="Z26" i="51"/>
  <c r="X26" i="51"/>
  <c r="V26" i="51"/>
  <c r="N26" i="51"/>
  <c r="L26" i="51"/>
  <c r="B26" i="51"/>
  <c r="Z25" i="51"/>
  <c r="X25" i="51"/>
  <c r="V25" i="51"/>
  <c r="N25" i="51"/>
  <c r="L25" i="51"/>
  <c r="B25" i="51"/>
  <c r="Z24" i="51"/>
  <c r="X24" i="51"/>
  <c r="V24" i="51"/>
  <c r="N24" i="51"/>
  <c r="L24" i="51"/>
  <c r="B24" i="51"/>
  <c r="Z23" i="51"/>
  <c r="X23" i="51"/>
  <c r="V23" i="51"/>
  <c r="N23" i="51"/>
  <c r="L23" i="51"/>
  <c r="J23" i="51"/>
  <c r="B23" i="51"/>
  <c r="Z22" i="51"/>
  <c r="X22" i="51"/>
  <c r="N22" i="51"/>
  <c r="L22" i="51"/>
  <c r="J22" i="51"/>
  <c r="B22" i="51"/>
  <c r="Z21" i="51"/>
  <c r="X21" i="51"/>
  <c r="V21" i="51"/>
  <c r="N21" i="51"/>
  <c r="L21" i="51"/>
  <c r="J21" i="51"/>
  <c r="B21" i="51"/>
  <c r="X20" i="51"/>
  <c r="Z20" i="51" s="1"/>
  <c r="N20" i="51"/>
  <c r="L20" i="51"/>
  <c r="J20" i="51"/>
  <c r="B20" i="51"/>
  <c r="V19" i="51"/>
  <c r="T19" i="51"/>
  <c r="T31" i="51" s="1"/>
  <c r="P19" i="51"/>
  <c r="J19" i="51"/>
  <c r="H19" i="51"/>
  <c r="D19" i="51"/>
  <c r="L19" i="51" s="1"/>
  <c r="N19" i="51" s="1"/>
  <c r="Z17" i="51"/>
  <c r="X17" i="51"/>
  <c r="P17" i="51"/>
  <c r="N17" i="51"/>
  <c r="L17" i="51"/>
  <c r="D17" i="51"/>
  <c r="B17" i="51"/>
  <c r="Z16" i="51"/>
  <c r="P16" i="51"/>
  <c r="X16" i="51" s="1"/>
  <c r="N16" i="51"/>
  <c r="D16" i="51"/>
  <c r="L16" i="51" s="1"/>
  <c r="B16" i="51"/>
  <c r="Z15" i="51"/>
  <c r="P15" i="51"/>
  <c r="X15" i="51" s="1"/>
  <c r="N15" i="51"/>
  <c r="L15" i="51"/>
  <c r="D15" i="51"/>
  <c r="B15" i="51"/>
  <c r="X14" i="51"/>
  <c r="Z14" i="51" s="1"/>
  <c r="P14" i="51"/>
  <c r="L14" i="51"/>
  <c r="N14" i="51" s="1"/>
  <c r="D14" i="51"/>
  <c r="B14" i="51"/>
  <c r="P13" i="51"/>
  <c r="X13" i="51" s="1"/>
  <c r="Z13" i="51" s="1"/>
  <c r="D13" i="51"/>
  <c r="L13" i="51" s="1"/>
  <c r="N13" i="51" s="1"/>
  <c r="B13" i="51"/>
  <c r="T12" i="51"/>
  <c r="V76" i="51" s="1"/>
  <c r="H12" i="51"/>
  <c r="D12" i="51"/>
  <c r="F76" i="51" s="1"/>
  <c r="D4" i="51"/>
  <c r="B39" i="50"/>
  <c r="B38" i="50"/>
  <c r="T34" i="50"/>
  <c r="Z34" i="50" s="1"/>
  <c r="P34" i="50"/>
  <c r="H34" i="50"/>
  <c r="N34" i="50" s="1"/>
  <c r="D34" i="50"/>
  <c r="T33" i="50"/>
  <c r="Z33" i="50" s="1"/>
  <c r="P33" i="50"/>
  <c r="H33" i="50"/>
  <c r="N33" i="50" s="1"/>
  <c r="D33" i="50"/>
  <c r="T29" i="50"/>
  <c r="Z29" i="50" s="1"/>
  <c r="P29" i="50"/>
  <c r="H29" i="50"/>
  <c r="N29" i="50" s="1"/>
  <c r="D29" i="50"/>
  <c r="T25" i="50"/>
  <c r="Z25" i="50" s="1"/>
  <c r="P25" i="50"/>
  <c r="H25" i="50"/>
  <c r="N25" i="50" s="1"/>
  <c r="D25" i="50"/>
  <c r="B25" i="50"/>
  <c r="T24" i="50"/>
  <c r="Z24" i="50" s="1"/>
  <c r="P24" i="50"/>
  <c r="H24" i="50"/>
  <c r="D24" i="50"/>
  <c r="T22" i="50"/>
  <c r="Z22" i="50" s="1"/>
  <c r="P22" i="50"/>
  <c r="H22" i="50"/>
  <c r="N22" i="50" s="1"/>
  <c r="D22" i="50"/>
  <c r="B22" i="50"/>
  <c r="T21" i="50"/>
  <c r="Z21" i="50" s="1"/>
  <c r="P21" i="50"/>
  <c r="H21" i="50"/>
  <c r="N21" i="50" s="1"/>
  <c r="D21" i="50"/>
  <c r="B21" i="50"/>
  <c r="T20" i="50"/>
  <c r="P20" i="50"/>
  <c r="H20" i="50"/>
  <c r="N20" i="50" s="1"/>
  <c r="D20" i="50"/>
  <c r="T16" i="50"/>
  <c r="Z16" i="50" s="1"/>
  <c r="P16" i="50"/>
  <c r="H16" i="50"/>
  <c r="N16" i="50" s="1"/>
  <c r="D16" i="50"/>
  <c r="B16" i="50"/>
  <c r="T15" i="50"/>
  <c r="P15" i="50"/>
  <c r="H15" i="50"/>
  <c r="N15" i="50" s="1"/>
  <c r="D15" i="50"/>
  <c r="T13" i="50"/>
  <c r="Z13" i="50" s="1"/>
  <c r="P13" i="50"/>
  <c r="H13" i="50"/>
  <c r="N13" i="50" s="1"/>
  <c r="D13" i="50"/>
  <c r="B13" i="50"/>
  <c r="T12" i="50"/>
  <c r="V20" i="50" s="1"/>
  <c r="P12" i="50"/>
  <c r="R34" i="50" s="1"/>
  <c r="H12" i="50"/>
  <c r="D12" i="50"/>
  <c r="D5" i="50"/>
  <c r="D4" i="50"/>
  <c r="B39" i="49"/>
  <c r="B38" i="49"/>
  <c r="T34" i="49"/>
  <c r="Z34" i="49" s="1"/>
  <c r="P34" i="49"/>
  <c r="H34" i="49"/>
  <c r="D34" i="49"/>
  <c r="T33" i="49"/>
  <c r="Z33" i="49" s="1"/>
  <c r="P33" i="49"/>
  <c r="H33" i="49"/>
  <c r="N33" i="49" s="1"/>
  <c r="D33" i="49"/>
  <c r="T29" i="49"/>
  <c r="Z29" i="49" s="1"/>
  <c r="P29" i="49"/>
  <c r="H29" i="49"/>
  <c r="N29" i="49" s="1"/>
  <c r="D29" i="49"/>
  <c r="T25" i="49"/>
  <c r="Z25" i="49" s="1"/>
  <c r="P25" i="49"/>
  <c r="H25" i="49"/>
  <c r="N25" i="49" s="1"/>
  <c r="D25" i="49"/>
  <c r="B25" i="49"/>
  <c r="T24" i="49"/>
  <c r="Z24" i="49" s="1"/>
  <c r="P24" i="49"/>
  <c r="H24" i="49"/>
  <c r="N24" i="49" s="1"/>
  <c r="D24" i="49"/>
  <c r="T22" i="49"/>
  <c r="Z22" i="49" s="1"/>
  <c r="P22" i="49"/>
  <c r="H22" i="49"/>
  <c r="N22" i="49" s="1"/>
  <c r="D22" i="49"/>
  <c r="B22" i="49"/>
  <c r="T21" i="49"/>
  <c r="Z21" i="49" s="1"/>
  <c r="P21" i="49"/>
  <c r="H21" i="49"/>
  <c r="N21" i="49" s="1"/>
  <c r="D21" i="49"/>
  <c r="B21" i="49"/>
  <c r="T20" i="49"/>
  <c r="Z20" i="49" s="1"/>
  <c r="P20" i="49"/>
  <c r="H20" i="49"/>
  <c r="N20" i="49" s="1"/>
  <c r="D20" i="49"/>
  <c r="T16" i="49"/>
  <c r="Z16" i="49" s="1"/>
  <c r="P16" i="49"/>
  <c r="H16" i="49"/>
  <c r="N16" i="49" s="1"/>
  <c r="D16" i="49"/>
  <c r="B16" i="49"/>
  <c r="T15" i="49"/>
  <c r="Z15" i="49" s="1"/>
  <c r="P15" i="49"/>
  <c r="H15" i="49"/>
  <c r="D15" i="49"/>
  <c r="T13" i="49"/>
  <c r="P13" i="49"/>
  <c r="H13" i="49"/>
  <c r="N13" i="49" s="1"/>
  <c r="D13" i="49"/>
  <c r="B13" i="49"/>
  <c r="T12" i="49"/>
  <c r="V16" i="49" s="1"/>
  <c r="P12" i="49"/>
  <c r="R31" i="49" s="1"/>
  <c r="H12" i="49"/>
  <c r="J25" i="49" s="1"/>
  <c r="D12" i="49"/>
  <c r="F22" i="49" s="1"/>
  <c r="D5" i="49"/>
  <c r="D4" i="49"/>
  <c r="X77" i="48"/>
  <c r="Z77" i="48" s="1"/>
  <c r="L77" i="48"/>
  <c r="N77" i="48" s="1"/>
  <c r="R73" i="48"/>
  <c r="P73" i="48"/>
  <c r="P72" i="48" s="1"/>
  <c r="X72" i="48" s="1"/>
  <c r="D73" i="48"/>
  <c r="L73" i="48" s="1"/>
  <c r="N73" i="48" s="1"/>
  <c r="B73" i="48"/>
  <c r="Z72" i="48"/>
  <c r="V72" i="48"/>
  <c r="T72" i="48"/>
  <c r="H72" i="48"/>
  <c r="Z70" i="48"/>
  <c r="X70" i="48"/>
  <c r="N70" i="48"/>
  <c r="L70" i="48"/>
  <c r="B70" i="48"/>
  <c r="T69" i="48"/>
  <c r="Z69" i="48" s="1"/>
  <c r="P69" i="48"/>
  <c r="X69" i="48" s="1"/>
  <c r="H69" i="48"/>
  <c r="N69" i="48" s="1"/>
  <c r="D69" i="48"/>
  <c r="L69" i="48" s="1"/>
  <c r="B69" i="48"/>
  <c r="Z68" i="48"/>
  <c r="X68" i="48"/>
  <c r="L68" i="48"/>
  <c r="N68" i="48" s="1"/>
  <c r="B68" i="48"/>
  <c r="T67" i="48"/>
  <c r="Z67" i="48" s="1"/>
  <c r="P67" i="48"/>
  <c r="X67" i="48" s="1"/>
  <c r="L67" i="48"/>
  <c r="H67" i="48"/>
  <c r="D67" i="48"/>
  <c r="B67" i="48"/>
  <c r="Z66" i="48"/>
  <c r="X66" i="48"/>
  <c r="V66" i="48"/>
  <c r="N66" i="48"/>
  <c r="L66" i="48"/>
  <c r="B66" i="48"/>
  <c r="Z65" i="48"/>
  <c r="X65" i="48"/>
  <c r="N65" i="48"/>
  <c r="L65" i="48"/>
  <c r="B65" i="48"/>
  <c r="Z64" i="48"/>
  <c r="X64" i="48"/>
  <c r="L64" i="48"/>
  <c r="N64" i="48" s="1"/>
  <c r="B64" i="48"/>
  <c r="T63" i="48"/>
  <c r="P63" i="48"/>
  <c r="X63" i="48" s="1"/>
  <c r="L63" i="48"/>
  <c r="H63" i="48"/>
  <c r="N63" i="48" s="1"/>
  <c r="D63" i="48"/>
  <c r="B63" i="48"/>
  <c r="Z62" i="48"/>
  <c r="X62" i="48"/>
  <c r="V62" i="48"/>
  <c r="N62" i="48"/>
  <c r="L62" i="48"/>
  <c r="B62" i="48"/>
  <c r="X61" i="48"/>
  <c r="T61" i="48"/>
  <c r="Z61" i="48" s="1"/>
  <c r="P61" i="48"/>
  <c r="H61" i="48"/>
  <c r="D61" i="48"/>
  <c r="B61" i="48"/>
  <c r="Z60" i="48"/>
  <c r="X60" i="48"/>
  <c r="V60" i="48"/>
  <c r="N60" i="48"/>
  <c r="L60" i="48"/>
  <c r="B60" i="48"/>
  <c r="X59" i="48"/>
  <c r="Z59" i="48" s="1"/>
  <c r="R59" i="48"/>
  <c r="L59" i="48"/>
  <c r="N59" i="48" s="1"/>
  <c r="B59" i="48"/>
  <c r="Z58" i="48"/>
  <c r="X58" i="48"/>
  <c r="V58" i="48"/>
  <c r="N58" i="48"/>
  <c r="L58" i="48"/>
  <c r="B58" i="48"/>
  <c r="X57" i="48"/>
  <c r="T57" i="48"/>
  <c r="P57" i="48"/>
  <c r="H57" i="48"/>
  <c r="D57" i="48"/>
  <c r="B57" i="48"/>
  <c r="X56" i="48"/>
  <c r="Z56" i="48" s="1"/>
  <c r="V56" i="48"/>
  <c r="N56" i="48"/>
  <c r="L56" i="48"/>
  <c r="B56" i="48"/>
  <c r="T55" i="48"/>
  <c r="P55" i="48"/>
  <c r="H55" i="48"/>
  <c r="D55" i="48"/>
  <c r="L55" i="48" s="1"/>
  <c r="B55" i="48"/>
  <c r="Z54" i="48"/>
  <c r="X54" i="48"/>
  <c r="R54" i="48"/>
  <c r="N54" i="48"/>
  <c r="L54" i="48"/>
  <c r="B54" i="48"/>
  <c r="T53" i="48"/>
  <c r="P53" i="48"/>
  <c r="X53" i="48" s="1"/>
  <c r="H53" i="48"/>
  <c r="D53" i="48"/>
  <c r="L53" i="48" s="1"/>
  <c r="B53" i="48"/>
  <c r="Z52" i="48"/>
  <c r="X52" i="48"/>
  <c r="L52" i="48"/>
  <c r="N52" i="48" s="1"/>
  <c r="B52" i="48"/>
  <c r="T51" i="48"/>
  <c r="P51" i="48"/>
  <c r="L51" i="48"/>
  <c r="H51" i="48"/>
  <c r="N51" i="48" s="1"/>
  <c r="D51" i="48"/>
  <c r="B51" i="48"/>
  <c r="Z50" i="48"/>
  <c r="X50" i="48"/>
  <c r="V50" i="48"/>
  <c r="N50" i="48"/>
  <c r="L50" i="48"/>
  <c r="B50" i="48"/>
  <c r="Z49" i="48"/>
  <c r="X49" i="48"/>
  <c r="N49" i="48"/>
  <c r="L49" i="48"/>
  <c r="B49" i="48"/>
  <c r="Z48" i="48"/>
  <c r="T48" i="48"/>
  <c r="P48" i="48"/>
  <c r="X48" i="48" s="1"/>
  <c r="N48" i="48"/>
  <c r="L48" i="48"/>
  <c r="H48" i="48"/>
  <c r="D48" i="48"/>
  <c r="B48" i="48"/>
  <c r="X47" i="48"/>
  <c r="Z47" i="48" s="1"/>
  <c r="R47" i="48"/>
  <c r="L47" i="48"/>
  <c r="N47" i="48" s="1"/>
  <c r="B47" i="48"/>
  <c r="Z46" i="48"/>
  <c r="X46" i="48"/>
  <c r="V46" i="48"/>
  <c r="T46" i="48"/>
  <c r="P46" i="48"/>
  <c r="L46" i="48"/>
  <c r="J46" i="48"/>
  <c r="H46" i="48"/>
  <c r="N46" i="48" s="1"/>
  <c r="D46" i="48"/>
  <c r="B46" i="48"/>
  <c r="X45" i="48"/>
  <c r="Z45" i="48" s="1"/>
  <c r="R45" i="48"/>
  <c r="L45" i="48"/>
  <c r="N45" i="48" s="1"/>
  <c r="B45" i="48"/>
  <c r="X44" i="48"/>
  <c r="V44" i="48"/>
  <c r="T44" i="48"/>
  <c r="Z44" i="48" s="1"/>
  <c r="R44" i="48"/>
  <c r="P44" i="48"/>
  <c r="H44" i="48"/>
  <c r="D44" i="48"/>
  <c r="L44" i="48" s="1"/>
  <c r="B44" i="48"/>
  <c r="X43" i="48"/>
  <c r="Z43" i="48" s="1"/>
  <c r="L43" i="48"/>
  <c r="N43" i="48" s="1"/>
  <c r="B43" i="48"/>
  <c r="T42" i="48"/>
  <c r="R42" i="48"/>
  <c r="P42" i="48"/>
  <c r="X42" i="48" s="1"/>
  <c r="N42" i="48"/>
  <c r="H42" i="48"/>
  <c r="D42" i="48"/>
  <c r="L42" i="48" s="1"/>
  <c r="B42" i="48"/>
  <c r="Z41" i="48"/>
  <c r="X41" i="48"/>
  <c r="N41" i="48"/>
  <c r="L41" i="48"/>
  <c r="B41" i="48"/>
  <c r="Z40" i="48"/>
  <c r="X40" i="48"/>
  <c r="N40" i="48"/>
  <c r="L40" i="48"/>
  <c r="B40" i="48"/>
  <c r="X39" i="48"/>
  <c r="Z39" i="48" s="1"/>
  <c r="L39" i="48"/>
  <c r="N39" i="48" s="1"/>
  <c r="B39" i="48"/>
  <c r="Z38" i="48"/>
  <c r="X38" i="48"/>
  <c r="R38" i="48"/>
  <c r="N38" i="48"/>
  <c r="L38" i="48"/>
  <c r="B38" i="48"/>
  <c r="Z37" i="48"/>
  <c r="X37" i="48"/>
  <c r="V37" i="48"/>
  <c r="R37" i="48"/>
  <c r="N37" i="48"/>
  <c r="L37" i="48"/>
  <c r="B37" i="48"/>
  <c r="Z36" i="48"/>
  <c r="X36" i="48"/>
  <c r="V36" i="48"/>
  <c r="N36" i="48"/>
  <c r="L36" i="48"/>
  <c r="B36" i="48"/>
  <c r="X35" i="48"/>
  <c r="Z35" i="48" s="1"/>
  <c r="R35" i="48"/>
  <c r="L35" i="48"/>
  <c r="N35" i="48" s="1"/>
  <c r="B35" i="48"/>
  <c r="Z34" i="48"/>
  <c r="X34" i="48"/>
  <c r="V34" i="48"/>
  <c r="N34" i="48"/>
  <c r="L34" i="48"/>
  <c r="B34" i="48"/>
  <c r="X33" i="48"/>
  <c r="Z33" i="48" s="1"/>
  <c r="L33" i="48"/>
  <c r="N33" i="48" s="1"/>
  <c r="B33" i="48"/>
  <c r="Z32" i="48"/>
  <c r="X32" i="48"/>
  <c r="L32" i="48"/>
  <c r="N32" i="48" s="1"/>
  <c r="B32" i="48"/>
  <c r="T31" i="48"/>
  <c r="P31" i="48"/>
  <c r="L31" i="48"/>
  <c r="H31" i="48"/>
  <c r="D31" i="48"/>
  <c r="B31" i="48"/>
  <c r="Z30" i="48"/>
  <c r="X30" i="48"/>
  <c r="V30" i="48"/>
  <c r="N30" i="48"/>
  <c r="L30" i="48"/>
  <c r="B30" i="48"/>
  <c r="X29" i="48"/>
  <c r="Z29" i="48" s="1"/>
  <c r="R29" i="48"/>
  <c r="L29" i="48"/>
  <c r="N29" i="48" s="1"/>
  <c r="B29" i="48"/>
  <c r="Z28" i="48"/>
  <c r="X28" i="48"/>
  <c r="L28" i="48"/>
  <c r="N28" i="48" s="1"/>
  <c r="J28" i="48"/>
  <c r="B28" i="48"/>
  <c r="Z27" i="48"/>
  <c r="X27" i="48"/>
  <c r="N27" i="48"/>
  <c r="L27" i="48"/>
  <c r="B27" i="48"/>
  <c r="Z26" i="48"/>
  <c r="X26" i="48"/>
  <c r="R26" i="48"/>
  <c r="N26" i="48"/>
  <c r="L26" i="48"/>
  <c r="B26" i="48"/>
  <c r="X25" i="48"/>
  <c r="Z25" i="48" s="1"/>
  <c r="V25" i="48"/>
  <c r="R25" i="48"/>
  <c r="L25" i="48"/>
  <c r="N25" i="48" s="1"/>
  <c r="B25" i="48"/>
  <c r="X24" i="48"/>
  <c r="Z24" i="48" s="1"/>
  <c r="V24" i="48"/>
  <c r="R24" i="48"/>
  <c r="N24" i="48"/>
  <c r="L24" i="48"/>
  <c r="B24" i="48"/>
  <c r="X23" i="48"/>
  <c r="Z23" i="48" s="1"/>
  <c r="R23" i="48"/>
  <c r="L23" i="48"/>
  <c r="N23" i="48" s="1"/>
  <c r="B23" i="48"/>
  <c r="Z22" i="48"/>
  <c r="X22" i="48"/>
  <c r="V22" i="48"/>
  <c r="N22" i="48"/>
  <c r="L22" i="48"/>
  <c r="B22" i="48"/>
  <c r="X21" i="48"/>
  <c r="Z21" i="48" s="1"/>
  <c r="R21" i="48"/>
  <c r="L21" i="48"/>
  <c r="N21" i="48" s="1"/>
  <c r="B21" i="48"/>
  <c r="T20" i="48"/>
  <c r="P20" i="48"/>
  <c r="X20" i="48" s="1"/>
  <c r="Z20" i="48" s="1"/>
  <c r="N20" i="48"/>
  <c r="L20" i="48"/>
  <c r="J20" i="48"/>
  <c r="H20" i="48"/>
  <c r="D20" i="48"/>
  <c r="B20" i="48"/>
  <c r="T19" i="48"/>
  <c r="P19" i="48"/>
  <c r="X19" i="48" s="1"/>
  <c r="H19" i="48"/>
  <c r="D19" i="48"/>
  <c r="P17" i="48"/>
  <c r="T15" i="48"/>
  <c r="Z15" i="48" s="1"/>
  <c r="P15" i="48"/>
  <c r="H15" i="48"/>
  <c r="N15" i="48" s="1"/>
  <c r="D15" i="48"/>
  <c r="L15" i="48" s="1"/>
  <c r="X13" i="48"/>
  <c r="Z13" i="48" s="1"/>
  <c r="P13" i="48"/>
  <c r="D13" i="48"/>
  <c r="B13" i="48"/>
  <c r="T12" i="48"/>
  <c r="P12" i="48"/>
  <c r="R66" i="48" s="1"/>
  <c r="H12" i="48"/>
  <c r="J54" i="48" s="1"/>
  <c r="D4" i="48"/>
  <c r="B39" i="47"/>
  <c r="B38" i="47"/>
  <c r="T34" i="47"/>
  <c r="Z34" i="47" s="1"/>
  <c r="P34" i="47"/>
  <c r="H34" i="47"/>
  <c r="N34" i="47" s="1"/>
  <c r="D34" i="47"/>
  <c r="T33" i="47"/>
  <c r="Z33" i="47" s="1"/>
  <c r="P33" i="47"/>
  <c r="H33" i="47"/>
  <c r="N33" i="47" s="1"/>
  <c r="D33" i="47"/>
  <c r="T29" i="47"/>
  <c r="Z29" i="47" s="1"/>
  <c r="P29" i="47"/>
  <c r="H29" i="47"/>
  <c r="N29" i="47" s="1"/>
  <c r="D29" i="47"/>
  <c r="T25" i="47"/>
  <c r="Z25" i="47" s="1"/>
  <c r="P25" i="47"/>
  <c r="H25" i="47"/>
  <c r="N25" i="47" s="1"/>
  <c r="D25" i="47"/>
  <c r="B25" i="47"/>
  <c r="T24" i="47"/>
  <c r="Z24" i="47" s="1"/>
  <c r="P24" i="47"/>
  <c r="H24" i="47"/>
  <c r="N24" i="47" s="1"/>
  <c r="D24" i="47"/>
  <c r="T22" i="47"/>
  <c r="Z22" i="47" s="1"/>
  <c r="P22" i="47"/>
  <c r="H22" i="47"/>
  <c r="N22" i="47" s="1"/>
  <c r="D22" i="47"/>
  <c r="B22" i="47"/>
  <c r="T21" i="47"/>
  <c r="Z21" i="47" s="1"/>
  <c r="P21" i="47"/>
  <c r="H21" i="47"/>
  <c r="N21" i="47" s="1"/>
  <c r="D21" i="47"/>
  <c r="B21" i="47"/>
  <c r="T20" i="47"/>
  <c r="Z20" i="47" s="1"/>
  <c r="P20" i="47"/>
  <c r="H20" i="47"/>
  <c r="N20" i="47" s="1"/>
  <c r="D20" i="47"/>
  <c r="T16" i="47"/>
  <c r="Z16" i="47" s="1"/>
  <c r="P16" i="47"/>
  <c r="H16" i="47"/>
  <c r="N16" i="47" s="1"/>
  <c r="D16" i="47"/>
  <c r="B16" i="47"/>
  <c r="T15" i="47"/>
  <c r="P15" i="47"/>
  <c r="H15" i="47"/>
  <c r="N15" i="47" s="1"/>
  <c r="D15" i="47"/>
  <c r="T13" i="47"/>
  <c r="Z13" i="47" s="1"/>
  <c r="P13" i="47"/>
  <c r="H13" i="47"/>
  <c r="N13" i="47" s="1"/>
  <c r="D13" i="47"/>
  <c r="B13" i="47"/>
  <c r="T12" i="47"/>
  <c r="P12" i="47"/>
  <c r="R34" i="47" s="1"/>
  <c r="H12" i="47"/>
  <c r="J24" i="47" s="1"/>
  <c r="D12" i="47"/>
  <c r="F34" i="47" s="1"/>
  <c r="D5" i="47"/>
  <c r="D4" i="47"/>
  <c r="B39" i="46"/>
  <c r="B38" i="46"/>
  <c r="T34" i="46"/>
  <c r="Z34" i="46" s="1"/>
  <c r="P34" i="46"/>
  <c r="H34" i="46"/>
  <c r="N34" i="46" s="1"/>
  <c r="D34" i="46"/>
  <c r="T33" i="46"/>
  <c r="Z33" i="46" s="1"/>
  <c r="P33" i="46"/>
  <c r="H33" i="46"/>
  <c r="N33" i="46" s="1"/>
  <c r="D33" i="46"/>
  <c r="T29" i="46"/>
  <c r="Z29" i="46" s="1"/>
  <c r="P29" i="46"/>
  <c r="H29" i="46"/>
  <c r="N29" i="46" s="1"/>
  <c r="D29" i="46"/>
  <c r="T25" i="46"/>
  <c r="Z25" i="46" s="1"/>
  <c r="P25" i="46"/>
  <c r="H25" i="46"/>
  <c r="N25" i="46" s="1"/>
  <c r="D25" i="46"/>
  <c r="B25" i="46"/>
  <c r="T24" i="46"/>
  <c r="Z24" i="46" s="1"/>
  <c r="P24" i="46"/>
  <c r="H24" i="46"/>
  <c r="N24" i="46" s="1"/>
  <c r="D24" i="46"/>
  <c r="T22" i="46"/>
  <c r="Z22" i="46" s="1"/>
  <c r="P22" i="46"/>
  <c r="H22" i="46"/>
  <c r="N22" i="46" s="1"/>
  <c r="D22" i="46"/>
  <c r="B22" i="46"/>
  <c r="T21" i="46"/>
  <c r="Z21" i="46" s="1"/>
  <c r="P21" i="46"/>
  <c r="H21" i="46"/>
  <c r="N21" i="46" s="1"/>
  <c r="D21" i="46"/>
  <c r="B21" i="46"/>
  <c r="T20" i="46"/>
  <c r="Z20" i="46" s="1"/>
  <c r="P20" i="46"/>
  <c r="H20" i="46"/>
  <c r="N20" i="46" s="1"/>
  <c r="D20" i="46"/>
  <c r="T16" i="46"/>
  <c r="Z16" i="46" s="1"/>
  <c r="P16" i="46"/>
  <c r="H16" i="46"/>
  <c r="N16" i="46" s="1"/>
  <c r="D16" i="46"/>
  <c r="B16" i="46"/>
  <c r="T15" i="46"/>
  <c r="Z15" i="46" s="1"/>
  <c r="P15" i="46"/>
  <c r="H15" i="46"/>
  <c r="N15" i="46" s="1"/>
  <c r="D15" i="46"/>
  <c r="T13" i="46"/>
  <c r="Z13" i="46" s="1"/>
  <c r="P13" i="46"/>
  <c r="H13" i="46"/>
  <c r="N13" i="46" s="1"/>
  <c r="D13" i="46"/>
  <c r="B13" i="46"/>
  <c r="T12" i="46"/>
  <c r="V29" i="46" s="1"/>
  <c r="P12" i="46"/>
  <c r="R21" i="46" s="1"/>
  <c r="H12" i="46"/>
  <c r="D12" i="46"/>
  <c r="F29" i="46" s="1"/>
  <c r="D5" i="46"/>
  <c r="D4" i="46"/>
  <c r="X101" i="45"/>
  <c r="Z101" i="45" s="1"/>
  <c r="V101" i="45"/>
  <c r="L101" i="45"/>
  <c r="N101" i="45" s="1"/>
  <c r="X97" i="45"/>
  <c r="T97" i="45"/>
  <c r="Z97" i="45" s="1"/>
  <c r="P97" i="45"/>
  <c r="H97" i="45"/>
  <c r="N97" i="45" s="1"/>
  <c r="D97" i="45"/>
  <c r="Z95" i="45"/>
  <c r="X95" i="45"/>
  <c r="N95" i="45"/>
  <c r="L95" i="45"/>
  <c r="B95" i="45"/>
  <c r="Z94" i="45"/>
  <c r="X94" i="45"/>
  <c r="V94" i="45"/>
  <c r="N94" i="45"/>
  <c r="L94" i="45"/>
  <c r="B94" i="45"/>
  <c r="T93" i="45"/>
  <c r="Z93" i="45" s="1"/>
  <c r="P93" i="45"/>
  <c r="J93" i="45"/>
  <c r="H93" i="45"/>
  <c r="N93" i="45" s="1"/>
  <c r="D93" i="45"/>
  <c r="L93" i="45" s="1"/>
  <c r="B93" i="45"/>
  <c r="Z92" i="45"/>
  <c r="X92" i="45"/>
  <c r="N92" i="45"/>
  <c r="L92" i="45"/>
  <c r="B92" i="45"/>
  <c r="T91" i="45"/>
  <c r="P91" i="45"/>
  <c r="X91" i="45" s="1"/>
  <c r="H91" i="45"/>
  <c r="D91" i="45"/>
  <c r="L91" i="45" s="1"/>
  <c r="B91" i="45"/>
  <c r="Z90" i="45"/>
  <c r="X90" i="45"/>
  <c r="L90" i="45"/>
  <c r="N90" i="45" s="1"/>
  <c r="B90" i="45"/>
  <c r="X89" i="45"/>
  <c r="Z89" i="45" s="1"/>
  <c r="N89" i="45"/>
  <c r="L89" i="45"/>
  <c r="B89" i="45"/>
  <c r="T88" i="45"/>
  <c r="P88" i="45"/>
  <c r="X88" i="45" s="1"/>
  <c r="N88" i="45"/>
  <c r="H88" i="45"/>
  <c r="D88" i="45"/>
  <c r="L88" i="45" s="1"/>
  <c r="B88" i="45"/>
  <c r="X87" i="45"/>
  <c r="Z87" i="45" s="1"/>
  <c r="L87" i="45"/>
  <c r="N87" i="45" s="1"/>
  <c r="B87" i="45"/>
  <c r="Z86" i="45"/>
  <c r="X86" i="45"/>
  <c r="N86" i="45"/>
  <c r="L86" i="45"/>
  <c r="B86" i="45"/>
  <c r="X85" i="45"/>
  <c r="Z85" i="45" s="1"/>
  <c r="L85" i="45"/>
  <c r="N85" i="45" s="1"/>
  <c r="B85" i="45"/>
  <c r="Z84" i="45"/>
  <c r="X84" i="45"/>
  <c r="N84" i="45"/>
  <c r="L84" i="45"/>
  <c r="J84" i="45"/>
  <c r="B84" i="45"/>
  <c r="X83" i="45"/>
  <c r="Z83" i="45" s="1"/>
  <c r="L83" i="45"/>
  <c r="N83" i="45" s="1"/>
  <c r="B83" i="45"/>
  <c r="X82" i="45"/>
  <c r="Z82" i="45" s="1"/>
  <c r="N82" i="45"/>
  <c r="L82" i="45"/>
  <c r="B82" i="45"/>
  <c r="Z81" i="45"/>
  <c r="X81" i="45"/>
  <c r="L81" i="45"/>
  <c r="N81" i="45" s="1"/>
  <c r="B81" i="45"/>
  <c r="Z80" i="45"/>
  <c r="X80" i="45"/>
  <c r="N80" i="45"/>
  <c r="L80" i="45"/>
  <c r="B80" i="45"/>
  <c r="X79" i="45"/>
  <c r="T79" i="45"/>
  <c r="P79" i="45"/>
  <c r="H79" i="45"/>
  <c r="D79" i="45"/>
  <c r="L79" i="45" s="1"/>
  <c r="N79" i="45" s="1"/>
  <c r="B79" i="45"/>
  <c r="X78" i="45"/>
  <c r="Z78" i="45" s="1"/>
  <c r="N78" i="45"/>
  <c r="L78" i="45"/>
  <c r="J78" i="45"/>
  <c r="B78" i="45"/>
  <c r="Z77" i="45"/>
  <c r="T77" i="45"/>
  <c r="P77" i="45"/>
  <c r="X77" i="45" s="1"/>
  <c r="H77" i="45"/>
  <c r="D77" i="45"/>
  <c r="L77" i="45" s="1"/>
  <c r="B77" i="45"/>
  <c r="Z76" i="45"/>
  <c r="X76" i="45"/>
  <c r="N76" i="45"/>
  <c r="L76" i="45"/>
  <c r="J76" i="45"/>
  <c r="B76" i="45"/>
  <c r="X75" i="45"/>
  <c r="Z75" i="45" s="1"/>
  <c r="L75" i="45"/>
  <c r="N75" i="45" s="1"/>
  <c r="B75" i="45"/>
  <c r="X74" i="45"/>
  <c r="Z74" i="45" s="1"/>
  <c r="N74" i="45"/>
  <c r="L74" i="45"/>
  <c r="B74" i="45"/>
  <c r="X73" i="45"/>
  <c r="Z73" i="45" s="1"/>
  <c r="L73" i="45"/>
  <c r="N73" i="45" s="1"/>
  <c r="B73" i="45"/>
  <c r="Z72" i="45"/>
  <c r="X72" i="45"/>
  <c r="V72" i="45"/>
  <c r="T72" i="45"/>
  <c r="P72" i="45"/>
  <c r="N72" i="45"/>
  <c r="L72" i="45"/>
  <c r="J72" i="45"/>
  <c r="H72" i="45"/>
  <c r="D72" i="45"/>
  <c r="B72" i="45"/>
  <c r="X71" i="45"/>
  <c r="Z71" i="45" s="1"/>
  <c r="L71" i="45"/>
  <c r="N71" i="45" s="1"/>
  <c r="B71" i="45"/>
  <c r="X70" i="45"/>
  <c r="Z70" i="45" s="1"/>
  <c r="L70" i="45"/>
  <c r="N70" i="45" s="1"/>
  <c r="B70" i="45"/>
  <c r="Z69" i="45"/>
  <c r="X69" i="45"/>
  <c r="V69" i="45"/>
  <c r="N69" i="45"/>
  <c r="L69" i="45"/>
  <c r="B69" i="45"/>
  <c r="X68" i="45"/>
  <c r="T68" i="45"/>
  <c r="P68" i="45"/>
  <c r="H68" i="45"/>
  <c r="D68" i="45"/>
  <c r="B68" i="45"/>
  <c r="X67" i="45"/>
  <c r="Z67" i="45" s="1"/>
  <c r="V67" i="45"/>
  <c r="N67" i="45"/>
  <c r="L67" i="45"/>
  <c r="B67" i="45"/>
  <c r="T66" i="45"/>
  <c r="P66" i="45"/>
  <c r="H66" i="45"/>
  <c r="D66" i="45"/>
  <c r="L66" i="45" s="1"/>
  <c r="B66" i="45"/>
  <c r="Z65" i="45"/>
  <c r="X65" i="45"/>
  <c r="N65" i="45"/>
  <c r="L65" i="45"/>
  <c r="J65" i="45"/>
  <c r="B65" i="45"/>
  <c r="T64" i="45"/>
  <c r="Z64" i="45" s="1"/>
  <c r="P64" i="45"/>
  <c r="X64" i="45" s="1"/>
  <c r="H64" i="45"/>
  <c r="N64" i="45" s="1"/>
  <c r="D64" i="45"/>
  <c r="L64" i="45" s="1"/>
  <c r="B64" i="45"/>
  <c r="Z63" i="45"/>
  <c r="X63" i="45"/>
  <c r="V63" i="45"/>
  <c r="L63" i="45"/>
  <c r="N63" i="45" s="1"/>
  <c r="J63" i="45"/>
  <c r="B63" i="45"/>
  <c r="T62" i="45"/>
  <c r="P62" i="45"/>
  <c r="X62" i="45" s="1"/>
  <c r="L62" i="45"/>
  <c r="H62" i="45"/>
  <c r="D62" i="45"/>
  <c r="B62" i="45"/>
  <c r="Z61" i="45"/>
  <c r="X61" i="45"/>
  <c r="V61" i="45"/>
  <c r="N61" i="45"/>
  <c r="L61" i="45"/>
  <c r="B61" i="45"/>
  <c r="X60" i="45"/>
  <c r="T60" i="45"/>
  <c r="Z60" i="45" s="1"/>
  <c r="P60" i="45"/>
  <c r="H60" i="45"/>
  <c r="D60" i="45"/>
  <c r="B60" i="45"/>
  <c r="X59" i="45"/>
  <c r="Z59" i="45" s="1"/>
  <c r="V59" i="45"/>
  <c r="N59" i="45"/>
  <c r="L59" i="45"/>
  <c r="B59" i="45"/>
  <c r="T58" i="45"/>
  <c r="P58" i="45"/>
  <c r="H58" i="45"/>
  <c r="N58" i="45" s="1"/>
  <c r="D58" i="45"/>
  <c r="L58" i="45" s="1"/>
  <c r="B58" i="45"/>
  <c r="Z57" i="45"/>
  <c r="X57" i="45"/>
  <c r="N57" i="45"/>
  <c r="L57" i="45"/>
  <c r="J57" i="45"/>
  <c r="B57" i="45"/>
  <c r="T56" i="45"/>
  <c r="Z56" i="45" s="1"/>
  <c r="P56" i="45"/>
  <c r="X56" i="45" s="1"/>
  <c r="H56" i="45"/>
  <c r="D56" i="45"/>
  <c r="L56" i="45" s="1"/>
  <c r="B56" i="45"/>
  <c r="Z55" i="45"/>
  <c r="X55" i="45"/>
  <c r="V55" i="45"/>
  <c r="L55" i="45"/>
  <c r="N55" i="45" s="1"/>
  <c r="J55" i="45"/>
  <c r="B55" i="45"/>
  <c r="T54" i="45"/>
  <c r="Z54" i="45" s="1"/>
  <c r="P54" i="45"/>
  <c r="X54" i="45" s="1"/>
  <c r="L54" i="45"/>
  <c r="H54" i="45"/>
  <c r="D54" i="45"/>
  <c r="B54" i="45"/>
  <c r="Z53" i="45"/>
  <c r="X53" i="45"/>
  <c r="V53" i="45"/>
  <c r="N53" i="45"/>
  <c r="L53" i="45"/>
  <c r="B53" i="45"/>
  <c r="X52" i="45"/>
  <c r="T52" i="45"/>
  <c r="P52" i="45"/>
  <c r="H52" i="45"/>
  <c r="D52" i="45"/>
  <c r="B52" i="45"/>
  <c r="X51" i="45"/>
  <c r="Z51" i="45" s="1"/>
  <c r="V51" i="45"/>
  <c r="N51" i="45"/>
  <c r="L51" i="45"/>
  <c r="B51" i="45"/>
  <c r="T50" i="45"/>
  <c r="P50" i="45"/>
  <c r="H50" i="45"/>
  <c r="D50" i="45"/>
  <c r="L50" i="45" s="1"/>
  <c r="B50" i="45"/>
  <c r="Z49" i="45"/>
  <c r="X49" i="45"/>
  <c r="N49" i="45"/>
  <c r="L49" i="45"/>
  <c r="J49" i="45"/>
  <c r="B49" i="45"/>
  <c r="T48" i="45"/>
  <c r="Z48" i="45" s="1"/>
  <c r="P48" i="45"/>
  <c r="X48" i="45" s="1"/>
  <c r="H48" i="45"/>
  <c r="N48" i="45" s="1"/>
  <c r="D48" i="45"/>
  <c r="L48" i="45" s="1"/>
  <c r="B48" i="45"/>
  <c r="Z47" i="45"/>
  <c r="X47" i="45"/>
  <c r="V47" i="45"/>
  <c r="N47" i="45"/>
  <c r="L47" i="45"/>
  <c r="J47" i="45"/>
  <c r="B47" i="45"/>
  <c r="Z46" i="45"/>
  <c r="X46" i="45"/>
  <c r="N46" i="45"/>
  <c r="L46" i="45"/>
  <c r="B46" i="45"/>
  <c r="Z45" i="45"/>
  <c r="X45" i="45"/>
  <c r="V45" i="45"/>
  <c r="N45" i="45"/>
  <c r="L45" i="45"/>
  <c r="J45" i="45"/>
  <c r="B45" i="45"/>
  <c r="X44" i="45"/>
  <c r="Z44" i="45" s="1"/>
  <c r="V44" i="45"/>
  <c r="N44" i="45"/>
  <c r="L44" i="45"/>
  <c r="B44" i="45"/>
  <c r="Z43" i="45"/>
  <c r="X43" i="45"/>
  <c r="V43" i="45"/>
  <c r="N43" i="45"/>
  <c r="L43" i="45"/>
  <c r="J43" i="45"/>
  <c r="B43" i="45"/>
  <c r="X42" i="45"/>
  <c r="Z42" i="45" s="1"/>
  <c r="L42" i="45"/>
  <c r="N42" i="45" s="1"/>
  <c r="B42" i="45"/>
  <c r="Z41" i="45"/>
  <c r="X41" i="45"/>
  <c r="V41" i="45"/>
  <c r="N41" i="45"/>
  <c r="L41" i="45"/>
  <c r="B41" i="45"/>
  <c r="Z40" i="45"/>
  <c r="X40" i="45"/>
  <c r="N40" i="45"/>
  <c r="L40" i="45"/>
  <c r="B40" i="45"/>
  <c r="Z39" i="45"/>
  <c r="X39" i="45"/>
  <c r="V39" i="45"/>
  <c r="L39" i="45"/>
  <c r="N39" i="45" s="1"/>
  <c r="J39" i="45"/>
  <c r="B39" i="45"/>
  <c r="Z38" i="45"/>
  <c r="X38" i="45"/>
  <c r="N38" i="45"/>
  <c r="L38" i="45"/>
  <c r="B38" i="45"/>
  <c r="T37" i="45"/>
  <c r="V37" i="45" s="1"/>
  <c r="P37" i="45"/>
  <c r="X37" i="45" s="1"/>
  <c r="Z37" i="45" s="1"/>
  <c r="N37" i="45"/>
  <c r="J37" i="45"/>
  <c r="H37" i="45"/>
  <c r="D37" i="45"/>
  <c r="L37" i="45" s="1"/>
  <c r="B37" i="45"/>
  <c r="X36" i="45"/>
  <c r="Z36" i="45" s="1"/>
  <c r="L36" i="45"/>
  <c r="N36" i="45" s="1"/>
  <c r="B36" i="45"/>
  <c r="Z35" i="45"/>
  <c r="X35" i="45"/>
  <c r="V35" i="45"/>
  <c r="L35" i="45"/>
  <c r="N35" i="45" s="1"/>
  <c r="J35" i="45"/>
  <c r="B35" i="45"/>
  <c r="X34" i="45"/>
  <c r="Z34" i="45" s="1"/>
  <c r="L34" i="45"/>
  <c r="N34" i="45" s="1"/>
  <c r="B34" i="45"/>
  <c r="Z33" i="45"/>
  <c r="X33" i="45"/>
  <c r="V33" i="45"/>
  <c r="N33" i="45"/>
  <c r="L33" i="45"/>
  <c r="J33" i="45"/>
  <c r="B33" i="45"/>
  <c r="Z32" i="45"/>
  <c r="X32" i="45"/>
  <c r="V32" i="45"/>
  <c r="N32" i="45"/>
  <c r="L32" i="45"/>
  <c r="B32" i="45"/>
  <c r="X31" i="45"/>
  <c r="Z31" i="45" s="1"/>
  <c r="V31" i="45"/>
  <c r="N31" i="45"/>
  <c r="L31" i="45"/>
  <c r="J31" i="45"/>
  <c r="B31" i="45"/>
  <c r="X30" i="45"/>
  <c r="Z30" i="45" s="1"/>
  <c r="V30" i="45"/>
  <c r="L30" i="45"/>
  <c r="N30" i="45" s="1"/>
  <c r="B30" i="45"/>
  <c r="Z29" i="45"/>
  <c r="X29" i="45"/>
  <c r="V29" i="45"/>
  <c r="N29" i="45"/>
  <c r="L29" i="45"/>
  <c r="B29" i="45"/>
  <c r="X28" i="45"/>
  <c r="Z28" i="45" s="1"/>
  <c r="L28" i="45"/>
  <c r="N28" i="45" s="1"/>
  <c r="B28" i="45"/>
  <c r="Z27" i="45"/>
  <c r="X27" i="45"/>
  <c r="V27" i="45"/>
  <c r="L27" i="45"/>
  <c r="N27" i="45" s="1"/>
  <c r="J27" i="45"/>
  <c r="B27" i="45"/>
  <c r="T26" i="45"/>
  <c r="Z26" i="45" s="1"/>
  <c r="P26" i="45"/>
  <c r="X26" i="45" s="1"/>
  <c r="L26" i="45"/>
  <c r="H26" i="45"/>
  <c r="N26" i="45" s="1"/>
  <c r="D26" i="45"/>
  <c r="B26" i="45"/>
  <c r="T25" i="45"/>
  <c r="V25" i="45" s="1"/>
  <c r="P25" i="45"/>
  <c r="X25" i="45" s="1"/>
  <c r="Z25" i="45" s="1"/>
  <c r="H25" i="45"/>
  <c r="D25" i="45"/>
  <c r="L25" i="45" s="1"/>
  <c r="T23" i="45"/>
  <c r="T99" i="45" s="1"/>
  <c r="Z21" i="45"/>
  <c r="X21" i="45"/>
  <c r="V21" i="45"/>
  <c r="N21" i="45"/>
  <c r="L21" i="45"/>
  <c r="B21" i="45"/>
  <c r="Z20" i="45"/>
  <c r="X20" i="45"/>
  <c r="V20" i="45"/>
  <c r="N20" i="45"/>
  <c r="L20" i="45"/>
  <c r="J20" i="45"/>
  <c r="B20" i="45"/>
  <c r="Z19" i="45"/>
  <c r="X19" i="45"/>
  <c r="V19" i="45"/>
  <c r="L19" i="45"/>
  <c r="N19" i="45" s="1"/>
  <c r="J19" i="45"/>
  <c r="B19" i="45"/>
  <c r="T18" i="45"/>
  <c r="Z18" i="45" s="1"/>
  <c r="P18" i="45"/>
  <c r="X18" i="45" s="1"/>
  <c r="L18" i="45"/>
  <c r="H18" i="45"/>
  <c r="D18" i="45"/>
  <c r="Z16" i="45"/>
  <c r="X16" i="45"/>
  <c r="P16" i="45"/>
  <c r="N16" i="45"/>
  <c r="D16" i="45"/>
  <c r="L16" i="45" s="1"/>
  <c r="B16" i="45"/>
  <c r="Z15" i="45"/>
  <c r="P15" i="45"/>
  <c r="X15" i="45" s="1"/>
  <c r="N15" i="45"/>
  <c r="L15" i="45"/>
  <c r="D15" i="45"/>
  <c r="B15" i="45"/>
  <c r="P14" i="45"/>
  <c r="X14" i="45" s="1"/>
  <c r="Z14" i="45" s="1"/>
  <c r="D14" i="45"/>
  <c r="B14" i="45"/>
  <c r="Z13" i="45"/>
  <c r="P13" i="45"/>
  <c r="X13" i="45" s="1"/>
  <c r="N13" i="45"/>
  <c r="L13" i="45"/>
  <c r="D13" i="45"/>
  <c r="B13" i="45"/>
  <c r="T12" i="45"/>
  <c r="V76" i="45" s="1"/>
  <c r="H12" i="45"/>
  <c r="D4" i="45"/>
  <c r="B39" i="44"/>
  <c r="B38" i="44"/>
  <c r="T34" i="44"/>
  <c r="Z34" i="44" s="1"/>
  <c r="P34" i="44"/>
  <c r="H34" i="44"/>
  <c r="N34" i="44" s="1"/>
  <c r="D34" i="44"/>
  <c r="T33" i="44"/>
  <c r="Z33" i="44" s="1"/>
  <c r="P33" i="44"/>
  <c r="H33" i="44"/>
  <c r="N33" i="44" s="1"/>
  <c r="D33" i="44"/>
  <c r="T29" i="44"/>
  <c r="P29" i="44"/>
  <c r="H29" i="44"/>
  <c r="N29" i="44" s="1"/>
  <c r="D29" i="44"/>
  <c r="T25" i="44"/>
  <c r="Z25" i="44" s="1"/>
  <c r="P25" i="44"/>
  <c r="H25" i="44"/>
  <c r="N25" i="44" s="1"/>
  <c r="D25" i="44"/>
  <c r="B25" i="44"/>
  <c r="T24" i="44"/>
  <c r="Z24" i="44" s="1"/>
  <c r="P24" i="44"/>
  <c r="H24" i="44"/>
  <c r="N24" i="44" s="1"/>
  <c r="D24" i="44"/>
  <c r="T22" i="44"/>
  <c r="P22" i="44"/>
  <c r="H22" i="44"/>
  <c r="N22" i="44" s="1"/>
  <c r="D22" i="44"/>
  <c r="B22" i="44"/>
  <c r="T21" i="44"/>
  <c r="Z21" i="44" s="1"/>
  <c r="P21" i="44"/>
  <c r="H21" i="44"/>
  <c r="N21" i="44" s="1"/>
  <c r="D21" i="44"/>
  <c r="B21" i="44"/>
  <c r="T20" i="44"/>
  <c r="Z20" i="44" s="1"/>
  <c r="P20" i="44"/>
  <c r="H20" i="44"/>
  <c r="D20" i="44"/>
  <c r="T16" i="44"/>
  <c r="Z16" i="44" s="1"/>
  <c r="P16" i="44"/>
  <c r="H16" i="44"/>
  <c r="D16" i="44"/>
  <c r="B16" i="44"/>
  <c r="T15" i="44"/>
  <c r="Z15" i="44" s="1"/>
  <c r="P15" i="44"/>
  <c r="H15" i="44"/>
  <c r="N15" i="44" s="1"/>
  <c r="D15" i="44"/>
  <c r="T13" i="44"/>
  <c r="Z13" i="44" s="1"/>
  <c r="P13" i="44"/>
  <c r="H13" i="44"/>
  <c r="N13" i="44" s="1"/>
  <c r="D13" i="44"/>
  <c r="B13" i="44"/>
  <c r="T12" i="44"/>
  <c r="V20" i="44" s="1"/>
  <c r="P12" i="44"/>
  <c r="R22" i="44" s="1"/>
  <c r="H12" i="44"/>
  <c r="J21" i="44" s="1"/>
  <c r="D12" i="44"/>
  <c r="D5" i="44"/>
  <c r="D4" i="44"/>
  <c r="B39" i="43"/>
  <c r="B38" i="43"/>
  <c r="T34" i="43"/>
  <c r="Z34" i="43" s="1"/>
  <c r="P34" i="43"/>
  <c r="H34" i="43"/>
  <c r="N34" i="43" s="1"/>
  <c r="D34" i="43"/>
  <c r="T33" i="43"/>
  <c r="P33" i="43"/>
  <c r="H33" i="43"/>
  <c r="N33" i="43" s="1"/>
  <c r="D33" i="43"/>
  <c r="T29" i="43"/>
  <c r="P29" i="43"/>
  <c r="H29" i="43"/>
  <c r="N29" i="43" s="1"/>
  <c r="D29" i="43"/>
  <c r="T25" i="43"/>
  <c r="P25" i="43"/>
  <c r="H25" i="43"/>
  <c r="N25" i="43" s="1"/>
  <c r="D25" i="43"/>
  <c r="B25" i="43"/>
  <c r="T24" i="43"/>
  <c r="Z24" i="43" s="1"/>
  <c r="P24" i="43"/>
  <c r="H24" i="43"/>
  <c r="N24" i="43" s="1"/>
  <c r="D24" i="43"/>
  <c r="T22" i="43"/>
  <c r="Z22" i="43" s="1"/>
  <c r="P22" i="43"/>
  <c r="H22" i="43"/>
  <c r="N22" i="43" s="1"/>
  <c r="D22" i="43"/>
  <c r="B22" i="43"/>
  <c r="T21" i="43"/>
  <c r="Z21" i="43" s="1"/>
  <c r="P21" i="43"/>
  <c r="H21" i="43"/>
  <c r="N21" i="43" s="1"/>
  <c r="D21" i="43"/>
  <c r="B21" i="43"/>
  <c r="T20" i="43"/>
  <c r="Z20" i="43" s="1"/>
  <c r="P20" i="43"/>
  <c r="H20" i="43"/>
  <c r="D20" i="43"/>
  <c r="T16" i="43"/>
  <c r="Z16" i="43" s="1"/>
  <c r="P16" i="43"/>
  <c r="H16" i="43"/>
  <c r="N16" i="43" s="1"/>
  <c r="D16" i="43"/>
  <c r="B16" i="43"/>
  <c r="T15" i="43"/>
  <c r="P15" i="43"/>
  <c r="H15" i="43"/>
  <c r="N15" i="43" s="1"/>
  <c r="D15" i="43"/>
  <c r="T13" i="43"/>
  <c r="P13" i="43"/>
  <c r="H13" i="43"/>
  <c r="N13" i="43" s="1"/>
  <c r="D13" i="43"/>
  <c r="B13" i="43"/>
  <c r="T12" i="43"/>
  <c r="V15" i="43" s="1"/>
  <c r="P12" i="43"/>
  <c r="H12" i="43"/>
  <c r="D12" i="43"/>
  <c r="D5" i="43"/>
  <c r="D4" i="43"/>
  <c r="X110" i="42"/>
  <c r="Z110" i="42" s="1"/>
  <c r="N110" i="42"/>
  <c r="L110" i="42"/>
  <c r="Z106" i="42"/>
  <c r="P106" i="42"/>
  <c r="X106" i="42" s="1"/>
  <c r="N106" i="42"/>
  <c r="L106" i="42"/>
  <c r="D106" i="42"/>
  <c r="B106" i="42"/>
  <c r="Z105" i="42"/>
  <c r="P105" i="42"/>
  <c r="X105" i="42" s="1"/>
  <c r="N105" i="42"/>
  <c r="D105" i="42"/>
  <c r="L105" i="42" s="1"/>
  <c r="B105" i="42"/>
  <c r="P104" i="42"/>
  <c r="X104" i="42" s="1"/>
  <c r="Z104" i="42" s="1"/>
  <c r="D104" i="42"/>
  <c r="L104" i="42" s="1"/>
  <c r="N104" i="42" s="1"/>
  <c r="B104" i="42"/>
  <c r="T103" i="42"/>
  <c r="P103" i="42"/>
  <c r="X103" i="42" s="1"/>
  <c r="H103" i="42"/>
  <c r="X101" i="42"/>
  <c r="Z101" i="42" s="1"/>
  <c r="L101" i="42"/>
  <c r="N101" i="42" s="1"/>
  <c r="B101" i="42"/>
  <c r="Z100" i="42"/>
  <c r="X100" i="42"/>
  <c r="T100" i="42"/>
  <c r="P100" i="42"/>
  <c r="L100" i="42"/>
  <c r="J100" i="42"/>
  <c r="H100" i="42"/>
  <c r="N100" i="42" s="1"/>
  <c r="D100" i="42"/>
  <c r="B100" i="42"/>
  <c r="Z99" i="42"/>
  <c r="X99" i="42"/>
  <c r="N99" i="42"/>
  <c r="L99" i="42"/>
  <c r="B99" i="42"/>
  <c r="X98" i="42"/>
  <c r="T98" i="42"/>
  <c r="Z98" i="42" s="1"/>
  <c r="P98" i="42"/>
  <c r="N98" i="42"/>
  <c r="H98" i="42"/>
  <c r="D98" i="42"/>
  <c r="L98" i="42" s="1"/>
  <c r="B98" i="42"/>
  <c r="X97" i="42"/>
  <c r="Z97" i="42" s="1"/>
  <c r="N97" i="42"/>
  <c r="L97" i="42"/>
  <c r="B97" i="42"/>
  <c r="T96" i="42"/>
  <c r="P96" i="42"/>
  <c r="X96" i="42" s="1"/>
  <c r="Z96" i="42" s="1"/>
  <c r="N96" i="42"/>
  <c r="H96" i="42"/>
  <c r="D96" i="42"/>
  <c r="L96" i="42" s="1"/>
  <c r="B96" i="42"/>
  <c r="X95" i="42"/>
  <c r="Z95" i="42" s="1"/>
  <c r="L95" i="42"/>
  <c r="N95" i="42" s="1"/>
  <c r="B95" i="42"/>
  <c r="Z94" i="42"/>
  <c r="X94" i="42"/>
  <c r="L94" i="42"/>
  <c r="N94" i="42" s="1"/>
  <c r="J94" i="42"/>
  <c r="B94" i="42"/>
  <c r="T93" i="42"/>
  <c r="P93" i="42"/>
  <c r="X93" i="42" s="1"/>
  <c r="L93" i="42"/>
  <c r="H93" i="42"/>
  <c r="N93" i="42" s="1"/>
  <c r="D93" i="42"/>
  <c r="B93" i="42"/>
  <c r="Z92" i="42"/>
  <c r="X92" i="42"/>
  <c r="N92" i="42"/>
  <c r="L92" i="42"/>
  <c r="B92" i="42"/>
  <c r="X91" i="42"/>
  <c r="Z91" i="42" s="1"/>
  <c r="N91" i="42"/>
  <c r="L91" i="42"/>
  <c r="B91" i="42"/>
  <c r="Z90" i="42"/>
  <c r="X90" i="42"/>
  <c r="L90" i="42"/>
  <c r="N90" i="42" s="1"/>
  <c r="J90" i="42"/>
  <c r="B90" i="42"/>
  <c r="X89" i="42"/>
  <c r="Z89" i="42" s="1"/>
  <c r="N89" i="42"/>
  <c r="L89" i="42"/>
  <c r="B89" i="42"/>
  <c r="Z88" i="42"/>
  <c r="X88" i="42"/>
  <c r="N88" i="42"/>
  <c r="L88" i="42"/>
  <c r="J88" i="42"/>
  <c r="B88" i="42"/>
  <c r="X87" i="42"/>
  <c r="Z87" i="42" s="1"/>
  <c r="N87" i="42"/>
  <c r="L87" i="42"/>
  <c r="B87" i="42"/>
  <c r="X86" i="42"/>
  <c r="Z86" i="42" s="1"/>
  <c r="N86" i="42"/>
  <c r="L86" i="42"/>
  <c r="B86" i="42"/>
  <c r="X85" i="42"/>
  <c r="Z85" i="42" s="1"/>
  <c r="L85" i="42"/>
  <c r="N85" i="42" s="1"/>
  <c r="B85" i="42"/>
  <c r="Z84" i="42"/>
  <c r="X84" i="42"/>
  <c r="N84" i="42"/>
  <c r="L84" i="42"/>
  <c r="B84" i="42"/>
  <c r="X83" i="42"/>
  <c r="T83" i="42"/>
  <c r="Z83" i="42" s="1"/>
  <c r="P83" i="42"/>
  <c r="H83" i="42"/>
  <c r="D83" i="42"/>
  <c r="B83" i="42"/>
  <c r="X82" i="42"/>
  <c r="Z82" i="42" s="1"/>
  <c r="N82" i="42"/>
  <c r="L82" i="42"/>
  <c r="B82" i="42"/>
  <c r="T81" i="42"/>
  <c r="P81" i="42"/>
  <c r="H81" i="42"/>
  <c r="D81" i="42"/>
  <c r="L81" i="42" s="1"/>
  <c r="B81" i="42"/>
  <c r="Z80" i="42"/>
  <c r="X80" i="42"/>
  <c r="N80" i="42"/>
  <c r="L80" i="42"/>
  <c r="J80" i="42"/>
  <c r="B80" i="42"/>
  <c r="X79" i="42"/>
  <c r="Z79" i="42" s="1"/>
  <c r="L79" i="42"/>
  <c r="N79" i="42" s="1"/>
  <c r="B79" i="42"/>
  <c r="X78" i="42"/>
  <c r="Z78" i="42" s="1"/>
  <c r="N78" i="42"/>
  <c r="L78" i="42"/>
  <c r="B78" i="42"/>
  <c r="X77" i="42"/>
  <c r="Z77" i="42" s="1"/>
  <c r="L77" i="42"/>
  <c r="N77" i="42" s="1"/>
  <c r="B77" i="42"/>
  <c r="Z76" i="42"/>
  <c r="X76" i="42"/>
  <c r="N76" i="42"/>
  <c r="L76" i="42"/>
  <c r="B76" i="42"/>
  <c r="X75" i="42"/>
  <c r="T75" i="42"/>
  <c r="Z75" i="42" s="1"/>
  <c r="P75" i="42"/>
  <c r="H75" i="42"/>
  <c r="D75" i="42"/>
  <c r="B75" i="42"/>
  <c r="Z74" i="42"/>
  <c r="X74" i="42"/>
  <c r="N74" i="42"/>
  <c r="L74" i="42"/>
  <c r="B74" i="42"/>
  <c r="T73" i="42"/>
  <c r="P73" i="42"/>
  <c r="H73" i="42"/>
  <c r="N73" i="42" s="1"/>
  <c r="D73" i="42"/>
  <c r="L73" i="42" s="1"/>
  <c r="B73" i="42"/>
  <c r="Z72" i="42"/>
  <c r="X72" i="42"/>
  <c r="N72" i="42"/>
  <c r="L72" i="42"/>
  <c r="J72" i="42"/>
  <c r="B72" i="42"/>
  <c r="X71" i="42"/>
  <c r="Z71" i="42" s="1"/>
  <c r="L71" i="42"/>
  <c r="N71" i="42" s="1"/>
  <c r="B71" i="42"/>
  <c r="Z70" i="42"/>
  <c r="X70" i="42"/>
  <c r="N70" i="42"/>
  <c r="L70" i="42"/>
  <c r="B70" i="42"/>
  <c r="T69" i="42"/>
  <c r="P69" i="42"/>
  <c r="H69" i="42"/>
  <c r="D69" i="42"/>
  <c r="L69" i="42" s="1"/>
  <c r="B69" i="42"/>
  <c r="Z68" i="42"/>
  <c r="X68" i="42"/>
  <c r="N68" i="42"/>
  <c r="L68" i="42"/>
  <c r="J68" i="42"/>
  <c r="B68" i="42"/>
  <c r="T67" i="42"/>
  <c r="P67" i="42"/>
  <c r="X67" i="42" s="1"/>
  <c r="H67" i="42"/>
  <c r="N67" i="42" s="1"/>
  <c r="D67" i="42"/>
  <c r="L67" i="42" s="1"/>
  <c r="B67" i="42"/>
  <c r="Z66" i="42"/>
  <c r="X66" i="42"/>
  <c r="L66" i="42"/>
  <c r="N66" i="42" s="1"/>
  <c r="J66" i="42"/>
  <c r="B66" i="42"/>
  <c r="T65" i="42"/>
  <c r="Z65" i="42" s="1"/>
  <c r="P65" i="42"/>
  <c r="X65" i="42" s="1"/>
  <c r="L65" i="42"/>
  <c r="H65" i="42"/>
  <c r="N65" i="42" s="1"/>
  <c r="D65" i="42"/>
  <c r="B65" i="42"/>
  <c r="Z64" i="42"/>
  <c r="X64" i="42"/>
  <c r="V64" i="42"/>
  <c r="N64" i="42"/>
  <c r="L64" i="42"/>
  <c r="B64" i="42"/>
  <c r="X63" i="42"/>
  <c r="T63" i="42"/>
  <c r="P63" i="42"/>
  <c r="H63" i="42"/>
  <c r="D63" i="42"/>
  <c r="B63" i="42"/>
  <c r="X62" i="42"/>
  <c r="Z62" i="42" s="1"/>
  <c r="N62" i="42"/>
  <c r="L62" i="42"/>
  <c r="B62" i="42"/>
  <c r="T61" i="42"/>
  <c r="P61" i="42"/>
  <c r="H61" i="42"/>
  <c r="N61" i="42" s="1"/>
  <c r="D61" i="42"/>
  <c r="L61" i="42" s="1"/>
  <c r="B61" i="42"/>
  <c r="Z60" i="42"/>
  <c r="X60" i="42"/>
  <c r="N60" i="42"/>
  <c r="L60" i="42"/>
  <c r="J60" i="42"/>
  <c r="B60" i="42"/>
  <c r="T59" i="42"/>
  <c r="Z59" i="42" s="1"/>
  <c r="P59" i="42"/>
  <c r="X59" i="42" s="1"/>
  <c r="H59" i="42"/>
  <c r="D59" i="42"/>
  <c r="L59" i="42" s="1"/>
  <c r="B59" i="42"/>
  <c r="Z58" i="42"/>
  <c r="X58" i="42"/>
  <c r="L58" i="42"/>
  <c r="N58" i="42" s="1"/>
  <c r="J58" i="42"/>
  <c r="B58" i="42"/>
  <c r="T57" i="42"/>
  <c r="P57" i="42"/>
  <c r="X57" i="42" s="1"/>
  <c r="L57" i="42"/>
  <c r="H57" i="42"/>
  <c r="N57" i="42" s="1"/>
  <c r="D57" i="42"/>
  <c r="B57" i="42"/>
  <c r="Z56" i="42"/>
  <c r="X56" i="42"/>
  <c r="N56" i="42"/>
  <c r="L56" i="42"/>
  <c r="B56" i="42"/>
  <c r="Z55" i="42"/>
  <c r="X55" i="42"/>
  <c r="N55" i="42"/>
  <c r="L55" i="42"/>
  <c r="B55" i="42"/>
  <c r="T54" i="42"/>
  <c r="P54" i="42"/>
  <c r="X54" i="42" s="1"/>
  <c r="Z54" i="42" s="1"/>
  <c r="N54" i="42"/>
  <c r="L54" i="42"/>
  <c r="J54" i="42"/>
  <c r="H54" i="42"/>
  <c r="D54" i="42"/>
  <c r="B54" i="42"/>
  <c r="X53" i="42"/>
  <c r="Z53" i="42" s="1"/>
  <c r="L53" i="42"/>
  <c r="N53" i="42" s="1"/>
  <c r="B53" i="42"/>
  <c r="Z52" i="42"/>
  <c r="X52" i="42"/>
  <c r="T52" i="42"/>
  <c r="P52" i="42"/>
  <c r="L52" i="42"/>
  <c r="N52" i="42" s="1"/>
  <c r="J52" i="42"/>
  <c r="H52" i="42"/>
  <c r="D52" i="42"/>
  <c r="B52" i="42"/>
  <c r="X51" i="42"/>
  <c r="Z51" i="42" s="1"/>
  <c r="N51" i="42"/>
  <c r="L51" i="42"/>
  <c r="B51" i="42"/>
  <c r="X50" i="42"/>
  <c r="Z50" i="42" s="1"/>
  <c r="T50" i="42"/>
  <c r="P50" i="42"/>
  <c r="N50" i="42"/>
  <c r="H50" i="42"/>
  <c r="D50" i="42"/>
  <c r="L50" i="42" s="1"/>
  <c r="B50" i="42"/>
  <c r="Z49" i="42"/>
  <c r="X49" i="42"/>
  <c r="N49" i="42"/>
  <c r="L49" i="42"/>
  <c r="B49" i="42"/>
  <c r="Z48" i="42"/>
  <c r="T48" i="42"/>
  <c r="P48" i="42"/>
  <c r="X48" i="42" s="1"/>
  <c r="N48" i="42"/>
  <c r="J48" i="42"/>
  <c r="H48" i="42"/>
  <c r="D48" i="42"/>
  <c r="L48" i="42" s="1"/>
  <c r="B48" i="42"/>
  <c r="Z47" i="42"/>
  <c r="X47" i="42"/>
  <c r="N47" i="42"/>
  <c r="L47" i="42"/>
  <c r="B47" i="42"/>
  <c r="Z46" i="42"/>
  <c r="X46" i="42"/>
  <c r="N46" i="42"/>
  <c r="L46" i="42"/>
  <c r="J46" i="42"/>
  <c r="B46" i="42"/>
  <c r="X45" i="42"/>
  <c r="Z45" i="42" s="1"/>
  <c r="L45" i="42"/>
  <c r="N45" i="42" s="1"/>
  <c r="B45" i="42"/>
  <c r="Z44" i="42"/>
  <c r="X44" i="42"/>
  <c r="N44" i="42"/>
  <c r="L44" i="42"/>
  <c r="J44" i="42"/>
  <c r="B44" i="42"/>
  <c r="Z43" i="42"/>
  <c r="X43" i="42"/>
  <c r="N43" i="42"/>
  <c r="L43" i="42"/>
  <c r="B43" i="42"/>
  <c r="X42" i="42"/>
  <c r="Z42" i="42" s="1"/>
  <c r="N42" i="42"/>
  <c r="L42" i="42"/>
  <c r="J42" i="42"/>
  <c r="B42" i="42"/>
  <c r="X41" i="42"/>
  <c r="Z41" i="42" s="1"/>
  <c r="L41" i="42"/>
  <c r="N41" i="42" s="1"/>
  <c r="B41" i="42"/>
  <c r="Z40" i="42"/>
  <c r="X40" i="42"/>
  <c r="N40" i="42"/>
  <c r="L40" i="42"/>
  <c r="B40" i="42"/>
  <c r="X39" i="42"/>
  <c r="Z39" i="42" s="1"/>
  <c r="L39" i="42"/>
  <c r="N39" i="42" s="1"/>
  <c r="B39" i="42"/>
  <c r="Z38" i="42"/>
  <c r="X38" i="42"/>
  <c r="L38" i="42"/>
  <c r="N38" i="42" s="1"/>
  <c r="J38" i="42"/>
  <c r="B38" i="42"/>
  <c r="T37" i="42"/>
  <c r="P37" i="42"/>
  <c r="X37" i="42" s="1"/>
  <c r="L37" i="42"/>
  <c r="H37" i="42"/>
  <c r="D37" i="42"/>
  <c r="B37" i="42"/>
  <c r="Z36" i="42"/>
  <c r="X36" i="42"/>
  <c r="N36" i="42"/>
  <c r="L36" i="42"/>
  <c r="B36" i="42"/>
  <c r="X35" i="42"/>
  <c r="Z35" i="42" s="1"/>
  <c r="L35" i="42"/>
  <c r="N35" i="42" s="1"/>
  <c r="B35" i="42"/>
  <c r="Z34" i="42"/>
  <c r="X34" i="42"/>
  <c r="L34" i="42"/>
  <c r="N34" i="42" s="1"/>
  <c r="J34" i="42"/>
  <c r="B34" i="42"/>
  <c r="Z33" i="42"/>
  <c r="X33" i="42"/>
  <c r="N33" i="42"/>
  <c r="L33" i="42"/>
  <c r="B33" i="42"/>
  <c r="Z32" i="42"/>
  <c r="X32" i="42"/>
  <c r="N32" i="42"/>
  <c r="L32" i="42"/>
  <c r="J32" i="42"/>
  <c r="B32" i="42"/>
  <c r="X31" i="42"/>
  <c r="Z31" i="42" s="1"/>
  <c r="L31" i="42"/>
  <c r="N31" i="42" s="1"/>
  <c r="B31" i="42"/>
  <c r="X30" i="42"/>
  <c r="Z30" i="42" s="1"/>
  <c r="N30" i="42"/>
  <c r="L30" i="42"/>
  <c r="J30" i="42"/>
  <c r="B30" i="42"/>
  <c r="X29" i="42"/>
  <c r="Z29" i="42" s="1"/>
  <c r="L29" i="42"/>
  <c r="N29" i="42" s="1"/>
  <c r="B29" i="42"/>
  <c r="Z28" i="42"/>
  <c r="X28" i="42"/>
  <c r="V28" i="42"/>
  <c r="N28" i="42"/>
  <c r="L28" i="42"/>
  <c r="B28" i="42"/>
  <c r="X27" i="42"/>
  <c r="T27" i="42"/>
  <c r="P27" i="42"/>
  <c r="H27" i="42"/>
  <c r="D27" i="42"/>
  <c r="B27" i="42"/>
  <c r="T26" i="42"/>
  <c r="P26" i="42"/>
  <c r="H26" i="42"/>
  <c r="D26" i="42"/>
  <c r="L26" i="42" s="1"/>
  <c r="N26" i="42" s="1"/>
  <c r="Z22" i="42"/>
  <c r="X22" i="42"/>
  <c r="N22" i="42"/>
  <c r="L22" i="42"/>
  <c r="J22" i="42"/>
  <c r="B22" i="42"/>
  <c r="Z21" i="42"/>
  <c r="X21" i="42"/>
  <c r="N21" i="42"/>
  <c r="L21" i="42"/>
  <c r="B21" i="42"/>
  <c r="Z20" i="42"/>
  <c r="X20" i="42"/>
  <c r="N20" i="42"/>
  <c r="L20" i="42"/>
  <c r="B20" i="42"/>
  <c r="X19" i="42"/>
  <c r="T19" i="42"/>
  <c r="P19" i="42"/>
  <c r="H19" i="42"/>
  <c r="D19" i="42"/>
  <c r="Z17" i="42"/>
  <c r="P17" i="42"/>
  <c r="X17" i="42" s="1"/>
  <c r="N17" i="42"/>
  <c r="D17" i="42"/>
  <c r="L17" i="42" s="1"/>
  <c r="B17" i="42"/>
  <c r="P16" i="42"/>
  <c r="X16" i="42" s="1"/>
  <c r="Z16" i="42" s="1"/>
  <c r="L16" i="42"/>
  <c r="N16" i="42" s="1"/>
  <c r="D16" i="42"/>
  <c r="B16" i="42"/>
  <c r="Z15" i="42"/>
  <c r="X15" i="42"/>
  <c r="P15" i="42"/>
  <c r="N15" i="42"/>
  <c r="D15" i="42"/>
  <c r="B15" i="42"/>
  <c r="Z14" i="42"/>
  <c r="P14" i="42"/>
  <c r="X14" i="42" s="1"/>
  <c r="N14" i="42"/>
  <c r="D14" i="42"/>
  <c r="L14" i="42" s="1"/>
  <c r="B14" i="42"/>
  <c r="X13" i="42"/>
  <c r="Z13" i="42" s="1"/>
  <c r="P13" i="42"/>
  <c r="D13" i="42"/>
  <c r="L13" i="42" s="1"/>
  <c r="N13" i="42" s="1"/>
  <c r="B13" i="42"/>
  <c r="T12" i="42"/>
  <c r="H12" i="42"/>
  <c r="J103" i="42" s="1"/>
  <c r="D4" i="42"/>
  <c r="B39" i="41"/>
  <c r="B38" i="41"/>
  <c r="T34" i="41"/>
  <c r="P34" i="41"/>
  <c r="H34" i="41"/>
  <c r="N34" i="41" s="1"/>
  <c r="D34" i="41"/>
  <c r="T33" i="41"/>
  <c r="Z33" i="41" s="1"/>
  <c r="P33" i="41"/>
  <c r="H33" i="41"/>
  <c r="N33" i="41" s="1"/>
  <c r="D33" i="41"/>
  <c r="T29" i="41"/>
  <c r="Z29" i="41" s="1"/>
  <c r="P29" i="41"/>
  <c r="H29" i="41"/>
  <c r="N29" i="41" s="1"/>
  <c r="D29" i="41"/>
  <c r="T25" i="41"/>
  <c r="Z25" i="41" s="1"/>
  <c r="P25" i="41"/>
  <c r="H25" i="41"/>
  <c r="N25" i="41" s="1"/>
  <c r="D25" i="41"/>
  <c r="B25" i="41"/>
  <c r="T24" i="41"/>
  <c r="Z24" i="41" s="1"/>
  <c r="P24" i="41"/>
  <c r="H24" i="41"/>
  <c r="N24" i="41" s="1"/>
  <c r="D24" i="41"/>
  <c r="T22" i="41"/>
  <c r="Z22" i="41" s="1"/>
  <c r="P22" i="41"/>
  <c r="H22" i="41"/>
  <c r="N22" i="41" s="1"/>
  <c r="D22" i="41"/>
  <c r="B22" i="41"/>
  <c r="T21" i="41"/>
  <c r="Z21" i="41" s="1"/>
  <c r="P21" i="41"/>
  <c r="H21" i="41"/>
  <c r="N21" i="41" s="1"/>
  <c r="D21" i="41"/>
  <c r="B21" i="41"/>
  <c r="T20" i="41"/>
  <c r="Z20" i="41" s="1"/>
  <c r="P20" i="41"/>
  <c r="H20" i="41"/>
  <c r="N20" i="41" s="1"/>
  <c r="D20" i="41"/>
  <c r="T16" i="41"/>
  <c r="Z16" i="41" s="1"/>
  <c r="P16" i="41"/>
  <c r="H16" i="41"/>
  <c r="N16" i="41" s="1"/>
  <c r="D16" i="41"/>
  <c r="B16" i="41"/>
  <c r="T15" i="41"/>
  <c r="Z15" i="41" s="1"/>
  <c r="P15" i="41"/>
  <c r="H15" i="41"/>
  <c r="N15" i="41" s="1"/>
  <c r="D15" i="41"/>
  <c r="T13" i="41"/>
  <c r="Z13" i="41" s="1"/>
  <c r="P13" i="41"/>
  <c r="H13" i="41"/>
  <c r="N13" i="41" s="1"/>
  <c r="D13" i="41"/>
  <c r="B13" i="41"/>
  <c r="T12" i="41"/>
  <c r="P12" i="41"/>
  <c r="R25" i="41" s="1"/>
  <c r="H12" i="41"/>
  <c r="J36" i="41" s="1"/>
  <c r="D12" i="41"/>
  <c r="D5" i="41"/>
  <c r="D4" i="41"/>
  <c r="B39" i="40"/>
  <c r="B38" i="40"/>
  <c r="T34" i="40"/>
  <c r="P34" i="40"/>
  <c r="H34" i="40"/>
  <c r="N34" i="40" s="1"/>
  <c r="D34" i="40"/>
  <c r="T33" i="40"/>
  <c r="Z33" i="40" s="1"/>
  <c r="P33" i="40"/>
  <c r="H33" i="40"/>
  <c r="N33" i="40" s="1"/>
  <c r="D33" i="40"/>
  <c r="T29" i="40"/>
  <c r="Z29" i="40" s="1"/>
  <c r="P29" i="40"/>
  <c r="H29" i="40"/>
  <c r="N29" i="40" s="1"/>
  <c r="D29" i="40"/>
  <c r="T25" i="40"/>
  <c r="Z25" i="40" s="1"/>
  <c r="P25" i="40"/>
  <c r="H25" i="40"/>
  <c r="N25" i="40" s="1"/>
  <c r="D25" i="40"/>
  <c r="B25" i="40"/>
  <c r="T24" i="40"/>
  <c r="Z24" i="40" s="1"/>
  <c r="P24" i="40"/>
  <c r="H24" i="40"/>
  <c r="N24" i="40" s="1"/>
  <c r="D24" i="40"/>
  <c r="T22" i="40"/>
  <c r="Z22" i="40" s="1"/>
  <c r="P22" i="40"/>
  <c r="H22" i="40"/>
  <c r="N22" i="40" s="1"/>
  <c r="D22" i="40"/>
  <c r="B22" i="40"/>
  <c r="T21" i="40"/>
  <c r="Z21" i="40" s="1"/>
  <c r="P21" i="40"/>
  <c r="H21" i="40"/>
  <c r="N21" i="40" s="1"/>
  <c r="D21" i="40"/>
  <c r="B21" i="40"/>
  <c r="T20" i="40"/>
  <c r="P20" i="40"/>
  <c r="H20" i="40"/>
  <c r="N20" i="40" s="1"/>
  <c r="D20" i="40"/>
  <c r="T16" i="40"/>
  <c r="Z16" i="40" s="1"/>
  <c r="P16" i="40"/>
  <c r="H16" i="40"/>
  <c r="N16" i="40" s="1"/>
  <c r="D16" i="40"/>
  <c r="B16" i="40"/>
  <c r="T15" i="40"/>
  <c r="P15" i="40"/>
  <c r="H15" i="40"/>
  <c r="N15" i="40" s="1"/>
  <c r="D15" i="40"/>
  <c r="T13" i="40"/>
  <c r="P13" i="40"/>
  <c r="H13" i="40"/>
  <c r="N13" i="40" s="1"/>
  <c r="D13" i="40"/>
  <c r="B13" i="40"/>
  <c r="T12" i="40"/>
  <c r="V24" i="40" s="1"/>
  <c r="P12" i="40"/>
  <c r="H12" i="40"/>
  <c r="D12" i="40"/>
  <c r="F27" i="40" s="1"/>
  <c r="D5" i="40"/>
  <c r="D4" i="40"/>
  <c r="X113" i="39"/>
  <c r="Z113" i="39" s="1"/>
  <c r="L113" i="39"/>
  <c r="N113" i="39" s="1"/>
  <c r="Z109" i="39"/>
  <c r="X109" i="39"/>
  <c r="P109" i="39"/>
  <c r="N109" i="39"/>
  <c r="D109" i="39"/>
  <c r="L109" i="39" s="1"/>
  <c r="B109" i="39"/>
  <c r="Z108" i="39"/>
  <c r="P108" i="39"/>
  <c r="X108" i="39" s="1"/>
  <c r="N108" i="39"/>
  <c r="L108" i="39"/>
  <c r="D108" i="39"/>
  <c r="B108" i="39"/>
  <c r="P107" i="39"/>
  <c r="P106" i="39" s="1"/>
  <c r="X106" i="39" s="1"/>
  <c r="D107" i="39"/>
  <c r="L107" i="39" s="1"/>
  <c r="N107" i="39" s="1"/>
  <c r="B107" i="39"/>
  <c r="Z106" i="39"/>
  <c r="V106" i="39"/>
  <c r="T106" i="39"/>
  <c r="J106" i="39"/>
  <c r="H106" i="39"/>
  <c r="Z104" i="39"/>
  <c r="X104" i="39"/>
  <c r="N104" i="39"/>
  <c r="L104" i="39"/>
  <c r="J104" i="39"/>
  <c r="B104" i="39"/>
  <c r="T103" i="39"/>
  <c r="P103" i="39"/>
  <c r="X103" i="39" s="1"/>
  <c r="H103" i="39"/>
  <c r="N103" i="39" s="1"/>
  <c r="D103" i="39"/>
  <c r="L103" i="39" s="1"/>
  <c r="B103" i="39"/>
  <c r="Z102" i="39"/>
  <c r="X102" i="39"/>
  <c r="N102" i="39"/>
  <c r="L102" i="39"/>
  <c r="J102" i="39"/>
  <c r="B102" i="39"/>
  <c r="T101" i="39"/>
  <c r="Z101" i="39" s="1"/>
  <c r="P101" i="39"/>
  <c r="X101" i="39" s="1"/>
  <c r="L101" i="39"/>
  <c r="H101" i="39"/>
  <c r="N101" i="39" s="1"/>
  <c r="D101" i="39"/>
  <c r="B101" i="39"/>
  <c r="Z100" i="39"/>
  <c r="X100" i="39"/>
  <c r="V100" i="39"/>
  <c r="N100" i="39"/>
  <c r="L100" i="39"/>
  <c r="B100" i="39"/>
  <c r="X99" i="39"/>
  <c r="T99" i="39"/>
  <c r="Z99" i="39" s="1"/>
  <c r="P99" i="39"/>
  <c r="L99" i="39"/>
  <c r="H99" i="39"/>
  <c r="N99" i="39" s="1"/>
  <c r="D99" i="39"/>
  <c r="B99" i="39"/>
  <c r="X98" i="39"/>
  <c r="Z98" i="39" s="1"/>
  <c r="N98" i="39"/>
  <c r="L98" i="39"/>
  <c r="B98" i="39"/>
  <c r="X97" i="39"/>
  <c r="Z97" i="39" s="1"/>
  <c r="L97" i="39"/>
  <c r="N97" i="39" s="1"/>
  <c r="B97" i="39"/>
  <c r="Z96" i="39"/>
  <c r="X96" i="39"/>
  <c r="V96" i="39"/>
  <c r="T96" i="39"/>
  <c r="P96" i="39"/>
  <c r="L96" i="39"/>
  <c r="J96" i="39"/>
  <c r="H96" i="39"/>
  <c r="N96" i="39" s="1"/>
  <c r="D96" i="39"/>
  <c r="B96" i="39"/>
  <c r="X95" i="39"/>
  <c r="Z95" i="39" s="1"/>
  <c r="N95" i="39"/>
  <c r="L95" i="39"/>
  <c r="B95" i="39"/>
  <c r="X94" i="39"/>
  <c r="Z94" i="39" s="1"/>
  <c r="N94" i="39"/>
  <c r="L94" i="39"/>
  <c r="B94" i="39"/>
  <c r="X93" i="39"/>
  <c r="Z93" i="39" s="1"/>
  <c r="L93" i="39"/>
  <c r="N93" i="39" s="1"/>
  <c r="B93" i="39"/>
  <c r="Z92" i="39"/>
  <c r="X92" i="39"/>
  <c r="V92" i="39"/>
  <c r="N92" i="39"/>
  <c r="L92" i="39"/>
  <c r="B92" i="39"/>
  <c r="X91" i="39"/>
  <c r="Z91" i="39" s="1"/>
  <c r="L91" i="39"/>
  <c r="N91" i="39" s="1"/>
  <c r="B91" i="39"/>
  <c r="Z90" i="39"/>
  <c r="X90" i="39"/>
  <c r="N90" i="39"/>
  <c r="L90" i="39"/>
  <c r="J90" i="39"/>
  <c r="B90" i="39"/>
  <c r="X89" i="39"/>
  <c r="Z89" i="39" s="1"/>
  <c r="N89" i="39"/>
  <c r="L89" i="39"/>
  <c r="B89" i="39"/>
  <c r="Z88" i="39"/>
  <c r="X88" i="39"/>
  <c r="N88" i="39"/>
  <c r="L88" i="39"/>
  <c r="J88" i="39"/>
  <c r="B88" i="39"/>
  <c r="X87" i="39"/>
  <c r="Z87" i="39" s="1"/>
  <c r="L87" i="39"/>
  <c r="N87" i="39" s="1"/>
  <c r="B87" i="39"/>
  <c r="X86" i="39"/>
  <c r="Z86" i="39" s="1"/>
  <c r="N86" i="39"/>
  <c r="L86" i="39"/>
  <c r="B86" i="39"/>
  <c r="T85" i="39"/>
  <c r="P85" i="39"/>
  <c r="H85" i="39"/>
  <c r="D85" i="39"/>
  <c r="L85" i="39" s="1"/>
  <c r="B85" i="39"/>
  <c r="Z84" i="39"/>
  <c r="X84" i="39"/>
  <c r="N84" i="39"/>
  <c r="L84" i="39"/>
  <c r="J84" i="39"/>
  <c r="B84" i="39"/>
  <c r="T83" i="39"/>
  <c r="P83" i="39"/>
  <c r="X83" i="39" s="1"/>
  <c r="H83" i="39"/>
  <c r="N83" i="39" s="1"/>
  <c r="D83" i="39"/>
  <c r="L83" i="39" s="1"/>
  <c r="B83" i="39"/>
  <c r="Z82" i="39"/>
  <c r="X82" i="39"/>
  <c r="L82" i="39"/>
  <c r="N82" i="39" s="1"/>
  <c r="J82" i="39"/>
  <c r="B82" i="39"/>
  <c r="X81" i="39"/>
  <c r="Z81" i="39" s="1"/>
  <c r="L81" i="39"/>
  <c r="N81" i="39" s="1"/>
  <c r="B81" i="39"/>
  <c r="Z80" i="39"/>
  <c r="X80" i="39"/>
  <c r="N80" i="39"/>
  <c r="L80" i="39"/>
  <c r="J80" i="39"/>
  <c r="B80" i="39"/>
  <c r="X79" i="39"/>
  <c r="Z79" i="39" s="1"/>
  <c r="L79" i="39"/>
  <c r="N79" i="39" s="1"/>
  <c r="B79" i="39"/>
  <c r="X78" i="39"/>
  <c r="Z78" i="39" s="1"/>
  <c r="V78" i="39"/>
  <c r="N78" i="39"/>
  <c r="L78" i="39"/>
  <c r="B78" i="39"/>
  <c r="T77" i="39"/>
  <c r="P77" i="39"/>
  <c r="H77" i="39"/>
  <c r="D77" i="39"/>
  <c r="L77" i="39" s="1"/>
  <c r="B77" i="39"/>
  <c r="Z76" i="39"/>
  <c r="X76" i="39"/>
  <c r="N76" i="39"/>
  <c r="L76" i="39"/>
  <c r="J76" i="39"/>
  <c r="B76" i="39"/>
  <c r="Z75" i="39"/>
  <c r="X75" i="39"/>
  <c r="N75" i="39"/>
  <c r="L75" i="39"/>
  <c r="B75" i="39"/>
  <c r="X74" i="39"/>
  <c r="T74" i="39"/>
  <c r="Z74" i="39" s="1"/>
  <c r="P74" i="39"/>
  <c r="H74" i="39"/>
  <c r="D74" i="39"/>
  <c r="L74" i="39" s="1"/>
  <c r="N74" i="39" s="1"/>
  <c r="B74" i="39"/>
  <c r="X73" i="39"/>
  <c r="Z73" i="39" s="1"/>
  <c r="L73" i="39"/>
  <c r="N73" i="39" s="1"/>
  <c r="B73" i="39"/>
  <c r="Z72" i="39"/>
  <c r="X72" i="39"/>
  <c r="N72" i="39"/>
  <c r="L72" i="39"/>
  <c r="J72" i="39"/>
  <c r="B72" i="39"/>
  <c r="X71" i="39"/>
  <c r="Z71" i="39" s="1"/>
  <c r="N71" i="39"/>
  <c r="L71" i="39"/>
  <c r="B71" i="39"/>
  <c r="X70" i="39"/>
  <c r="T70" i="39"/>
  <c r="Z70" i="39" s="1"/>
  <c r="P70" i="39"/>
  <c r="H70" i="39"/>
  <c r="D70" i="39"/>
  <c r="L70" i="39" s="1"/>
  <c r="N70" i="39" s="1"/>
  <c r="B70" i="39"/>
  <c r="X69" i="39"/>
  <c r="Z69" i="39" s="1"/>
  <c r="L69" i="39"/>
  <c r="N69" i="39" s="1"/>
  <c r="B69" i="39"/>
  <c r="T68" i="39"/>
  <c r="P68" i="39"/>
  <c r="X68" i="39" s="1"/>
  <c r="Z68" i="39" s="1"/>
  <c r="H68" i="39"/>
  <c r="D68" i="39"/>
  <c r="L68" i="39" s="1"/>
  <c r="N68" i="39" s="1"/>
  <c r="B68" i="39"/>
  <c r="X67" i="39"/>
  <c r="Z67" i="39" s="1"/>
  <c r="L67" i="39"/>
  <c r="N67" i="39" s="1"/>
  <c r="B67" i="39"/>
  <c r="T66" i="39"/>
  <c r="P66" i="39"/>
  <c r="X66" i="39" s="1"/>
  <c r="Z66" i="39" s="1"/>
  <c r="N66" i="39"/>
  <c r="L66" i="39"/>
  <c r="J66" i="39"/>
  <c r="H66" i="39"/>
  <c r="D66" i="39"/>
  <c r="B66" i="39"/>
  <c r="X65" i="39"/>
  <c r="Z65" i="39" s="1"/>
  <c r="L65" i="39"/>
  <c r="N65" i="39" s="1"/>
  <c r="B65" i="39"/>
  <c r="Z64" i="39"/>
  <c r="X64" i="39"/>
  <c r="V64" i="39"/>
  <c r="T64" i="39"/>
  <c r="P64" i="39"/>
  <c r="L64" i="39"/>
  <c r="J64" i="39"/>
  <c r="H64" i="39"/>
  <c r="N64" i="39" s="1"/>
  <c r="D64" i="39"/>
  <c r="B64" i="39"/>
  <c r="X63" i="39"/>
  <c r="Z63" i="39" s="1"/>
  <c r="N63" i="39"/>
  <c r="L63" i="39"/>
  <c r="B63" i="39"/>
  <c r="X62" i="39"/>
  <c r="V62" i="39"/>
  <c r="T62" i="39"/>
  <c r="Z62" i="39" s="1"/>
  <c r="P62" i="39"/>
  <c r="N62" i="39"/>
  <c r="H62" i="39"/>
  <c r="D62" i="39"/>
  <c r="L62" i="39" s="1"/>
  <c r="B62" i="39"/>
  <c r="X61" i="39"/>
  <c r="Z61" i="39" s="1"/>
  <c r="L61" i="39"/>
  <c r="N61" i="39" s="1"/>
  <c r="B61" i="39"/>
  <c r="T60" i="39"/>
  <c r="P60" i="39"/>
  <c r="X60" i="39" s="1"/>
  <c r="Z60" i="39" s="1"/>
  <c r="N60" i="39"/>
  <c r="H60" i="39"/>
  <c r="D60" i="39"/>
  <c r="L60" i="39" s="1"/>
  <c r="B60" i="39"/>
  <c r="X59" i="39"/>
  <c r="Z59" i="39" s="1"/>
  <c r="L59" i="39"/>
  <c r="N59" i="39" s="1"/>
  <c r="B59" i="39"/>
  <c r="Z58" i="39"/>
  <c r="T58" i="39"/>
  <c r="P58" i="39"/>
  <c r="X58" i="39" s="1"/>
  <c r="N58" i="39"/>
  <c r="L58" i="39"/>
  <c r="J58" i="39"/>
  <c r="H58" i="39"/>
  <c r="D58" i="39"/>
  <c r="B58" i="39"/>
  <c r="X57" i="39"/>
  <c r="Z57" i="39" s="1"/>
  <c r="L57" i="39"/>
  <c r="N57" i="39" s="1"/>
  <c r="B57" i="39"/>
  <c r="Z56" i="39"/>
  <c r="X56" i="39"/>
  <c r="V56" i="39"/>
  <c r="N56" i="39"/>
  <c r="L56" i="39"/>
  <c r="B56" i="39"/>
  <c r="X55" i="39"/>
  <c r="T55" i="39"/>
  <c r="Z55" i="39" s="1"/>
  <c r="P55" i="39"/>
  <c r="H55" i="39"/>
  <c r="D55" i="39"/>
  <c r="B55" i="39"/>
  <c r="X54" i="39"/>
  <c r="Z54" i="39" s="1"/>
  <c r="N54" i="39"/>
  <c r="L54" i="39"/>
  <c r="B54" i="39"/>
  <c r="T53" i="39"/>
  <c r="P53" i="39"/>
  <c r="H53" i="39"/>
  <c r="D53" i="39"/>
  <c r="L53" i="39" s="1"/>
  <c r="B53" i="39"/>
  <c r="Z52" i="39"/>
  <c r="X52" i="39"/>
  <c r="N52" i="39"/>
  <c r="L52" i="39"/>
  <c r="J52" i="39"/>
  <c r="B52" i="39"/>
  <c r="T51" i="39"/>
  <c r="P51" i="39"/>
  <c r="X51" i="39" s="1"/>
  <c r="H51" i="39"/>
  <c r="N51" i="39" s="1"/>
  <c r="D51" i="39"/>
  <c r="L51" i="39" s="1"/>
  <c r="B51" i="39"/>
  <c r="Z50" i="39"/>
  <c r="X50" i="39"/>
  <c r="N50" i="39"/>
  <c r="L50" i="39"/>
  <c r="J50" i="39"/>
  <c r="B50" i="39"/>
  <c r="T49" i="39"/>
  <c r="Z49" i="39" s="1"/>
  <c r="P49" i="39"/>
  <c r="X49" i="39" s="1"/>
  <c r="L49" i="39"/>
  <c r="H49" i="39"/>
  <c r="N49" i="39" s="1"/>
  <c r="D49" i="39"/>
  <c r="B49" i="39"/>
  <c r="Z48" i="39"/>
  <c r="X48" i="39"/>
  <c r="V48" i="39"/>
  <c r="N48" i="39"/>
  <c r="L48" i="39"/>
  <c r="B48" i="39"/>
  <c r="Z47" i="39"/>
  <c r="X47" i="39"/>
  <c r="N47" i="39"/>
  <c r="L47" i="39"/>
  <c r="B47" i="39"/>
  <c r="Z46" i="39"/>
  <c r="X46" i="39"/>
  <c r="L46" i="39"/>
  <c r="N46" i="39" s="1"/>
  <c r="J46" i="39"/>
  <c r="B46" i="39"/>
  <c r="X45" i="39"/>
  <c r="Z45" i="39" s="1"/>
  <c r="L45" i="39"/>
  <c r="N45" i="39" s="1"/>
  <c r="B45" i="39"/>
  <c r="Z44" i="39"/>
  <c r="X44" i="39"/>
  <c r="N44" i="39"/>
  <c r="L44" i="39"/>
  <c r="J44" i="39"/>
  <c r="B44" i="39"/>
  <c r="X43" i="39"/>
  <c r="Z43" i="39" s="1"/>
  <c r="L43" i="39"/>
  <c r="N43" i="39" s="1"/>
  <c r="B43" i="39"/>
  <c r="X42" i="39"/>
  <c r="Z42" i="39" s="1"/>
  <c r="V42" i="39"/>
  <c r="N42" i="39"/>
  <c r="L42" i="39"/>
  <c r="B42" i="39"/>
  <c r="Z41" i="39"/>
  <c r="X41" i="39"/>
  <c r="N41" i="39"/>
  <c r="L41" i="39"/>
  <c r="B41" i="39"/>
  <c r="Z40" i="39"/>
  <c r="X40" i="39"/>
  <c r="V40" i="39"/>
  <c r="N40" i="39"/>
  <c r="L40" i="39"/>
  <c r="B40" i="39"/>
  <c r="X39" i="39"/>
  <c r="Z39" i="39" s="1"/>
  <c r="L39" i="39"/>
  <c r="N39" i="39" s="1"/>
  <c r="B39" i="39"/>
  <c r="Z38" i="39"/>
  <c r="T38" i="39"/>
  <c r="P38" i="39"/>
  <c r="X38" i="39" s="1"/>
  <c r="N38" i="39"/>
  <c r="L38" i="39"/>
  <c r="J38" i="39"/>
  <c r="H38" i="39"/>
  <c r="D38" i="39"/>
  <c r="B38" i="39"/>
  <c r="X37" i="39"/>
  <c r="Z37" i="39" s="1"/>
  <c r="L37" i="39"/>
  <c r="N37" i="39" s="1"/>
  <c r="B37" i="39"/>
  <c r="Z36" i="39"/>
  <c r="X36" i="39"/>
  <c r="V36" i="39"/>
  <c r="N36" i="39"/>
  <c r="L36" i="39"/>
  <c r="B36" i="39"/>
  <c r="X35" i="39"/>
  <c r="Z35" i="39" s="1"/>
  <c r="L35" i="39"/>
  <c r="N35" i="39" s="1"/>
  <c r="B35" i="39"/>
  <c r="Z34" i="39"/>
  <c r="X34" i="39"/>
  <c r="N34" i="39"/>
  <c r="L34" i="39"/>
  <c r="J34" i="39"/>
  <c r="B34" i="39"/>
  <c r="X33" i="39"/>
  <c r="Z33" i="39" s="1"/>
  <c r="L33" i="39"/>
  <c r="N33" i="39" s="1"/>
  <c r="B33" i="39"/>
  <c r="Z32" i="39"/>
  <c r="X32" i="39"/>
  <c r="N32" i="39"/>
  <c r="L32" i="39"/>
  <c r="J32" i="39"/>
  <c r="B32" i="39"/>
  <c r="X31" i="39"/>
  <c r="Z31" i="39" s="1"/>
  <c r="L31" i="39"/>
  <c r="N31" i="39" s="1"/>
  <c r="B31" i="39"/>
  <c r="X30" i="39"/>
  <c r="Z30" i="39" s="1"/>
  <c r="V30" i="39"/>
  <c r="N30" i="39"/>
  <c r="L30" i="39"/>
  <c r="B30" i="39"/>
  <c r="X29" i="39"/>
  <c r="Z29" i="39" s="1"/>
  <c r="L29" i="39"/>
  <c r="N29" i="39" s="1"/>
  <c r="B29" i="39"/>
  <c r="Z28" i="39"/>
  <c r="X28" i="39"/>
  <c r="V28" i="39"/>
  <c r="T28" i="39"/>
  <c r="P28" i="39"/>
  <c r="L28" i="39"/>
  <c r="J28" i="39"/>
  <c r="H28" i="39"/>
  <c r="N28" i="39" s="1"/>
  <c r="D28" i="39"/>
  <c r="B28" i="39"/>
  <c r="T27" i="39"/>
  <c r="P27" i="39"/>
  <c r="H27" i="39"/>
  <c r="D27" i="39"/>
  <c r="L27" i="39" s="1"/>
  <c r="H25" i="39"/>
  <c r="Z23" i="39"/>
  <c r="X23" i="39"/>
  <c r="N23" i="39"/>
  <c r="L23" i="39"/>
  <c r="B23" i="39"/>
  <c r="Z22" i="39"/>
  <c r="X22" i="39"/>
  <c r="V22" i="39"/>
  <c r="N22" i="39"/>
  <c r="L22" i="39"/>
  <c r="B22" i="39"/>
  <c r="X21" i="39"/>
  <c r="Z21" i="39" s="1"/>
  <c r="L21" i="39"/>
  <c r="N21" i="39" s="1"/>
  <c r="B21" i="39"/>
  <c r="Z20" i="39"/>
  <c r="X20" i="39"/>
  <c r="V20" i="39"/>
  <c r="T20" i="39"/>
  <c r="P20" i="39"/>
  <c r="N20" i="39"/>
  <c r="L20" i="39"/>
  <c r="J20" i="39"/>
  <c r="H20" i="39"/>
  <c r="D20" i="39"/>
  <c r="Z18" i="39"/>
  <c r="P18" i="39"/>
  <c r="X18" i="39" s="1"/>
  <c r="N18" i="39"/>
  <c r="L18" i="39"/>
  <c r="D18" i="39"/>
  <c r="B18" i="39"/>
  <c r="Z17" i="39"/>
  <c r="X17" i="39"/>
  <c r="P17" i="39"/>
  <c r="N17" i="39"/>
  <c r="D17" i="39"/>
  <c r="L17" i="39" s="1"/>
  <c r="B17" i="39"/>
  <c r="Z16" i="39"/>
  <c r="P16" i="39"/>
  <c r="X16" i="39" s="1"/>
  <c r="L16" i="39"/>
  <c r="N16" i="39" s="1"/>
  <c r="D16" i="39"/>
  <c r="B16" i="39"/>
  <c r="Z15" i="39"/>
  <c r="X15" i="39"/>
  <c r="P15" i="39"/>
  <c r="N15" i="39"/>
  <c r="D15" i="39"/>
  <c r="L15" i="39" s="1"/>
  <c r="B15" i="39"/>
  <c r="Z14" i="39"/>
  <c r="P14" i="39"/>
  <c r="N14" i="39"/>
  <c r="L14" i="39"/>
  <c r="D14" i="39"/>
  <c r="B14" i="39"/>
  <c r="X13" i="39"/>
  <c r="Z13" i="39" s="1"/>
  <c r="P13" i="39"/>
  <c r="D13" i="39"/>
  <c r="L13" i="39" s="1"/>
  <c r="N13" i="39" s="1"/>
  <c r="B13" i="39"/>
  <c r="T12" i="39"/>
  <c r="H12" i="39"/>
  <c r="D4" i="39"/>
  <c r="B39" i="38"/>
  <c r="B38" i="38"/>
  <c r="T34" i="38"/>
  <c r="Z34" i="38" s="1"/>
  <c r="P34" i="38"/>
  <c r="H34" i="38"/>
  <c r="N34" i="38" s="1"/>
  <c r="D34" i="38"/>
  <c r="T33" i="38"/>
  <c r="Z33" i="38" s="1"/>
  <c r="P33" i="38"/>
  <c r="H33" i="38"/>
  <c r="N33" i="38" s="1"/>
  <c r="D33" i="38"/>
  <c r="T29" i="38"/>
  <c r="Z29" i="38" s="1"/>
  <c r="P29" i="38"/>
  <c r="H29" i="38"/>
  <c r="N29" i="38" s="1"/>
  <c r="D29" i="38"/>
  <c r="T25" i="38"/>
  <c r="Z25" i="38" s="1"/>
  <c r="P25" i="38"/>
  <c r="H25" i="38"/>
  <c r="N25" i="38" s="1"/>
  <c r="D25" i="38"/>
  <c r="B25" i="38"/>
  <c r="T24" i="38"/>
  <c r="Z24" i="38" s="1"/>
  <c r="P24" i="38"/>
  <c r="H24" i="38"/>
  <c r="N24" i="38" s="1"/>
  <c r="D24" i="38"/>
  <c r="T22" i="38"/>
  <c r="Z22" i="38" s="1"/>
  <c r="P22" i="38"/>
  <c r="H22" i="38"/>
  <c r="D22" i="38"/>
  <c r="B22" i="38"/>
  <c r="T21" i="38"/>
  <c r="Z21" i="38" s="1"/>
  <c r="P21" i="38"/>
  <c r="H21" i="38"/>
  <c r="N21" i="38" s="1"/>
  <c r="D21" i="38"/>
  <c r="B21" i="38"/>
  <c r="T20" i="38"/>
  <c r="Z20" i="38" s="1"/>
  <c r="P20" i="38"/>
  <c r="H20" i="38"/>
  <c r="N20" i="38" s="1"/>
  <c r="D20" i="38"/>
  <c r="T16" i="38"/>
  <c r="Z16" i="38" s="1"/>
  <c r="P16" i="38"/>
  <c r="H16" i="38"/>
  <c r="N16" i="38" s="1"/>
  <c r="D16" i="38"/>
  <c r="B16" i="38"/>
  <c r="T15" i="38"/>
  <c r="Z15" i="38" s="1"/>
  <c r="P15" i="38"/>
  <c r="H15" i="38"/>
  <c r="N15" i="38" s="1"/>
  <c r="D15" i="38"/>
  <c r="T13" i="38"/>
  <c r="Z13" i="38" s="1"/>
  <c r="P13" i="38"/>
  <c r="H13" i="38"/>
  <c r="N13" i="38" s="1"/>
  <c r="D13" i="38"/>
  <c r="B13" i="38"/>
  <c r="T12" i="38"/>
  <c r="P12" i="38"/>
  <c r="R21" i="38" s="1"/>
  <c r="H12" i="38"/>
  <c r="D12" i="38"/>
  <c r="F36" i="38" s="1"/>
  <c r="D5" i="38"/>
  <c r="D4" i="38"/>
  <c r="B39" i="37"/>
  <c r="B38" i="37"/>
  <c r="T34" i="37"/>
  <c r="Z34" i="37" s="1"/>
  <c r="P34" i="37"/>
  <c r="H34" i="37"/>
  <c r="N34" i="37" s="1"/>
  <c r="D34" i="37"/>
  <c r="T33" i="37"/>
  <c r="Z33" i="37" s="1"/>
  <c r="P33" i="37"/>
  <c r="H33" i="37"/>
  <c r="D33" i="37"/>
  <c r="T29" i="37"/>
  <c r="Z29" i="37" s="1"/>
  <c r="P29" i="37"/>
  <c r="H29" i="37"/>
  <c r="N29" i="37" s="1"/>
  <c r="D29" i="37"/>
  <c r="T25" i="37"/>
  <c r="Z25" i="37" s="1"/>
  <c r="P25" i="37"/>
  <c r="H25" i="37"/>
  <c r="N25" i="37" s="1"/>
  <c r="D25" i="37"/>
  <c r="B25" i="37"/>
  <c r="T24" i="37"/>
  <c r="Z24" i="37" s="1"/>
  <c r="P24" i="37"/>
  <c r="H24" i="37"/>
  <c r="N24" i="37" s="1"/>
  <c r="D24" i="37"/>
  <c r="T22" i="37"/>
  <c r="Z22" i="37" s="1"/>
  <c r="P22" i="37"/>
  <c r="H22" i="37"/>
  <c r="N22" i="37" s="1"/>
  <c r="D22" i="37"/>
  <c r="B22" i="37"/>
  <c r="T21" i="37"/>
  <c r="Z21" i="37" s="1"/>
  <c r="P21" i="37"/>
  <c r="H21" i="37"/>
  <c r="N21" i="37" s="1"/>
  <c r="D21" i="37"/>
  <c r="B21" i="37"/>
  <c r="T20" i="37"/>
  <c r="P20" i="37"/>
  <c r="H20" i="37"/>
  <c r="N20" i="37" s="1"/>
  <c r="D20" i="37"/>
  <c r="T16" i="37"/>
  <c r="Z16" i="37" s="1"/>
  <c r="P16" i="37"/>
  <c r="H16" i="37"/>
  <c r="N16" i="37" s="1"/>
  <c r="D16" i="37"/>
  <c r="B16" i="37"/>
  <c r="T15" i="37"/>
  <c r="Z15" i="37" s="1"/>
  <c r="P15" i="37"/>
  <c r="H15" i="37"/>
  <c r="D15" i="37"/>
  <c r="T13" i="37"/>
  <c r="Z13" i="37" s="1"/>
  <c r="P13" i="37"/>
  <c r="H13" i="37"/>
  <c r="N13" i="37" s="1"/>
  <c r="D13" i="37"/>
  <c r="B13" i="37"/>
  <c r="T12" i="37"/>
  <c r="V22" i="37" s="1"/>
  <c r="P12" i="37"/>
  <c r="H12" i="37"/>
  <c r="J29" i="37" s="1"/>
  <c r="D12" i="37"/>
  <c r="D5" i="37"/>
  <c r="D4" i="37"/>
  <c r="X119" i="36"/>
  <c r="Z119" i="36" s="1"/>
  <c r="V119" i="36"/>
  <c r="L119" i="36"/>
  <c r="N119" i="36" s="1"/>
  <c r="Z115" i="36"/>
  <c r="X115" i="36"/>
  <c r="P115" i="36"/>
  <c r="N115" i="36"/>
  <c r="L115" i="36"/>
  <c r="D115" i="36"/>
  <c r="D112" i="36" s="1"/>
  <c r="L112" i="36" s="1"/>
  <c r="B115" i="36"/>
  <c r="Z114" i="36"/>
  <c r="X114" i="36"/>
  <c r="P114" i="36"/>
  <c r="N114" i="36"/>
  <c r="L114" i="36"/>
  <c r="D114" i="36"/>
  <c r="B114" i="36"/>
  <c r="P113" i="36"/>
  <c r="X113" i="36" s="1"/>
  <c r="Z113" i="36" s="1"/>
  <c r="L113" i="36"/>
  <c r="N113" i="36" s="1"/>
  <c r="D113" i="36"/>
  <c r="B113" i="36"/>
  <c r="T112" i="36"/>
  <c r="P112" i="36"/>
  <c r="X112" i="36" s="1"/>
  <c r="Z112" i="36" s="1"/>
  <c r="H112" i="36"/>
  <c r="X110" i="36"/>
  <c r="Z110" i="36" s="1"/>
  <c r="N110" i="36"/>
  <c r="L110" i="36"/>
  <c r="B110" i="36"/>
  <c r="T109" i="36"/>
  <c r="P109" i="36"/>
  <c r="X109" i="36" s="1"/>
  <c r="Z109" i="36" s="1"/>
  <c r="L109" i="36"/>
  <c r="N109" i="36" s="1"/>
  <c r="J109" i="36"/>
  <c r="H109" i="36"/>
  <c r="D109" i="36"/>
  <c r="B109" i="36"/>
  <c r="Z108" i="36"/>
  <c r="X108" i="36"/>
  <c r="N108" i="36"/>
  <c r="L108" i="36"/>
  <c r="B108" i="36"/>
  <c r="Z107" i="36"/>
  <c r="X107" i="36"/>
  <c r="V107" i="36"/>
  <c r="N107" i="36"/>
  <c r="L107" i="36"/>
  <c r="B107" i="36"/>
  <c r="Z106" i="36"/>
  <c r="X106" i="36"/>
  <c r="T106" i="36"/>
  <c r="P106" i="36"/>
  <c r="H106" i="36"/>
  <c r="D106" i="36"/>
  <c r="B106" i="36"/>
  <c r="Z105" i="36"/>
  <c r="X105" i="36"/>
  <c r="N105" i="36"/>
  <c r="L105" i="36"/>
  <c r="B105" i="36"/>
  <c r="T104" i="36"/>
  <c r="P104" i="36"/>
  <c r="H104" i="36"/>
  <c r="D104" i="36"/>
  <c r="L104" i="36" s="1"/>
  <c r="N104" i="36" s="1"/>
  <c r="B104" i="36"/>
  <c r="X103" i="36"/>
  <c r="Z103" i="36" s="1"/>
  <c r="L103" i="36"/>
  <c r="N103" i="36" s="1"/>
  <c r="J103" i="36"/>
  <c r="B103" i="36"/>
  <c r="Z102" i="36"/>
  <c r="X102" i="36"/>
  <c r="L102" i="36"/>
  <c r="N102" i="36" s="1"/>
  <c r="B102" i="36"/>
  <c r="T101" i="36"/>
  <c r="P101" i="36"/>
  <c r="H101" i="36"/>
  <c r="D101" i="36"/>
  <c r="L101" i="36" s="1"/>
  <c r="B101" i="36"/>
  <c r="X100" i="36"/>
  <c r="Z100" i="36" s="1"/>
  <c r="L100" i="36"/>
  <c r="N100" i="36" s="1"/>
  <c r="B100" i="36"/>
  <c r="X99" i="36"/>
  <c r="Z99" i="36" s="1"/>
  <c r="N99" i="36"/>
  <c r="L99" i="36"/>
  <c r="J99" i="36"/>
  <c r="B99" i="36"/>
  <c r="Z98" i="36"/>
  <c r="X98" i="36"/>
  <c r="L98" i="36"/>
  <c r="N98" i="36" s="1"/>
  <c r="B98" i="36"/>
  <c r="Z97" i="36"/>
  <c r="X97" i="36"/>
  <c r="N97" i="36"/>
  <c r="L97" i="36"/>
  <c r="B97" i="36"/>
  <c r="X96" i="36"/>
  <c r="Z96" i="36" s="1"/>
  <c r="L96" i="36"/>
  <c r="N96" i="36" s="1"/>
  <c r="B96" i="36"/>
  <c r="X95" i="36"/>
  <c r="Z95" i="36" s="1"/>
  <c r="V95" i="36"/>
  <c r="L95" i="36"/>
  <c r="N95" i="36" s="1"/>
  <c r="B95" i="36"/>
  <c r="X94" i="36"/>
  <c r="Z94" i="36" s="1"/>
  <c r="N94" i="36"/>
  <c r="L94" i="36"/>
  <c r="B94" i="36"/>
  <c r="Z93" i="36"/>
  <c r="X93" i="36"/>
  <c r="N93" i="36"/>
  <c r="L93" i="36"/>
  <c r="B93" i="36"/>
  <c r="X92" i="36"/>
  <c r="Z92" i="36" s="1"/>
  <c r="L92" i="36"/>
  <c r="N92" i="36" s="1"/>
  <c r="B92" i="36"/>
  <c r="X91" i="36"/>
  <c r="Z91" i="36" s="1"/>
  <c r="L91" i="36"/>
  <c r="N91" i="36" s="1"/>
  <c r="J91" i="36"/>
  <c r="B91" i="36"/>
  <c r="T90" i="36"/>
  <c r="P90" i="36"/>
  <c r="X90" i="36" s="1"/>
  <c r="Z90" i="36" s="1"/>
  <c r="H90" i="36"/>
  <c r="D90" i="36"/>
  <c r="L90" i="36" s="1"/>
  <c r="B90" i="36"/>
  <c r="Z89" i="36"/>
  <c r="X89" i="36"/>
  <c r="N89" i="36"/>
  <c r="L89" i="36"/>
  <c r="B89" i="36"/>
  <c r="X88" i="36"/>
  <c r="Z88" i="36" s="1"/>
  <c r="L88" i="36"/>
  <c r="N88" i="36" s="1"/>
  <c r="B88" i="36"/>
  <c r="T87" i="36"/>
  <c r="P87" i="36"/>
  <c r="X87" i="36" s="1"/>
  <c r="N87" i="36"/>
  <c r="H87" i="36"/>
  <c r="D87" i="36"/>
  <c r="L87" i="36" s="1"/>
  <c r="B87" i="36"/>
  <c r="X86" i="36"/>
  <c r="Z86" i="36" s="1"/>
  <c r="N86" i="36"/>
  <c r="L86" i="36"/>
  <c r="B86" i="36"/>
  <c r="Z85" i="36"/>
  <c r="X85" i="36"/>
  <c r="N85" i="36"/>
  <c r="L85" i="36"/>
  <c r="B85" i="36"/>
  <c r="Z84" i="36"/>
  <c r="X84" i="36"/>
  <c r="L84" i="36"/>
  <c r="N84" i="36" s="1"/>
  <c r="B84" i="36"/>
  <c r="X83" i="36"/>
  <c r="Z83" i="36" s="1"/>
  <c r="L83" i="36"/>
  <c r="N83" i="36" s="1"/>
  <c r="J83" i="36"/>
  <c r="B83" i="36"/>
  <c r="Z82" i="36"/>
  <c r="X82" i="36"/>
  <c r="L82" i="36"/>
  <c r="N82" i="36" s="1"/>
  <c r="B82" i="36"/>
  <c r="T81" i="36"/>
  <c r="P81" i="36"/>
  <c r="H81" i="36"/>
  <c r="D81" i="36"/>
  <c r="L81" i="36" s="1"/>
  <c r="B81" i="36"/>
  <c r="Z80" i="36"/>
  <c r="X80" i="36"/>
  <c r="N80" i="36"/>
  <c r="L80" i="36"/>
  <c r="B80" i="36"/>
  <c r="T79" i="36"/>
  <c r="Z79" i="36" s="1"/>
  <c r="P79" i="36"/>
  <c r="X79" i="36" s="1"/>
  <c r="N79" i="36"/>
  <c r="H79" i="36"/>
  <c r="D79" i="36"/>
  <c r="L79" i="36" s="1"/>
  <c r="B79" i="36"/>
  <c r="X78" i="36"/>
  <c r="Z78" i="36" s="1"/>
  <c r="N78" i="36"/>
  <c r="L78" i="36"/>
  <c r="B78" i="36"/>
  <c r="Z77" i="36"/>
  <c r="X77" i="36"/>
  <c r="N77" i="36"/>
  <c r="L77" i="36"/>
  <c r="B77" i="36"/>
  <c r="Z76" i="36"/>
  <c r="X76" i="36"/>
  <c r="L76" i="36"/>
  <c r="N76" i="36" s="1"/>
  <c r="B76" i="36"/>
  <c r="T75" i="36"/>
  <c r="P75" i="36"/>
  <c r="X75" i="36" s="1"/>
  <c r="N75" i="36"/>
  <c r="H75" i="36"/>
  <c r="D75" i="36"/>
  <c r="L75" i="36" s="1"/>
  <c r="B75" i="36"/>
  <c r="X74" i="36"/>
  <c r="Z74" i="36" s="1"/>
  <c r="N74" i="36"/>
  <c r="L74" i="36"/>
  <c r="B74" i="36"/>
  <c r="Z73" i="36"/>
  <c r="T73" i="36"/>
  <c r="P73" i="36"/>
  <c r="X73" i="36" s="1"/>
  <c r="L73" i="36"/>
  <c r="N73" i="36" s="1"/>
  <c r="J73" i="36"/>
  <c r="H73" i="36"/>
  <c r="D73" i="36"/>
  <c r="B73" i="36"/>
  <c r="X72" i="36"/>
  <c r="Z72" i="36" s="1"/>
  <c r="N72" i="36"/>
  <c r="L72" i="36"/>
  <c r="B72" i="36"/>
  <c r="X71" i="36"/>
  <c r="Z71" i="36" s="1"/>
  <c r="V71" i="36"/>
  <c r="T71" i="36"/>
  <c r="P71" i="36"/>
  <c r="H71" i="36"/>
  <c r="D71" i="36"/>
  <c r="B71" i="36"/>
  <c r="Z70" i="36"/>
  <c r="X70" i="36"/>
  <c r="L70" i="36"/>
  <c r="N70" i="36" s="1"/>
  <c r="B70" i="36"/>
  <c r="T69" i="36"/>
  <c r="P69" i="36"/>
  <c r="H69" i="36"/>
  <c r="N69" i="36" s="1"/>
  <c r="D69" i="36"/>
  <c r="L69" i="36" s="1"/>
  <c r="B69" i="36"/>
  <c r="Z68" i="36"/>
  <c r="X68" i="36"/>
  <c r="L68" i="36"/>
  <c r="N68" i="36" s="1"/>
  <c r="B68" i="36"/>
  <c r="T67" i="36"/>
  <c r="Z67" i="36" s="1"/>
  <c r="P67" i="36"/>
  <c r="X67" i="36" s="1"/>
  <c r="H67" i="36"/>
  <c r="D67" i="36"/>
  <c r="L67" i="36" s="1"/>
  <c r="N67" i="36" s="1"/>
  <c r="B67" i="36"/>
  <c r="X66" i="36"/>
  <c r="Z66" i="36" s="1"/>
  <c r="N66" i="36"/>
  <c r="L66" i="36"/>
  <c r="B66" i="36"/>
  <c r="T65" i="36"/>
  <c r="P65" i="36"/>
  <c r="X65" i="36" s="1"/>
  <c r="Z65" i="36" s="1"/>
  <c r="L65" i="36"/>
  <c r="N65" i="36" s="1"/>
  <c r="J65" i="36"/>
  <c r="H65" i="36"/>
  <c r="D65" i="36"/>
  <c r="B65" i="36"/>
  <c r="X64" i="36"/>
  <c r="Z64" i="36" s="1"/>
  <c r="V64" i="36"/>
  <c r="N64" i="36"/>
  <c r="L64" i="36"/>
  <c r="B64" i="36"/>
  <c r="X63" i="36"/>
  <c r="Z63" i="36" s="1"/>
  <c r="V63" i="36"/>
  <c r="T63" i="36"/>
  <c r="P63" i="36"/>
  <c r="H63" i="36"/>
  <c r="D63" i="36"/>
  <c r="B63" i="36"/>
  <c r="Z62" i="36"/>
  <c r="X62" i="36"/>
  <c r="L62" i="36"/>
  <c r="N62" i="36" s="1"/>
  <c r="B62" i="36"/>
  <c r="T61" i="36"/>
  <c r="P61" i="36"/>
  <c r="H61" i="36"/>
  <c r="D61" i="36"/>
  <c r="L61" i="36" s="1"/>
  <c r="B61" i="36"/>
  <c r="Z60" i="36"/>
  <c r="X60" i="36"/>
  <c r="L60" i="36"/>
  <c r="N60" i="36" s="1"/>
  <c r="B60" i="36"/>
  <c r="T59" i="36"/>
  <c r="P59" i="36"/>
  <c r="X59" i="36" s="1"/>
  <c r="N59" i="36"/>
  <c r="H59" i="36"/>
  <c r="D59" i="36"/>
  <c r="L59" i="36" s="1"/>
  <c r="B59" i="36"/>
  <c r="X58" i="36"/>
  <c r="Z58" i="36" s="1"/>
  <c r="N58" i="36"/>
  <c r="L58" i="36"/>
  <c r="B58" i="36"/>
  <c r="Z57" i="36"/>
  <c r="X57" i="36"/>
  <c r="N57" i="36"/>
  <c r="L57" i="36"/>
  <c r="B57" i="36"/>
  <c r="T56" i="36"/>
  <c r="P56" i="36"/>
  <c r="X56" i="36" s="1"/>
  <c r="L56" i="36"/>
  <c r="N56" i="36" s="1"/>
  <c r="H56" i="36"/>
  <c r="D56" i="36"/>
  <c r="B56" i="36"/>
  <c r="X55" i="36"/>
  <c r="Z55" i="36" s="1"/>
  <c r="V55" i="36"/>
  <c r="L55" i="36"/>
  <c r="N55" i="36" s="1"/>
  <c r="B55" i="36"/>
  <c r="X54" i="36"/>
  <c r="Z54" i="36" s="1"/>
  <c r="T54" i="36"/>
  <c r="P54" i="36"/>
  <c r="H54" i="36"/>
  <c r="D54" i="36"/>
  <c r="B54" i="36"/>
  <c r="X53" i="36"/>
  <c r="Z53" i="36" s="1"/>
  <c r="N53" i="36"/>
  <c r="L53" i="36"/>
  <c r="B53" i="36"/>
  <c r="T52" i="36"/>
  <c r="P52" i="36"/>
  <c r="H52" i="36"/>
  <c r="D52" i="36"/>
  <c r="L52" i="36" s="1"/>
  <c r="N52" i="36" s="1"/>
  <c r="B52" i="36"/>
  <c r="X51" i="36"/>
  <c r="Z51" i="36" s="1"/>
  <c r="L51" i="36"/>
  <c r="N51" i="36" s="1"/>
  <c r="J51" i="36"/>
  <c r="B51" i="36"/>
  <c r="T50" i="36"/>
  <c r="P50" i="36"/>
  <c r="X50" i="36" s="1"/>
  <c r="Z50" i="36" s="1"/>
  <c r="H50" i="36"/>
  <c r="D50" i="36"/>
  <c r="L50" i="36" s="1"/>
  <c r="B50" i="36"/>
  <c r="Z49" i="36"/>
  <c r="X49" i="36"/>
  <c r="N49" i="36"/>
  <c r="L49" i="36"/>
  <c r="B49" i="36"/>
  <c r="Z48" i="36"/>
  <c r="X48" i="36"/>
  <c r="V48" i="36"/>
  <c r="N48" i="36"/>
  <c r="L48" i="36"/>
  <c r="B48" i="36"/>
  <c r="X47" i="36"/>
  <c r="Z47" i="36" s="1"/>
  <c r="V47" i="36"/>
  <c r="L47" i="36"/>
  <c r="N47" i="36" s="1"/>
  <c r="J47" i="36"/>
  <c r="B47" i="36"/>
  <c r="Z46" i="36"/>
  <c r="X46" i="36"/>
  <c r="L46" i="36"/>
  <c r="N46" i="36" s="1"/>
  <c r="B46" i="36"/>
  <c r="Z45" i="36"/>
  <c r="X45" i="36"/>
  <c r="V45" i="36"/>
  <c r="N45" i="36"/>
  <c r="L45" i="36"/>
  <c r="B45" i="36"/>
  <c r="X44" i="36"/>
  <c r="Z44" i="36" s="1"/>
  <c r="V44" i="36"/>
  <c r="N44" i="36"/>
  <c r="L44" i="36"/>
  <c r="B44" i="36"/>
  <c r="X43" i="36"/>
  <c r="Z43" i="36" s="1"/>
  <c r="V43" i="36"/>
  <c r="L43" i="36"/>
  <c r="N43" i="36" s="1"/>
  <c r="B43" i="36"/>
  <c r="Z42" i="36"/>
  <c r="X42" i="36"/>
  <c r="N42" i="36"/>
  <c r="L42" i="36"/>
  <c r="B42" i="36"/>
  <c r="Z41" i="36"/>
  <c r="X41" i="36"/>
  <c r="N41" i="36"/>
  <c r="L41" i="36"/>
  <c r="B41" i="36"/>
  <c r="X40" i="36"/>
  <c r="Z40" i="36" s="1"/>
  <c r="V40" i="36"/>
  <c r="L40" i="36"/>
  <c r="N40" i="36" s="1"/>
  <c r="J40" i="36"/>
  <c r="B40" i="36"/>
  <c r="V39" i="36"/>
  <c r="T39" i="36"/>
  <c r="P39" i="36"/>
  <c r="X39" i="36" s="1"/>
  <c r="N39" i="36"/>
  <c r="H39" i="36"/>
  <c r="D39" i="36"/>
  <c r="L39" i="36" s="1"/>
  <c r="B39" i="36"/>
  <c r="X38" i="36"/>
  <c r="Z38" i="36" s="1"/>
  <c r="N38" i="36"/>
  <c r="L38" i="36"/>
  <c r="B38" i="36"/>
  <c r="Z37" i="36"/>
  <c r="X37" i="36"/>
  <c r="N37" i="36"/>
  <c r="L37" i="36"/>
  <c r="B37" i="36"/>
  <c r="Z36" i="36"/>
  <c r="X36" i="36"/>
  <c r="V36" i="36"/>
  <c r="L36" i="36"/>
  <c r="N36" i="36" s="1"/>
  <c r="J36" i="36"/>
  <c r="B36" i="36"/>
  <c r="Z35" i="36"/>
  <c r="X35" i="36"/>
  <c r="V35" i="36"/>
  <c r="N35" i="36"/>
  <c r="L35" i="36"/>
  <c r="J35" i="36"/>
  <c r="B35" i="36"/>
  <c r="Z34" i="36"/>
  <c r="X34" i="36"/>
  <c r="V34" i="36"/>
  <c r="N34" i="36"/>
  <c r="L34" i="36"/>
  <c r="B34" i="36"/>
  <c r="Z33" i="36"/>
  <c r="X33" i="36"/>
  <c r="V33" i="36"/>
  <c r="N33" i="36"/>
  <c r="L33" i="36"/>
  <c r="B33" i="36"/>
  <c r="X32" i="36"/>
  <c r="Z32" i="36" s="1"/>
  <c r="V32" i="36"/>
  <c r="L32" i="36"/>
  <c r="N32" i="36" s="1"/>
  <c r="B32" i="36"/>
  <c r="X31" i="36"/>
  <c r="Z31" i="36" s="1"/>
  <c r="V31" i="36"/>
  <c r="L31" i="36"/>
  <c r="N31" i="36" s="1"/>
  <c r="B31" i="36"/>
  <c r="X30" i="36"/>
  <c r="Z30" i="36" s="1"/>
  <c r="N30" i="36"/>
  <c r="L30" i="36"/>
  <c r="B30" i="36"/>
  <c r="Z29" i="36"/>
  <c r="X29" i="36"/>
  <c r="N29" i="36"/>
  <c r="L29" i="36"/>
  <c r="B29" i="36"/>
  <c r="V28" i="36"/>
  <c r="T28" i="36"/>
  <c r="P28" i="36"/>
  <c r="X28" i="36" s="1"/>
  <c r="L28" i="36"/>
  <c r="N28" i="36" s="1"/>
  <c r="H28" i="36"/>
  <c r="D28" i="36"/>
  <c r="B28" i="36"/>
  <c r="T27" i="36"/>
  <c r="V27" i="36" s="1"/>
  <c r="P27" i="36"/>
  <c r="X27" i="36" s="1"/>
  <c r="Z27" i="36" s="1"/>
  <c r="H27" i="36"/>
  <c r="D27" i="36"/>
  <c r="H25" i="36"/>
  <c r="H117" i="36" s="1"/>
  <c r="Z23" i="36"/>
  <c r="X23" i="36"/>
  <c r="V23" i="36"/>
  <c r="N23" i="36"/>
  <c r="L23" i="36"/>
  <c r="B23" i="36"/>
  <c r="Z22" i="36"/>
  <c r="X22" i="36"/>
  <c r="N22" i="36"/>
  <c r="L22" i="36"/>
  <c r="B22" i="36"/>
  <c r="Z21" i="36"/>
  <c r="X21" i="36"/>
  <c r="N21" i="36"/>
  <c r="L21" i="36"/>
  <c r="B21" i="36"/>
  <c r="V20" i="36"/>
  <c r="T20" i="36"/>
  <c r="P20" i="36"/>
  <c r="X20" i="36" s="1"/>
  <c r="L20" i="36"/>
  <c r="N20" i="36" s="1"/>
  <c r="H20" i="36"/>
  <c r="D20" i="36"/>
  <c r="Z18" i="36"/>
  <c r="P18" i="36"/>
  <c r="X18" i="36" s="1"/>
  <c r="N18" i="36"/>
  <c r="L18" i="36"/>
  <c r="D18" i="36"/>
  <c r="B18" i="36"/>
  <c r="Z17" i="36"/>
  <c r="P17" i="36"/>
  <c r="X17" i="36" s="1"/>
  <c r="N17" i="36"/>
  <c r="L17" i="36"/>
  <c r="D17" i="36"/>
  <c r="B17" i="36"/>
  <c r="Z16" i="36"/>
  <c r="X16" i="36"/>
  <c r="P16" i="36"/>
  <c r="D16" i="36"/>
  <c r="L16" i="36" s="1"/>
  <c r="N16" i="36" s="1"/>
  <c r="B16" i="36"/>
  <c r="Z15" i="36"/>
  <c r="X15" i="36"/>
  <c r="P15" i="36"/>
  <c r="N15" i="36"/>
  <c r="D15" i="36"/>
  <c r="L15" i="36" s="1"/>
  <c r="B15" i="36"/>
  <c r="Z14" i="36"/>
  <c r="P14" i="36"/>
  <c r="X14" i="36" s="1"/>
  <c r="N14" i="36"/>
  <c r="D14" i="36"/>
  <c r="L14" i="36" s="1"/>
  <c r="B14" i="36"/>
  <c r="Z13" i="36"/>
  <c r="X13" i="36"/>
  <c r="P13" i="36"/>
  <c r="N13" i="36"/>
  <c r="L13" i="36"/>
  <c r="D13" i="36"/>
  <c r="B13" i="36"/>
  <c r="T12" i="36"/>
  <c r="V110" i="36" s="1"/>
  <c r="H12" i="36"/>
  <c r="J115" i="36" s="1"/>
  <c r="D4" i="36"/>
  <c r="B39" i="35"/>
  <c r="B38" i="35"/>
  <c r="T34" i="35"/>
  <c r="Z34" i="35" s="1"/>
  <c r="P34" i="35"/>
  <c r="H34" i="35"/>
  <c r="N34" i="35" s="1"/>
  <c r="D34" i="35"/>
  <c r="T33" i="35"/>
  <c r="Z33" i="35" s="1"/>
  <c r="P33" i="35"/>
  <c r="H33" i="35"/>
  <c r="N33" i="35" s="1"/>
  <c r="D33" i="35"/>
  <c r="T29" i="35"/>
  <c r="Z29" i="35" s="1"/>
  <c r="P29" i="35"/>
  <c r="H29" i="35"/>
  <c r="N29" i="35" s="1"/>
  <c r="D29" i="35"/>
  <c r="T25" i="35"/>
  <c r="Z25" i="35" s="1"/>
  <c r="P25" i="35"/>
  <c r="H25" i="35"/>
  <c r="N25" i="35" s="1"/>
  <c r="D25" i="35"/>
  <c r="B25" i="35"/>
  <c r="T24" i="35"/>
  <c r="Z24" i="35" s="1"/>
  <c r="P24" i="35"/>
  <c r="H24" i="35"/>
  <c r="D24" i="35"/>
  <c r="T22" i="35"/>
  <c r="Z22" i="35" s="1"/>
  <c r="P22" i="35"/>
  <c r="H22" i="35"/>
  <c r="N22" i="35" s="1"/>
  <c r="D22" i="35"/>
  <c r="B22" i="35"/>
  <c r="T21" i="35"/>
  <c r="Z21" i="35" s="1"/>
  <c r="P21" i="35"/>
  <c r="H21" i="35"/>
  <c r="N21" i="35" s="1"/>
  <c r="D21" i="35"/>
  <c r="B21" i="35"/>
  <c r="T20" i="35"/>
  <c r="P20" i="35"/>
  <c r="H20" i="35"/>
  <c r="N20" i="35" s="1"/>
  <c r="D20" i="35"/>
  <c r="T16" i="35"/>
  <c r="P16" i="35"/>
  <c r="H16" i="35"/>
  <c r="N16" i="35" s="1"/>
  <c r="D16" i="35"/>
  <c r="B16" i="35"/>
  <c r="T15" i="35"/>
  <c r="Z15" i="35" s="1"/>
  <c r="P15" i="35"/>
  <c r="H15" i="35"/>
  <c r="N15" i="35" s="1"/>
  <c r="D15" i="35"/>
  <c r="T13" i="35"/>
  <c r="P13" i="35"/>
  <c r="H13" i="35"/>
  <c r="N13" i="35" s="1"/>
  <c r="D13" i="35"/>
  <c r="B13" i="35"/>
  <c r="T12" i="35"/>
  <c r="P12" i="35"/>
  <c r="R34" i="35" s="1"/>
  <c r="H12" i="35"/>
  <c r="J18" i="35" s="1"/>
  <c r="D12" i="35"/>
  <c r="F24" i="35" s="1"/>
  <c r="D5" i="35"/>
  <c r="D4" i="35"/>
  <c r="B39" i="34"/>
  <c r="B38" i="34"/>
  <c r="T34" i="34"/>
  <c r="Z34" i="34" s="1"/>
  <c r="P34" i="34"/>
  <c r="H34" i="34"/>
  <c r="D34" i="34"/>
  <c r="T33" i="34"/>
  <c r="Z33" i="34" s="1"/>
  <c r="P33" i="34"/>
  <c r="H33" i="34"/>
  <c r="N33" i="34" s="1"/>
  <c r="D33" i="34"/>
  <c r="T29" i="34"/>
  <c r="Z29" i="34" s="1"/>
  <c r="P29" i="34"/>
  <c r="H29" i="34"/>
  <c r="N29" i="34" s="1"/>
  <c r="D29" i="34"/>
  <c r="T25" i="34"/>
  <c r="Z25" i="34" s="1"/>
  <c r="P25" i="34"/>
  <c r="H25" i="34"/>
  <c r="N25" i="34" s="1"/>
  <c r="D25" i="34"/>
  <c r="B25" i="34"/>
  <c r="T24" i="34"/>
  <c r="Z24" i="34" s="1"/>
  <c r="P24" i="34"/>
  <c r="H24" i="34"/>
  <c r="N24" i="34" s="1"/>
  <c r="D24" i="34"/>
  <c r="T22" i="34"/>
  <c r="Z22" i="34" s="1"/>
  <c r="P22" i="34"/>
  <c r="H22" i="34"/>
  <c r="N22" i="34" s="1"/>
  <c r="D22" i="34"/>
  <c r="B22" i="34"/>
  <c r="T21" i="34"/>
  <c r="Z21" i="34" s="1"/>
  <c r="P21" i="34"/>
  <c r="H21" i="34"/>
  <c r="N21" i="34" s="1"/>
  <c r="D21" i="34"/>
  <c r="B21" i="34"/>
  <c r="T20" i="34"/>
  <c r="Z20" i="34" s="1"/>
  <c r="P20" i="34"/>
  <c r="H20" i="34"/>
  <c r="N20" i="34" s="1"/>
  <c r="D20" i="34"/>
  <c r="T16" i="34"/>
  <c r="Z16" i="34" s="1"/>
  <c r="P16" i="34"/>
  <c r="H16" i="34"/>
  <c r="N16" i="34" s="1"/>
  <c r="D16" i="34"/>
  <c r="B16" i="34"/>
  <c r="T15" i="34"/>
  <c r="Z15" i="34" s="1"/>
  <c r="P15" i="34"/>
  <c r="H15" i="34"/>
  <c r="N15" i="34" s="1"/>
  <c r="D15" i="34"/>
  <c r="T13" i="34"/>
  <c r="Z13" i="34" s="1"/>
  <c r="P13" i="34"/>
  <c r="H13" i="34"/>
  <c r="N13" i="34" s="1"/>
  <c r="D13" i="34"/>
  <c r="B13" i="34"/>
  <c r="T12" i="34"/>
  <c r="Z12" i="34" s="1"/>
  <c r="P12" i="34"/>
  <c r="R36" i="34" s="1"/>
  <c r="H12" i="34"/>
  <c r="J21" i="34" s="1"/>
  <c r="D12" i="34"/>
  <c r="F34" i="34" s="1"/>
  <c r="D5" i="34"/>
  <c r="D4" i="34"/>
  <c r="X77" i="33"/>
  <c r="Z77" i="33" s="1"/>
  <c r="L77" i="33"/>
  <c r="N77" i="33" s="1"/>
  <c r="J77" i="33"/>
  <c r="X73" i="33"/>
  <c r="Z73" i="33" s="1"/>
  <c r="V73" i="33"/>
  <c r="P73" i="33"/>
  <c r="D73" i="33"/>
  <c r="L73" i="33" s="1"/>
  <c r="N73" i="33" s="1"/>
  <c r="B73" i="33"/>
  <c r="T72" i="33"/>
  <c r="Z72" i="33" s="1"/>
  <c r="P72" i="33"/>
  <c r="X72" i="33" s="1"/>
  <c r="H72" i="33"/>
  <c r="X70" i="33"/>
  <c r="Z70" i="33" s="1"/>
  <c r="V70" i="33"/>
  <c r="N70" i="33"/>
  <c r="L70" i="33"/>
  <c r="B70" i="33"/>
  <c r="X69" i="33"/>
  <c r="Z69" i="33" s="1"/>
  <c r="V69" i="33"/>
  <c r="T69" i="33"/>
  <c r="P69" i="33"/>
  <c r="H69" i="33"/>
  <c r="D69" i="33"/>
  <c r="B69" i="33"/>
  <c r="Z68" i="33"/>
  <c r="X68" i="33"/>
  <c r="N68" i="33"/>
  <c r="L68" i="33"/>
  <c r="B68" i="33"/>
  <c r="X67" i="33"/>
  <c r="Z67" i="33" s="1"/>
  <c r="N67" i="33"/>
  <c r="L67" i="33"/>
  <c r="B67" i="33"/>
  <c r="X66" i="33"/>
  <c r="Z66" i="33" s="1"/>
  <c r="V66" i="33"/>
  <c r="L66" i="33"/>
  <c r="N66" i="33" s="1"/>
  <c r="B66" i="33"/>
  <c r="Z65" i="33"/>
  <c r="X65" i="33"/>
  <c r="V65" i="33"/>
  <c r="N65" i="33"/>
  <c r="L65" i="33"/>
  <c r="B65" i="33"/>
  <c r="X64" i="33"/>
  <c r="Z64" i="33" s="1"/>
  <c r="T64" i="33"/>
  <c r="P64" i="33"/>
  <c r="H64" i="33"/>
  <c r="D64" i="33"/>
  <c r="B64" i="33"/>
  <c r="X63" i="33"/>
  <c r="Z63" i="33" s="1"/>
  <c r="N63" i="33"/>
  <c r="L63" i="33"/>
  <c r="B63" i="33"/>
  <c r="T62" i="33"/>
  <c r="P62" i="33"/>
  <c r="H62" i="33"/>
  <c r="D62" i="33"/>
  <c r="L62" i="33" s="1"/>
  <c r="N62" i="33" s="1"/>
  <c r="B62" i="33"/>
  <c r="Z61" i="33"/>
  <c r="X61" i="33"/>
  <c r="N61" i="33"/>
  <c r="L61" i="33"/>
  <c r="J61" i="33"/>
  <c r="B61" i="33"/>
  <c r="Z60" i="33"/>
  <c r="X60" i="33"/>
  <c r="L60" i="33"/>
  <c r="N60" i="33" s="1"/>
  <c r="B60" i="33"/>
  <c r="Z59" i="33"/>
  <c r="X59" i="33"/>
  <c r="N59" i="33"/>
  <c r="L59" i="33"/>
  <c r="B59" i="33"/>
  <c r="T58" i="33"/>
  <c r="P58" i="33"/>
  <c r="H58" i="33"/>
  <c r="D58" i="33"/>
  <c r="L58" i="33" s="1"/>
  <c r="N58" i="33" s="1"/>
  <c r="B58" i="33"/>
  <c r="Z57" i="33"/>
  <c r="X57" i="33"/>
  <c r="N57" i="33"/>
  <c r="L57" i="33"/>
  <c r="J57" i="33"/>
  <c r="B57" i="33"/>
  <c r="Z56" i="33"/>
  <c r="T56" i="33"/>
  <c r="P56" i="33"/>
  <c r="X56" i="33" s="1"/>
  <c r="H56" i="33"/>
  <c r="N56" i="33" s="1"/>
  <c r="D56" i="33"/>
  <c r="L56" i="33" s="1"/>
  <c r="B56" i="33"/>
  <c r="Z55" i="33"/>
  <c r="X55" i="33"/>
  <c r="N55" i="33"/>
  <c r="L55" i="33"/>
  <c r="B55" i="33"/>
  <c r="X54" i="33"/>
  <c r="Z54" i="33" s="1"/>
  <c r="V54" i="33"/>
  <c r="L54" i="33"/>
  <c r="N54" i="33" s="1"/>
  <c r="J54" i="33"/>
  <c r="B54" i="33"/>
  <c r="T53" i="33"/>
  <c r="Z53" i="33" s="1"/>
  <c r="P53" i="33"/>
  <c r="X53" i="33" s="1"/>
  <c r="N53" i="33"/>
  <c r="H53" i="33"/>
  <c r="D53" i="33"/>
  <c r="L53" i="33" s="1"/>
  <c r="B53" i="33"/>
  <c r="X52" i="33"/>
  <c r="Z52" i="33" s="1"/>
  <c r="N52" i="33"/>
  <c r="L52" i="33"/>
  <c r="B52" i="33"/>
  <c r="Z51" i="33"/>
  <c r="T51" i="33"/>
  <c r="P51" i="33"/>
  <c r="X51" i="33" s="1"/>
  <c r="L51" i="33"/>
  <c r="N51" i="33" s="1"/>
  <c r="J51" i="33"/>
  <c r="H51" i="33"/>
  <c r="D51" i="33"/>
  <c r="B51" i="33"/>
  <c r="X50" i="33"/>
  <c r="Z50" i="33" s="1"/>
  <c r="V50" i="33"/>
  <c r="N50" i="33"/>
  <c r="L50" i="33"/>
  <c r="B50" i="33"/>
  <c r="X49" i="33"/>
  <c r="Z49" i="33" s="1"/>
  <c r="V49" i="33"/>
  <c r="T49" i="33"/>
  <c r="P49" i="33"/>
  <c r="H49" i="33"/>
  <c r="D49" i="33"/>
  <c r="B49" i="33"/>
  <c r="Z48" i="33"/>
  <c r="X48" i="33"/>
  <c r="L48" i="33"/>
  <c r="N48" i="33" s="1"/>
  <c r="B48" i="33"/>
  <c r="T47" i="33"/>
  <c r="P47" i="33"/>
  <c r="H47" i="33"/>
  <c r="N47" i="33" s="1"/>
  <c r="D47" i="33"/>
  <c r="L47" i="33" s="1"/>
  <c r="B47" i="33"/>
  <c r="Z46" i="33"/>
  <c r="X46" i="33"/>
  <c r="V46" i="33"/>
  <c r="N46" i="33"/>
  <c r="L46" i="33"/>
  <c r="J46" i="33"/>
  <c r="B46" i="33"/>
  <c r="Z45" i="33"/>
  <c r="X45" i="33"/>
  <c r="N45" i="33"/>
  <c r="L45" i="33"/>
  <c r="J45" i="33"/>
  <c r="B45" i="33"/>
  <c r="Z44" i="33"/>
  <c r="X44" i="33"/>
  <c r="N44" i="33"/>
  <c r="L44" i="33"/>
  <c r="B44" i="33"/>
  <c r="Z43" i="33"/>
  <c r="X43" i="33"/>
  <c r="N43" i="33"/>
  <c r="L43" i="33"/>
  <c r="B43" i="33"/>
  <c r="Z42" i="33"/>
  <c r="X42" i="33"/>
  <c r="V42" i="33"/>
  <c r="N42" i="33"/>
  <c r="L42" i="33"/>
  <c r="B42" i="33"/>
  <c r="Z41" i="33"/>
  <c r="X41" i="33"/>
  <c r="V41" i="33"/>
  <c r="N41" i="33"/>
  <c r="L41" i="33"/>
  <c r="B41" i="33"/>
  <c r="Z40" i="33"/>
  <c r="X40" i="33"/>
  <c r="N40" i="33"/>
  <c r="L40" i="33"/>
  <c r="B40" i="33"/>
  <c r="Z39" i="33"/>
  <c r="X39" i="33"/>
  <c r="N39" i="33"/>
  <c r="L39" i="33"/>
  <c r="B39" i="33"/>
  <c r="Z38" i="33"/>
  <c r="X38" i="33"/>
  <c r="V38" i="33"/>
  <c r="L38" i="33"/>
  <c r="N38" i="33" s="1"/>
  <c r="J38" i="33"/>
  <c r="B38" i="33"/>
  <c r="Z37" i="33"/>
  <c r="X37" i="33"/>
  <c r="V37" i="33"/>
  <c r="N37" i="33"/>
  <c r="L37" i="33"/>
  <c r="J37" i="33"/>
  <c r="B37" i="33"/>
  <c r="T36" i="33"/>
  <c r="P36" i="33"/>
  <c r="X36" i="33" s="1"/>
  <c r="Z36" i="33" s="1"/>
  <c r="J36" i="33"/>
  <c r="H36" i="33"/>
  <c r="D36" i="33"/>
  <c r="L36" i="33" s="1"/>
  <c r="B36" i="33"/>
  <c r="Z35" i="33"/>
  <c r="X35" i="33"/>
  <c r="N35" i="33"/>
  <c r="L35" i="33"/>
  <c r="B35" i="33"/>
  <c r="Z34" i="33"/>
  <c r="X34" i="33"/>
  <c r="V34" i="33"/>
  <c r="L34" i="33"/>
  <c r="N34" i="33" s="1"/>
  <c r="J34" i="33"/>
  <c r="B34" i="33"/>
  <c r="X33" i="33"/>
  <c r="Z33" i="33" s="1"/>
  <c r="V33" i="33"/>
  <c r="L33" i="33"/>
  <c r="N33" i="33" s="1"/>
  <c r="J33" i="33"/>
  <c r="B33" i="33"/>
  <c r="Z32" i="33"/>
  <c r="X32" i="33"/>
  <c r="V32" i="33"/>
  <c r="N32" i="33"/>
  <c r="L32" i="33"/>
  <c r="B32" i="33"/>
  <c r="Z31" i="33"/>
  <c r="X31" i="33"/>
  <c r="V31" i="33"/>
  <c r="N31" i="33"/>
  <c r="L31" i="33"/>
  <c r="B31" i="33"/>
  <c r="X30" i="33"/>
  <c r="Z30" i="33" s="1"/>
  <c r="V30" i="33"/>
  <c r="N30" i="33"/>
  <c r="L30" i="33"/>
  <c r="J30" i="33"/>
  <c r="B30" i="33"/>
  <c r="X29" i="33"/>
  <c r="Z29" i="33" s="1"/>
  <c r="V29" i="33"/>
  <c r="L29" i="33"/>
  <c r="N29" i="33" s="1"/>
  <c r="B29" i="33"/>
  <c r="X28" i="33"/>
  <c r="Z28" i="33" s="1"/>
  <c r="N28" i="33"/>
  <c r="L28" i="33"/>
  <c r="B28" i="33"/>
  <c r="Z27" i="33"/>
  <c r="X27" i="33"/>
  <c r="N27" i="33"/>
  <c r="L27" i="33"/>
  <c r="B27" i="33"/>
  <c r="V26" i="33"/>
  <c r="T26" i="33"/>
  <c r="Z26" i="33" s="1"/>
  <c r="P26" i="33"/>
  <c r="X26" i="33" s="1"/>
  <c r="L26" i="33"/>
  <c r="N26" i="33" s="1"/>
  <c r="H26" i="33"/>
  <c r="D26" i="33"/>
  <c r="B26" i="33"/>
  <c r="X25" i="33"/>
  <c r="Z25" i="33" s="1"/>
  <c r="V25" i="33"/>
  <c r="T25" i="33"/>
  <c r="P25" i="33"/>
  <c r="H25" i="33"/>
  <c r="D25" i="33"/>
  <c r="H23" i="33"/>
  <c r="Z21" i="33"/>
  <c r="X21" i="33"/>
  <c r="V21" i="33"/>
  <c r="N21" i="33"/>
  <c r="L21" i="33"/>
  <c r="B21" i="33"/>
  <c r="Z20" i="33"/>
  <c r="X20" i="33"/>
  <c r="N20" i="33"/>
  <c r="L20" i="33"/>
  <c r="B20" i="33"/>
  <c r="Z19" i="33"/>
  <c r="T19" i="33"/>
  <c r="T23" i="33" s="1"/>
  <c r="P19" i="33"/>
  <c r="X19" i="33" s="1"/>
  <c r="N19" i="33"/>
  <c r="L19" i="33"/>
  <c r="J19" i="33"/>
  <c r="H19" i="33"/>
  <c r="D19" i="33"/>
  <c r="Z17" i="33"/>
  <c r="P17" i="33"/>
  <c r="X17" i="33" s="1"/>
  <c r="N17" i="33"/>
  <c r="L17" i="33"/>
  <c r="D17" i="33"/>
  <c r="B17" i="33"/>
  <c r="Z16" i="33"/>
  <c r="X16" i="33"/>
  <c r="P16" i="33"/>
  <c r="N16" i="33"/>
  <c r="D16" i="33"/>
  <c r="L16" i="33" s="1"/>
  <c r="B16" i="33"/>
  <c r="Z15" i="33"/>
  <c r="X15" i="33"/>
  <c r="P15" i="33"/>
  <c r="N15" i="33"/>
  <c r="D15" i="33"/>
  <c r="L15" i="33" s="1"/>
  <c r="B15" i="33"/>
  <c r="P14" i="33"/>
  <c r="X14" i="33" s="1"/>
  <c r="Z14" i="33" s="1"/>
  <c r="D14" i="33"/>
  <c r="L14" i="33" s="1"/>
  <c r="N14" i="33" s="1"/>
  <c r="B14" i="33"/>
  <c r="Z13" i="33"/>
  <c r="X13" i="33"/>
  <c r="P13" i="33"/>
  <c r="N13" i="33"/>
  <c r="L13" i="33"/>
  <c r="D13" i="33"/>
  <c r="B13" i="33"/>
  <c r="T12" i="33"/>
  <c r="V64" i="33" s="1"/>
  <c r="H12" i="33"/>
  <c r="J72" i="33" s="1"/>
  <c r="D4" i="33"/>
  <c r="B39" i="32"/>
  <c r="B38" i="32"/>
  <c r="T34" i="32"/>
  <c r="Z34" i="32" s="1"/>
  <c r="P34" i="32"/>
  <c r="H34" i="32"/>
  <c r="N34" i="32" s="1"/>
  <c r="D34" i="32"/>
  <c r="T33" i="32"/>
  <c r="Z33" i="32" s="1"/>
  <c r="P33" i="32"/>
  <c r="H33" i="32"/>
  <c r="N33" i="32" s="1"/>
  <c r="D33" i="32"/>
  <c r="T29" i="32"/>
  <c r="Z29" i="32" s="1"/>
  <c r="P29" i="32"/>
  <c r="H29" i="32"/>
  <c r="N29" i="32" s="1"/>
  <c r="D29" i="32"/>
  <c r="T25" i="32"/>
  <c r="Z25" i="32" s="1"/>
  <c r="P25" i="32"/>
  <c r="H25" i="32"/>
  <c r="N25" i="32" s="1"/>
  <c r="D25" i="32"/>
  <c r="B25" i="32"/>
  <c r="T24" i="32"/>
  <c r="Z24" i="32" s="1"/>
  <c r="P24" i="32"/>
  <c r="H24" i="32"/>
  <c r="D24" i="32"/>
  <c r="T22" i="32"/>
  <c r="Z22" i="32" s="1"/>
  <c r="P22" i="32"/>
  <c r="H22" i="32"/>
  <c r="N22" i="32" s="1"/>
  <c r="D22" i="32"/>
  <c r="B22" i="32"/>
  <c r="T21" i="32"/>
  <c r="Z21" i="32" s="1"/>
  <c r="P21" i="32"/>
  <c r="H21" i="32"/>
  <c r="N21" i="32" s="1"/>
  <c r="D21" i="32"/>
  <c r="B21" i="32"/>
  <c r="T20" i="32"/>
  <c r="P20" i="32"/>
  <c r="H20" i="32"/>
  <c r="N20" i="32" s="1"/>
  <c r="D20" i="32"/>
  <c r="T16" i="32"/>
  <c r="P16" i="32"/>
  <c r="H16" i="32"/>
  <c r="N16" i="32" s="1"/>
  <c r="D16" i="32"/>
  <c r="B16" i="32"/>
  <c r="T15" i="32"/>
  <c r="Z15" i="32" s="1"/>
  <c r="P15" i="32"/>
  <c r="H15" i="32"/>
  <c r="N15" i="32" s="1"/>
  <c r="D15" i="32"/>
  <c r="T13" i="32"/>
  <c r="P13" i="32"/>
  <c r="H13" i="32"/>
  <c r="N13" i="32" s="1"/>
  <c r="D13" i="32"/>
  <c r="B13" i="32"/>
  <c r="T12" i="32"/>
  <c r="V24" i="32" s="1"/>
  <c r="P12" i="32"/>
  <c r="R34" i="32" s="1"/>
  <c r="H12" i="32"/>
  <c r="D12" i="32"/>
  <c r="F20" i="32" s="1"/>
  <c r="D5" i="32"/>
  <c r="D4" i="32"/>
  <c r="B39" i="31"/>
  <c r="B38" i="31"/>
  <c r="T34" i="31"/>
  <c r="Z34" i="31" s="1"/>
  <c r="P34" i="31"/>
  <c r="H34" i="31"/>
  <c r="D34" i="31"/>
  <c r="T33" i="31"/>
  <c r="Z33" i="31" s="1"/>
  <c r="P33" i="31"/>
  <c r="H33" i="31"/>
  <c r="N33" i="31" s="1"/>
  <c r="D33" i="31"/>
  <c r="T29" i="31"/>
  <c r="Z29" i="31" s="1"/>
  <c r="P29" i="31"/>
  <c r="H29" i="31"/>
  <c r="N29" i="31" s="1"/>
  <c r="D29" i="31"/>
  <c r="T25" i="31"/>
  <c r="Z25" i="31" s="1"/>
  <c r="P25" i="31"/>
  <c r="H25" i="31"/>
  <c r="N25" i="31" s="1"/>
  <c r="D25" i="31"/>
  <c r="B25" i="31"/>
  <c r="T24" i="31"/>
  <c r="Z24" i="31" s="1"/>
  <c r="P24" i="31"/>
  <c r="H24" i="31"/>
  <c r="N24" i="31" s="1"/>
  <c r="D24" i="31"/>
  <c r="T22" i="31"/>
  <c r="Z22" i="31" s="1"/>
  <c r="P22" i="31"/>
  <c r="H22" i="31"/>
  <c r="N22" i="31" s="1"/>
  <c r="D22" i="31"/>
  <c r="B22" i="31"/>
  <c r="T21" i="31"/>
  <c r="Z21" i="31" s="1"/>
  <c r="P21" i="31"/>
  <c r="H21" i="31"/>
  <c r="D21" i="31"/>
  <c r="B21" i="31"/>
  <c r="T20" i="31"/>
  <c r="Z20" i="31" s="1"/>
  <c r="P20" i="31"/>
  <c r="H20" i="31"/>
  <c r="N20" i="31" s="1"/>
  <c r="D20" i="31"/>
  <c r="T16" i="31"/>
  <c r="Z16" i="31" s="1"/>
  <c r="P16" i="31"/>
  <c r="H16" i="31"/>
  <c r="N16" i="31" s="1"/>
  <c r="D16" i="31"/>
  <c r="B16" i="31"/>
  <c r="T15" i="31"/>
  <c r="Z15" i="31" s="1"/>
  <c r="P15" i="31"/>
  <c r="H15" i="31"/>
  <c r="N15" i="31" s="1"/>
  <c r="D15" i="31"/>
  <c r="T13" i="31"/>
  <c r="Z13" i="31" s="1"/>
  <c r="P13" i="31"/>
  <c r="H13" i="31"/>
  <c r="N13" i="31" s="1"/>
  <c r="D13" i="31"/>
  <c r="B13" i="31"/>
  <c r="T12" i="31"/>
  <c r="V34" i="31" s="1"/>
  <c r="P12" i="31"/>
  <c r="R33" i="31" s="1"/>
  <c r="H12" i="31"/>
  <c r="J15" i="31" s="1"/>
  <c r="D12" i="31"/>
  <c r="D5" i="31"/>
  <c r="D4" i="31"/>
  <c r="X121" i="30"/>
  <c r="Z121" i="30" s="1"/>
  <c r="L121" i="30"/>
  <c r="N121" i="30" s="1"/>
  <c r="J121" i="30"/>
  <c r="Z117" i="30"/>
  <c r="X117" i="30"/>
  <c r="V117" i="30"/>
  <c r="P117" i="30"/>
  <c r="N117" i="30"/>
  <c r="D117" i="30"/>
  <c r="L117" i="30" s="1"/>
  <c r="B117" i="30"/>
  <c r="Z116" i="30"/>
  <c r="P116" i="30"/>
  <c r="X116" i="30" s="1"/>
  <c r="N116" i="30"/>
  <c r="L116" i="30"/>
  <c r="D116" i="30"/>
  <c r="B116" i="30"/>
  <c r="P115" i="30"/>
  <c r="N115" i="30"/>
  <c r="D115" i="30"/>
  <c r="L115" i="30" s="1"/>
  <c r="B115" i="30"/>
  <c r="T114" i="30"/>
  <c r="H114" i="30"/>
  <c r="N114" i="30" s="1"/>
  <c r="Z112" i="30"/>
  <c r="X112" i="30"/>
  <c r="L112" i="30"/>
  <c r="N112" i="30" s="1"/>
  <c r="B112" i="30"/>
  <c r="T111" i="30"/>
  <c r="P111" i="30"/>
  <c r="H111" i="30"/>
  <c r="D111" i="30"/>
  <c r="L111" i="30" s="1"/>
  <c r="B111" i="30"/>
  <c r="X110" i="30"/>
  <c r="Z110" i="30" s="1"/>
  <c r="L110" i="30"/>
  <c r="N110" i="30" s="1"/>
  <c r="B110" i="30"/>
  <c r="X109" i="30"/>
  <c r="Z109" i="30" s="1"/>
  <c r="L109" i="30"/>
  <c r="N109" i="30" s="1"/>
  <c r="B109" i="30"/>
  <c r="T108" i="30"/>
  <c r="P108" i="30"/>
  <c r="X108" i="30" s="1"/>
  <c r="Z108" i="30" s="1"/>
  <c r="H108" i="30"/>
  <c r="D108" i="30"/>
  <c r="L108" i="30" s="1"/>
  <c r="B108" i="30"/>
  <c r="Z107" i="30"/>
  <c r="X107" i="30"/>
  <c r="L107" i="30"/>
  <c r="N107" i="30" s="1"/>
  <c r="B107" i="30"/>
  <c r="T106" i="30"/>
  <c r="P106" i="30"/>
  <c r="X106" i="30" s="1"/>
  <c r="L106" i="30"/>
  <c r="N106" i="30" s="1"/>
  <c r="H106" i="30"/>
  <c r="D106" i="30"/>
  <c r="B106" i="30"/>
  <c r="X105" i="30"/>
  <c r="Z105" i="30" s="1"/>
  <c r="V105" i="30"/>
  <c r="L105" i="30"/>
  <c r="N105" i="30" s="1"/>
  <c r="B105" i="30"/>
  <c r="X104" i="30"/>
  <c r="Z104" i="30" s="1"/>
  <c r="N104" i="30"/>
  <c r="L104" i="30"/>
  <c r="B104" i="30"/>
  <c r="Z103" i="30"/>
  <c r="X103" i="30"/>
  <c r="L103" i="30"/>
  <c r="N103" i="30" s="1"/>
  <c r="B103" i="30"/>
  <c r="Z102" i="30"/>
  <c r="X102" i="30"/>
  <c r="N102" i="30"/>
  <c r="L102" i="30"/>
  <c r="B102" i="30"/>
  <c r="T101" i="30"/>
  <c r="P101" i="30"/>
  <c r="X101" i="30" s="1"/>
  <c r="N101" i="30"/>
  <c r="H101" i="30"/>
  <c r="D101" i="30"/>
  <c r="L101" i="30" s="1"/>
  <c r="B101" i="30"/>
  <c r="X100" i="30"/>
  <c r="Z100" i="30" s="1"/>
  <c r="N100" i="30"/>
  <c r="L100" i="30"/>
  <c r="B100" i="30"/>
  <c r="Z99" i="30"/>
  <c r="X99" i="30"/>
  <c r="N99" i="30"/>
  <c r="L99" i="30"/>
  <c r="B99" i="30"/>
  <c r="T98" i="30"/>
  <c r="Z98" i="30" s="1"/>
  <c r="P98" i="30"/>
  <c r="X98" i="30" s="1"/>
  <c r="L98" i="30"/>
  <c r="N98" i="30" s="1"/>
  <c r="H98" i="30"/>
  <c r="D98" i="30"/>
  <c r="B98" i="30"/>
  <c r="Z97" i="30"/>
  <c r="X97" i="30"/>
  <c r="V97" i="30"/>
  <c r="N97" i="30"/>
  <c r="L97" i="30"/>
  <c r="B97" i="30"/>
  <c r="X96" i="30"/>
  <c r="Z96" i="30" s="1"/>
  <c r="N96" i="30"/>
  <c r="L96" i="30"/>
  <c r="B96" i="30"/>
  <c r="T95" i="30"/>
  <c r="P95" i="30"/>
  <c r="X95" i="30" s="1"/>
  <c r="Z95" i="30" s="1"/>
  <c r="L95" i="30"/>
  <c r="N95" i="30" s="1"/>
  <c r="H95" i="30"/>
  <c r="D95" i="30"/>
  <c r="B95" i="30"/>
  <c r="Z94" i="30"/>
  <c r="X94" i="30"/>
  <c r="V94" i="30"/>
  <c r="N94" i="30"/>
  <c r="L94" i="30"/>
  <c r="B94" i="30"/>
  <c r="X93" i="30"/>
  <c r="Z93" i="30" s="1"/>
  <c r="V93" i="30"/>
  <c r="N93" i="30"/>
  <c r="L93" i="30"/>
  <c r="B93" i="30"/>
  <c r="X92" i="30"/>
  <c r="Z92" i="30" s="1"/>
  <c r="N92" i="30"/>
  <c r="L92" i="30"/>
  <c r="B92" i="30"/>
  <c r="T91" i="30"/>
  <c r="P91" i="30"/>
  <c r="X91" i="30" s="1"/>
  <c r="Z91" i="30" s="1"/>
  <c r="L91" i="30"/>
  <c r="N91" i="30" s="1"/>
  <c r="H91" i="30"/>
  <c r="D91" i="30"/>
  <c r="B91" i="30"/>
  <c r="Z90" i="30"/>
  <c r="X90" i="30"/>
  <c r="V90" i="30"/>
  <c r="N90" i="30"/>
  <c r="L90" i="30"/>
  <c r="B90" i="30"/>
  <c r="X89" i="30"/>
  <c r="Z89" i="30" s="1"/>
  <c r="V89" i="30"/>
  <c r="L89" i="30"/>
  <c r="N89" i="30" s="1"/>
  <c r="B89" i="30"/>
  <c r="X88" i="30"/>
  <c r="Z88" i="30" s="1"/>
  <c r="T88" i="30"/>
  <c r="P88" i="30"/>
  <c r="H88" i="30"/>
  <c r="D88" i="30"/>
  <c r="B88" i="30"/>
  <c r="Z87" i="30"/>
  <c r="X87" i="30"/>
  <c r="N87" i="30"/>
  <c r="L87" i="30"/>
  <c r="B87" i="30"/>
  <c r="T86" i="30"/>
  <c r="P86" i="30"/>
  <c r="H86" i="30"/>
  <c r="D86" i="30"/>
  <c r="L86" i="30" s="1"/>
  <c r="N86" i="30" s="1"/>
  <c r="B86" i="30"/>
  <c r="X85" i="30"/>
  <c r="Z85" i="30" s="1"/>
  <c r="N85" i="30"/>
  <c r="L85" i="30"/>
  <c r="J85" i="30"/>
  <c r="B85" i="30"/>
  <c r="T84" i="30"/>
  <c r="P84" i="30"/>
  <c r="X84" i="30" s="1"/>
  <c r="Z84" i="30" s="1"/>
  <c r="H84" i="30"/>
  <c r="N84" i="30" s="1"/>
  <c r="D84" i="30"/>
  <c r="L84" i="30" s="1"/>
  <c r="B84" i="30"/>
  <c r="Z83" i="30"/>
  <c r="X83" i="30"/>
  <c r="N83" i="30"/>
  <c r="L83" i="30"/>
  <c r="B83" i="30"/>
  <c r="T82" i="30"/>
  <c r="P82" i="30"/>
  <c r="X82" i="30" s="1"/>
  <c r="L82" i="30"/>
  <c r="N82" i="30" s="1"/>
  <c r="H82" i="30"/>
  <c r="D82" i="30"/>
  <c r="B82" i="30"/>
  <c r="X81" i="30"/>
  <c r="Z81" i="30" s="1"/>
  <c r="V81" i="30"/>
  <c r="L81" i="30"/>
  <c r="N81" i="30" s="1"/>
  <c r="B81" i="30"/>
  <c r="X80" i="30"/>
  <c r="Z80" i="30" s="1"/>
  <c r="T80" i="30"/>
  <c r="P80" i="30"/>
  <c r="H80" i="30"/>
  <c r="D80" i="30"/>
  <c r="B80" i="30"/>
  <c r="Z79" i="30"/>
  <c r="X79" i="30"/>
  <c r="N79" i="30"/>
  <c r="L79" i="30"/>
  <c r="B79" i="30"/>
  <c r="X78" i="30"/>
  <c r="Z78" i="30" s="1"/>
  <c r="V78" i="30"/>
  <c r="N78" i="30"/>
  <c r="L78" i="30"/>
  <c r="B78" i="30"/>
  <c r="X77" i="30"/>
  <c r="Z77" i="30" s="1"/>
  <c r="V77" i="30"/>
  <c r="T77" i="30"/>
  <c r="P77" i="30"/>
  <c r="H77" i="30"/>
  <c r="D77" i="30"/>
  <c r="B77" i="30"/>
  <c r="Z76" i="30"/>
  <c r="X76" i="30"/>
  <c r="N76" i="30"/>
  <c r="L76" i="30"/>
  <c r="B76" i="30"/>
  <c r="Z75" i="30"/>
  <c r="X75" i="30"/>
  <c r="N75" i="30"/>
  <c r="L75" i="30"/>
  <c r="B75" i="30"/>
  <c r="V74" i="30"/>
  <c r="T74" i="30"/>
  <c r="P74" i="30"/>
  <c r="H74" i="30"/>
  <c r="D74" i="30"/>
  <c r="L74" i="30" s="1"/>
  <c r="N74" i="30" s="1"/>
  <c r="B74" i="30"/>
  <c r="X73" i="30"/>
  <c r="Z73" i="30" s="1"/>
  <c r="L73" i="30"/>
  <c r="N73" i="30" s="1"/>
  <c r="B73" i="30"/>
  <c r="T72" i="30"/>
  <c r="P72" i="30"/>
  <c r="X72" i="30" s="1"/>
  <c r="Z72" i="30" s="1"/>
  <c r="H72" i="30"/>
  <c r="D72" i="30"/>
  <c r="L72" i="30" s="1"/>
  <c r="B72" i="30"/>
  <c r="Z71" i="30"/>
  <c r="X71" i="30"/>
  <c r="N71" i="30"/>
  <c r="L71" i="30"/>
  <c r="B71" i="30"/>
  <c r="T70" i="30"/>
  <c r="Z70" i="30" s="1"/>
  <c r="P70" i="30"/>
  <c r="X70" i="30" s="1"/>
  <c r="N70" i="30"/>
  <c r="L70" i="30"/>
  <c r="H70" i="30"/>
  <c r="D70" i="30"/>
  <c r="B70" i="30"/>
  <c r="X69" i="30"/>
  <c r="Z69" i="30" s="1"/>
  <c r="V69" i="30"/>
  <c r="L69" i="30"/>
  <c r="N69" i="30" s="1"/>
  <c r="B69" i="30"/>
  <c r="X68" i="30"/>
  <c r="Z68" i="30" s="1"/>
  <c r="T68" i="30"/>
  <c r="P68" i="30"/>
  <c r="H68" i="30"/>
  <c r="D68" i="30"/>
  <c r="B68" i="30"/>
  <c r="Z67" i="30"/>
  <c r="X67" i="30"/>
  <c r="N67" i="30"/>
  <c r="L67" i="30"/>
  <c r="B67" i="30"/>
  <c r="V66" i="30"/>
  <c r="T66" i="30"/>
  <c r="P66" i="30"/>
  <c r="H66" i="30"/>
  <c r="D66" i="30"/>
  <c r="L66" i="30" s="1"/>
  <c r="N66" i="30" s="1"/>
  <c r="B66" i="30"/>
  <c r="X65" i="30"/>
  <c r="Z65" i="30" s="1"/>
  <c r="L65" i="30"/>
  <c r="N65" i="30" s="1"/>
  <c r="B65" i="30"/>
  <c r="T64" i="30"/>
  <c r="P64" i="30"/>
  <c r="X64" i="30" s="1"/>
  <c r="Z64" i="30" s="1"/>
  <c r="H64" i="30"/>
  <c r="D64" i="30"/>
  <c r="L64" i="30" s="1"/>
  <c r="B64" i="30"/>
  <c r="Z63" i="30"/>
  <c r="X63" i="30"/>
  <c r="N63" i="30"/>
  <c r="L63" i="30"/>
  <c r="B63" i="30"/>
  <c r="Z62" i="30"/>
  <c r="X62" i="30"/>
  <c r="V62" i="30"/>
  <c r="N62" i="30"/>
  <c r="L62" i="30"/>
  <c r="B62" i="30"/>
  <c r="X61" i="30"/>
  <c r="Z61" i="30" s="1"/>
  <c r="V61" i="30"/>
  <c r="L61" i="30"/>
  <c r="N61" i="30" s="1"/>
  <c r="J61" i="30"/>
  <c r="B61" i="30"/>
  <c r="Z60" i="30"/>
  <c r="X60" i="30"/>
  <c r="L60" i="30"/>
  <c r="N60" i="30" s="1"/>
  <c r="B60" i="30"/>
  <c r="Z59" i="30"/>
  <c r="X59" i="30"/>
  <c r="N59" i="30"/>
  <c r="L59" i="30"/>
  <c r="B59" i="30"/>
  <c r="Z58" i="30"/>
  <c r="X58" i="30"/>
  <c r="V58" i="30"/>
  <c r="N58" i="30"/>
  <c r="L58" i="30"/>
  <c r="B58" i="30"/>
  <c r="X57" i="30"/>
  <c r="Z57" i="30" s="1"/>
  <c r="V57" i="30"/>
  <c r="L57" i="30"/>
  <c r="N57" i="30" s="1"/>
  <c r="B57" i="30"/>
  <c r="Z56" i="30"/>
  <c r="X56" i="30"/>
  <c r="N56" i="30"/>
  <c r="L56" i="30"/>
  <c r="B56" i="30"/>
  <c r="Z55" i="30"/>
  <c r="X55" i="30"/>
  <c r="N55" i="30"/>
  <c r="L55" i="30"/>
  <c r="B55" i="30"/>
  <c r="Z54" i="30"/>
  <c r="X54" i="30"/>
  <c r="V54" i="30"/>
  <c r="N54" i="30"/>
  <c r="L54" i="30"/>
  <c r="J54" i="30"/>
  <c r="B54" i="30"/>
  <c r="V53" i="30"/>
  <c r="T53" i="30"/>
  <c r="P53" i="30"/>
  <c r="X53" i="30" s="1"/>
  <c r="N53" i="30"/>
  <c r="H53" i="30"/>
  <c r="D53" i="30"/>
  <c r="L53" i="30" s="1"/>
  <c r="B53" i="30"/>
  <c r="X52" i="30"/>
  <c r="Z52" i="30" s="1"/>
  <c r="N52" i="30"/>
  <c r="L52" i="30"/>
  <c r="B52" i="30"/>
  <c r="Z51" i="30"/>
  <c r="X51" i="30"/>
  <c r="N51" i="30"/>
  <c r="L51" i="30"/>
  <c r="B51" i="30"/>
  <c r="Z50" i="30"/>
  <c r="X50" i="30"/>
  <c r="V50" i="30"/>
  <c r="L50" i="30"/>
  <c r="N50" i="30" s="1"/>
  <c r="J50" i="30"/>
  <c r="B50" i="30"/>
  <c r="Z49" i="30"/>
  <c r="X49" i="30"/>
  <c r="V49" i="30"/>
  <c r="N49" i="30"/>
  <c r="L49" i="30"/>
  <c r="J49" i="30"/>
  <c r="B49" i="30"/>
  <c r="Z48" i="30"/>
  <c r="X48" i="30"/>
  <c r="N48" i="30"/>
  <c r="L48" i="30"/>
  <c r="B48" i="30"/>
  <c r="Z47" i="30"/>
  <c r="X47" i="30"/>
  <c r="V47" i="30"/>
  <c r="N47" i="30"/>
  <c r="L47" i="30"/>
  <c r="B47" i="30"/>
  <c r="X46" i="30"/>
  <c r="Z46" i="30" s="1"/>
  <c r="V46" i="30"/>
  <c r="N46" i="30"/>
  <c r="L46" i="30"/>
  <c r="B46" i="30"/>
  <c r="X45" i="30"/>
  <c r="Z45" i="30" s="1"/>
  <c r="V45" i="30"/>
  <c r="L45" i="30"/>
  <c r="N45" i="30" s="1"/>
  <c r="B45" i="30"/>
  <c r="Z44" i="30"/>
  <c r="X44" i="30"/>
  <c r="N44" i="30"/>
  <c r="L44" i="30"/>
  <c r="B44" i="30"/>
  <c r="Z43" i="30"/>
  <c r="T43" i="30"/>
  <c r="P43" i="30"/>
  <c r="X43" i="30" s="1"/>
  <c r="H43" i="30"/>
  <c r="D43" i="30"/>
  <c r="L43" i="30" s="1"/>
  <c r="N43" i="30" s="1"/>
  <c r="B43" i="30"/>
  <c r="V42" i="30"/>
  <c r="T42" i="30"/>
  <c r="P42" i="30"/>
  <c r="H42" i="30"/>
  <c r="D42" i="30"/>
  <c r="Z38" i="30"/>
  <c r="X38" i="30"/>
  <c r="V38" i="30"/>
  <c r="N38" i="30"/>
  <c r="L38" i="30"/>
  <c r="J38" i="30"/>
  <c r="B38" i="30"/>
  <c r="Z37" i="30"/>
  <c r="X37" i="30"/>
  <c r="V37" i="30"/>
  <c r="N37" i="30"/>
  <c r="L37" i="30"/>
  <c r="B37" i="30"/>
  <c r="Z36" i="30"/>
  <c r="X36" i="30"/>
  <c r="N36" i="30"/>
  <c r="L36" i="30"/>
  <c r="B36" i="30"/>
  <c r="Z35" i="30"/>
  <c r="X35" i="30"/>
  <c r="N35" i="30"/>
  <c r="L35" i="30"/>
  <c r="J35" i="30"/>
  <c r="B35" i="30"/>
  <c r="Z34" i="30"/>
  <c r="X34" i="30"/>
  <c r="V34" i="30"/>
  <c r="N34" i="30"/>
  <c r="L34" i="30"/>
  <c r="J34" i="30"/>
  <c r="B34" i="30"/>
  <c r="Z33" i="30"/>
  <c r="X33" i="30"/>
  <c r="V33" i="30"/>
  <c r="N33" i="30"/>
  <c r="L33" i="30"/>
  <c r="J33" i="30"/>
  <c r="B33" i="30"/>
  <c r="Z32" i="30"/>
  <c r="X32" i="30"/>
  <c r="V32" i="30"/>
  <c r="N32" i="30"/>
  <c r="L32" i="30"/>
  <c r="B32" i="30"/>
  <c r="Z31" i="30"/>
  <c r="X31" i="30"/>
  <c r="V31" i="30"/>
  <c r="N31" i="30"/>
  <c r="L31" i="30"/>
  <c r="B31" i="30"/>
  <c r="Z30" i="30"/>
  <c r="X30" i="30"/>
  <c r="V30" i="30"/>
  <c r="N30" i="30"/>
  <c r="L30" i="30"/>
  <c r="J30" i="30"/>
  <c r="B30" i="30"/>
  <c r="Z29" i="30"/>
  <c r="X29" i="30"/>
  <c r="V29" i="30"/>
  <c r="N29" i="30"/>
  <c r="L29" i="30"/>
  <c r="J29" i="30"/>
  <c r="B29" i="30"/>
  <c r="Z28" i="30"/>
  <c r="X28" i="30"/>
  <c r="N28" i="30"/>
  <c r="L28" i="30"/>
  <c r="B28" i="30"/>
  <c r="Z27" i="30"/>
  <c r="X27" i="30"/>
  <c r="N27" i="30"/>
  <c r="L27" i="30"/>
  <c r="J27" i="30"/>
  <c r="B27" i="30"/>
  <c r="Z26" i="30"/>
  <c r="X26" i="30"/>
  <c r="V26" i="30"/>
  <c r="N26" i="30"/>
  <c r="L26" i="30"/>
  <c r="J26" i="30"/>
  <c r="B26" i="30"/>
  <c r="Z25" i="30"/>
  <c r="X25" i="30"/>
  <c r="V25" i="30"/>
  <c r="N25" i="30"/>
  <c r="L25" i="30"/>
  <c r="J25" i="30"/>
  <c r="B25" i="30"/>
  <c r="Z24" i="30"/>
  <c r="X24" i="30"/>
  <c r="V24" i="30"/>
  <c r="N24" i="30"/>
  <c r="L24" i="30"/>
  <c r="B24" i="30"/>
  <c r="Z23" i="30"/>
  <c r="X23" i="30"/>
  <c r="V23" i="30"/>
  <c r="N23" i="30"/>
  <c r="L23" i="30"/>
  <c r="B23" i="30"/>
  <c r="Z22" i="30"/>
  <c r="X22" i="30"/>
  <c r="V22" i="30"/>
  <c r="N22" i="30"/>
  <c r="L22" i="30"/>
  <c r="J22" i="30"/>
  <c r="B22" i="30"/>
  <c r="Z21" i="30"/>
  <c r="X21" i="30"/>
  <c r="V21" i="30"/>
  <c r="N21" i="30"/>
  <c r="L21" i="30"/>
  <c r="J21" i="30"/>
  <c r="B21" i="30"/>
  <c r="X20" i="30"/>
  <c r="Z20" i="30" s="1"/>
  <c r="L20" i="30"/>
  <c r="N20" i="30" s="1"/>
  <c r="B20" i="30"/>
  <c r="T19" i="30"/>
  <c r="P19" i="30"/>
  <c r="L19" i="30"/>
  <c r="N19" i="30" s="1"/>
  <c r="J19" i="30"/>
  <c r="H19" i="30"/>
  <c r="D19" i="30"/>
  <c r="Z17" i="30"/>
  <c r="P17" i="30"/>
  <c r="X17" i="30" s="1"/>
  <c r="N17" i="30"/>
  <c r="L17" i="30"/>
  <c r="D17" i="30"/>
  <c r="B17" i="30"/>
  <c r="Z16" i="30"/>
  <c r="X16" i="30"/>
  <c r="P16" i="30"/>
  <c r="N16" i="30"/>
  <c r="D16" i="30"/>
  <c r="L16" i="30" s="1"/>
  <c r="B16" i="30"/>
  <c r="Z15" i="30"/>
  <c r="P15" i="30"/>
  <c r="X15" i="30" s="1"/>
  <c r="N15" i="30"/>
  <c r="D15" i="30"/>
  <c r="D12" i="30" s="1"/>
  <c r="B15" i="30"/>
  <c r="Z14" i="30"/>
  <c r="P14" i="30"/>
  <c r="N14" i="30"/>
  <c r="L14" i="30"/>
  <c r="D14" i="30"/>
  <c r="B14" i="30"/>
  <c r="P13" i="30"/>
  <c r="X13" i="30" s="1"/>
  <c r="Z13" i="30" s="1"/>
  <c r="D13" i="30"/>
  <c r="L13" i="30" s="1"/>
  <c r="N13" i="30" s="1"/>
  <c r="B13" i="30"/>
  <c r="T12" i="30"/>
  <c r="V114" i="30" s="1"/>
  <c r="H12" i="30"/>
  <c r="D4" i="30"/>
  <c r="B39" i="29"/>
  <c r="B38" i="29"/>
  <c r="T34" i="29"/>
  <c r="Z34" i="29" s="1"/>
  <c r="P34" i="29"/>
  <c r="H34" i="29"/>
  <c r="D34" i="29"/>
  <c r="T33" i="29"/>
  <c r="Z33" i="29" s="1"/>
  <c r="P33" i="29"/>
  <c r="H33" i="29"/>
  <c r="N33" i="29" s="1"/>
  <c r="D33" i="29"/>
  <c r="T29" i="29"/>
  <c r="Z29" i="29" s="1"/>
  <c r="P29" i="29"/>
  <c r="H29" i="29"/>
  <c r="N29" i="29" s="1"/>
  <c r="D29" i="29"/>
  <c r="T25" i="29"/>
  <c r="Z25" i="29" s="1"/>
  <c r="P25" i="29"/>
  <c r="H25" i="29"/>
  <c r="N25" i="29" s="1"/>
  <c r="D25" i="29"/>
  <c r="B25" i="29"/>
  <c r="T24" i="29"/>
  <c r="P24" i="29"/>
  <c r="H24" i="29"/>
  <c r="N24" i="29" s="1"/>
  <c r="D24" i="29"/>
  <c r="T22" i="29"/>
  <c r="Z22" i="29" s="1"/>
  <c r="P22" i="29"/>
  <c r="X22" i="29" s="1"/>
  <c r="H22" i="29"/>
  <c r="N22" i="29" s="1"/>
  <c r="D22" i="29"/>
  <c r="B22" i="29"/>
  <c r="T21" i="29"/>
  <c r="Z21" i="29" s="1"/>
  <c r="P21" i="29"/>
  <c r="H21" i="29"/>
  <c r="N21" i="29" s="1"/>
  <c r="D21" i="29"/>
  <c r="B21" i="29"/>
  <c r="T20" i="29"/>
  <c r="Z20" i="29" s="1"/>
  <c r="P20" i="29"/>
  <c r="H20" i="29"/>
  <c r="D20" i="29"/>
  <c r="T16" i="29"/>
  <c r="Z16" i="29" s="1"/>
  <c r="P16" i="29"/>
  <c r="H16" i="29"/>
  <c r="D16" i="29"/>
  <c r="B16" i="29"/>
  <c r="T15" i="29"/>
  <c r="Z15" i="29" s="1"/>
  <c r="P15" i="29"/>
  <c r="H15" i="29"/>
  <c r="N15" i="29" s="1"/>
  <c r="D15" i="29"/>
  <c r="T13" i="29"/>
  <c r="Z13" i="29" s="1"/>
  <c r="P13" i="29"/>
  <c r="H13" i="29"/>
  <c r="N13" i="29" s="1"/>
  <c r="D13" i="29"/>
  <c r="B13" i="29"/>
  <c r="T12" i="29"/>
  <c r="P12" i="29"/>
  <c r="H12" i="29"/>
  <c r="J22" i="29" s="1"/>
  <c r="D12" i="29"/>
  <c r="D5" i="29"/>
  <c r="D4" i="29"/>
  <c r="B39" i="28"/>
  <c r="B38" i="28"/>
  <c r="T34" i="28"/>
  <c r="Z34" i="28" s="1"/>
  <c r="P34" i="28"/>
  <c r="H34" i="28"/>
  <c r="N34" i="28" s="1"/>
  <c r="D34" i="28"/>
  <c r="T33" i="28"/>
  <c r="P33" i="28"/>
  <c r="H33" i="28"/>
  <c r="N33" i="28" s="1"/>
  <c r="D33" i="28"/>
  <c r="T29" i="28"/>
  <c r="P29" i="28"/>
  <c r="H29" i="28"/>
  <c r="N29" i="28" s="1"/>
  <c r="D29" i="28"/>
  <c r="T25" i="28"/>
  <c r="P25" i="28"/>
  <c r="H25" i="28"/>
  <c r="N25" i="28" s="1"/>
  <c r="D25" i="28"/>
  <c r="B25" i="28"/>
  <c r="T24" i="28"/>
  <c r="Z24" i="28" s="1"/>
  <c r="P24" i="28"/>
  <c r="H24" i="28"/>
  <c r="N24" i="28" s="1"/>
  <c r="D24" i="28"/>
  <c r="T22" i="28"/>
  <c r="Z22" i="28" s="1"/>
  <c r="P22" i="28"/>
  <c r="H22" i="28"/>
  <c r="N22" i="28" s="1"/>
  <c r="D22" i="28"/>
  <c r="B22" i="28"/>
  <c r="T21" i="28"/>
  <c r="Z21" i="28" s="1"/>
  <c r="P21" i="28"/>
  <c r="H21" i="28"/>
  <c r="N21" i="28" s="1"/>
  <c r="D21" i="28"/>
  <c r="B21" i="28"/>
  <c r="T20" i="28"/>
  <c r="Z20" i="28" s="1"/>
  <c r="P20" i="28"/>
  <c r="H20" i="28"/>
  <c r="N20" i="28" s="1"/>
  <c r="D20" i="28"/>
  <c r="T16" i="28"/>
  <c r="P16" i="28"/>
  <c r="H16" i="28"/>
  <c r="N16" i="28" s="1"/>
  <c r="D16" i="28"/>
  <c r="B16" i="28"/>
  <c r="T15" i="28"/>
  <c r="P15" i="28"/>
  <c r="H15" i="28"/>
  <c r="N15" i="28" s="1"/>
  <c r="D15" i="28"/>
  <c r="T13" i="28"/>
  <c r="Z13" i="28" s="1"/>
  <c r="P13" i="28"/>
  <c r="H13" i="28"/>
  <c r="N13" i="28" s="1"/>
  <c r="D13" i="28"/>
  <c r="B13" i="28"/>
  <c r="T12" i="28"/>
  <c r="V34" i="28" s="1"/>
  <c r="P12" i="28"/>
  <c r="R20" i="28" s="1"/>
  <c r="H12" i="28"/>
  <c r="D12" i="28"/>
  <c r="F33" i="28" s="1"/>
  <c r="D5" i="28"/>
  <c r="D4" i="28"/>
  <c r="Z91" i="27"/>
  <c r="X91" i="27"/>
  <c r="N91" i="27"/>
  <c r="L91" i="27"/>
  <c r="Z87" i="27"/>
  <c r="P87" i="27"/>
  <c r="X87" i="27" s="1"/>
  <c r="N87" i="27"/>
  <c r="D87" i="27"/>
  <c r="L87" i="27" s="1"/>
  <c r="B87" i="27"/>
  <c r="Z86" i="27"/>
  <c r="P86" i="27"/>
  <c r="X86" i="27" s="1"/>
  <c r="N86" i="27"/>
  <c r="D86" i="27"/>
  <c r="L86" i="27" s="1"/>
  <c r="B86" i="27"/>
  <c r="X85" i="27"/>
  <c r="Z85" i="27" s="1"/>
  <c r="V85" i="27"/>
  <c r="P85" i="27"/>
  <c r="N85" i="27"/>
  <c r="D85" i="27"/>
  <c r="L85" i="27" s="1"/>
  <c r="B85" i="27"/>
  <c r="Z84" i="27"/>
  <c r="X84" i="27"/>
  <c r="P84" i="27"/>
  <c r="L84" i="27"/>
  <c r="N84" i="27" s="1"/>
  <c r="J84" i="27"/>
  <c r="D84" i="27"/>
  <c r="B84" i="27"/>
  <c r="T83" i="27"/>
  <c r="H83" i="27"/>
  <c r="D83" i="27"/>
  <c r="L83" i="27" s="1"/>
  <c r="N83" i="27" s="1"/>
  <c r="Z81" i="27"/>
  <c r="X81" i="27"/>
  <c r="N81" i="27"/>
  <c r="L81" i="27"/>
  <c r="B81" i="27"/>
  <c r="Z80" i="27"/>
  <c r="T80" i="27"/>
  <c r="P80" i="27"/>
  <c r="X80" i="27" s="1"/>
  <c r="N80" i="27"/>
  <c r="L80" i="27"/>
  <c r="H80" i="27"/>
  <c r="D80" i="27"/>
  <c r="B80" i="27"/>
  <c r="X79" i="27"/>
  <c r="Z79" i="27" s="1"/>
  <c r="V79" i="27"/>
  <c r="L79" i="27"/>
  <c r="N79" i="27" s="1"/>
  <c r="B79" i="27"/>
  <c r="Z78" i="27"/>
  <c r="X78" i="27"/>
  <c r="N78" i="27"/>
  <c r="L78" i="27"/>
  <c r="B78" i="27"/>
  <c r="Z77" i="27"/>
  <c r="T77" i="27"/>
  <c r="X77" i="27" s="1"/>
  <c r="P77" i="27"/>
  <c r="L77" i="27"/>
  <c r="N77" i="27" s="1"/>
  <c r="J77" i="27"/>
  <c r="H77" i="27"/>
  <c r="D77" i="27"/>
  <c r="B77" i="27"/>
  <c r="X76" i="27"/>
  <c r="Z76" i="27" s="1"/>
  <c r="N76" i="27"/>
  <c r="L76" i="27"/>
  <c r="B76" i="27"/>
  <c r="X75" i="27"/>
  <c r="Z75" i="27" s="1"/>
  <c r="V75" i="27"/>
  <c r="L75" i="27"/>
  <c r="N75" i="27" s="1"/>
  <c r="B75" i="27"/>
  <c r="X74" i="27"/>
  <c r="Z74" i="27" s="1"/>
  <c r="T74" i="27"/>
  <c r="P74" i="27"/>
  <c r="H74" i="27"/>
  <c r="D74" i="27"/>
  <c r="B74" i="27"/>
  <c r="Z73" i="27"/>
  <c r="X73" i="27"/>
  <c r="N73" i="27"/>
  <c r="L73" i="27"/>
  <c r="B73" i="27"/>
  <c r="T72" i="27"/>
  <c r="P72" i="27"/>
  <c r="H72" i="27"/>
  <c r="D72" i="27"/>
  <c r="L72" i="27" s="1"/>
  <c r="N72" i="27" s="1"/>
  <c r="B72" i="27"/>
  <c r="X71" i="27"/>
  <c r="Z71" i="27" s="1"/>
  <c r="L71" i="27"/>
  <c r="N71" i="27" s="1"/>
  <c r="J71" i="27"/>
  <c r="B71" i="27"/>
  <c r="Z70" i="27"/>
  <c r="X70" i="27"/>
  <c r="L70" i="27"/>
  <c r="N70" i="27" s="1"/>
  <c r="B70" i="27"/>
  <c r="Z69" i="27"/>
  <c r="X69" i="27"/>
  <c r="N69" i="27"/>
  <c r="L69" i="27"/>
  <c r="B69" i="27"/>
  <c r="T68" i="27"/>
  <c r="P68" i="27"/>
  <c r="H68" i="27"/>
  <c r="D68" i="27"/>
  <c r="L68" i="27" s="1"/>
  <c r="N68" i="27" s="1"/>
  <c r="B68" i="27"/>
  <c r="X67" i="27"/>
  <c r="Z67" i="27" s="1"/>
  <c r="L67" i="27"/>
  <c r="N67" i="27" s="1"/>
  <c r="J67" i="27"/>
  <c r="B67" i="27"/>
  <c r="T66" i="27"/>
  <c r="P66" i="27"/>
  <c r="X66" i="27" s="1"/>
  <c r="Z66" i="27" s="1"/>
  <c r="H66" i="27"/>
  <c r="D66" i="27"/>
  <c r="L66" i="27" s="1"/>
  <c r="B66" i="27"/>
  <c r="Z65" i="27"/>
  <c r="X65" i="27"/>
  <c r="N65" i="27"/>
  <c r="L65" i="27"/>
  <c r="B65" i="27"/>
  <c r="T64" i="27"/>
  <c r="P64" i="27"/>
  <c r="X64" i="27" s="1"/>
  <c r="L64" i="27"/>
  <c r="N64" i="27" s="1"/>
  <c r="H64" i="27"/>
  <c r="D64" i="27"/>
  <c r="B64" i="27"/>
  <c r="X63" i="27"/>
  <c r="Z63" i="27" s="1"/>
  <c r="V63" i="27"/>
  <c r="L63" i="27"/>
  <c r="N63" i="27" s="1"/>
  <c r="B63" i="27"/>
  <c r="X62" i="27"/>
  <c r="Z62" i="27" s="1"/>
  <c r="T62" i="27"/>
  <c r="P62" i="27"/>
  <c r="H62" i="27"/>
  <c r="D62" i="27"/>
  <c r="B62" i="27"/>
  <c r="Z61" i="27"/>
  <c r="X61" i="27"/>
  <c r="N61" i="27"/>
  <c r="L61" i="27"/>
  <c r="B61" i="27"/>
  <c r="T60" i="27"/>
  <c r="P60" i="27"/>
  <c r="H60" i="27"/>
  <c r="N60" i="27" s="1"/>
  <c r="D60" i="27"/>
  <c r="L60" i="27" s="1"/>
  <c r="B60" i="27"/>
  <c r="X59" i="27"/>
  <c r="Z59" i="27" s="1"/>
  <c r="L59" i="27"/>
  <c r="N59" i="27" s="1"/>
  <c r="J59" i="27"/>
  <c r="B59" i="27"/>
  <c r="T58" i="27"/>
  <c r="P58" i="27"/>
  <c r="X58" i="27" s="1"/>
  <c r="H58" i="27"/>
  <c r="D58" i="27"/>
  <c r="L58" i="27" s="1"/>
  <c r="B58" i="27"/>
  <c r="Z57" i="27"/>
  <c r="X57" i="27"/>
  <c r="N57" i="27"/>
  <c r="L57" i="27"/>
  <c r="B57" i="27"/>
  <c r="T56" i="27"/>
  <c r="P56" i="27"/>
  <c r="X56" i="27" s="1"/>
  <c r="L56" i="27"/>
  <c r="N56" i="27" s="1"/>
  <c r="H56" i="27"/>
  <c r="D56" i="27"/>
  <c r="B56" i="27"/>
  <c r="Z55" i="27"/>
  <c r="X55" i="27"/>
  <c r="V55" i="27"/>
  <c r="N55" i="27"/>
  <c r="L55" i="27"/>
  <c r="B55" i="27"/>
  <c r="Z54" i="27"/>
  <c r="X54" i="27"/>
  <c r="N54" i="27"/>
  <c r="L54" i="27"/>
  <c r="B54" i="27"/>
  <c r="Z53" i="27"/>
  <c r="X53" i="27"/>
  <c r="N53" i="27"/>
  <c r="L53" i="27"/>
  <c r="B53" i="27"/>
  <c r="Z52" i="27"/>
  <c r="X52" i="27"/>
  <c r="N52" i="27"/>
  <c r="L52" i="27"/>
  <c r="B52" i="27"/>
  <c r="Z51" i="27"/>
  <c r="X51" i="27"/>
  <c r="N51" i="27"/>
  <c r="L51" i="27"/>
  <c r="J51" i="27"/>
  <c r="B51" i="27"/>
  <c r="X50" i="27"/>
  <c r="Z50" i="27" s="1"/>
  <c r="L50" i="27"/>
  <c r="N50" i="27" s="1"/>
  <c r="B50" i="27"/>
  <c r="Z49" i="27"/>
  <c r="X49" i="27"/>
  <c r="N49" i="27"/>
  <c r="L49" i="27"/>
  <c r="B49" i="27"/>
  <c r="Z48" i="27"/>
  <c r="X48" i="27"/>
  <c r="N48" i="27"/>
  <c r="L48" i="27"/>
  <c r="B48" i="27"/>
  <c r="X47" i="27"/>
  <c r="Z47" i="27" s="1"/>
  <c r="V47" i="27"/>
  <c r="L47" i="27"/>
  <c r="N47" i="27" s="1"/>
  <c r="B47" i="27"/>
  <c r="Z46" i="27"/>
  <c r="X46" i="27"/>
  <c r="N46" i="27"/>
  <c r="L46" i="27"/>
  <c r="B46" i="27"/>
  <c r="Z45" i="27"/>
  <c r="T45" i="27"/>
  <c r="X45" i="27" s="1"/>
  <c r="P45" i="27"/>
  <c r="L45" i="27"/>
  <c r="N45" i="27" s="1"/>
  <c r="J45" i="27"/>
  <c r="H45" i="27"/>
  <c r="D45" i="27"/>
  <c r="B45" i="27"/>
  <c r="X44" i="27"/>
  <c r="Z44" i="27" s="1"/>
  <c r="N44" i="27"/>
  <c r="L44" i="27"/>
  <c r="B44" i="27"/>
  <c r="X43" i="27"/>
  <c r="Z43" i="27" s="1"/>
  <c r="V43" i="27"/>
  <c r="L43" i="27"/>
  <c r="N43" i="27" s="1"/>
  <c r="B43" i="27"/>
  <c r="X42" i="27"/>
  <c r="Z42" i="27" s="1"/>
  <c r="L42" i="27"/>
  <c r="N42" i="27" s="1"/>
  <c r="B42" i="27"/>
  <c r="Z41" i="27"/>
  <c r="X41" i="27"/>
  <c r="N41" i="27"/>
  <c r="L41" i="27"/>
  <c r="B41" i="27"/>
  <c r="Z40" i="27"/>
  <c r="X40" i="27"/>
  <c r="N40" i="27"/>
  <c r="L40" i="27"/>
  <c r="J40" i="27"/>
  <c r="F40" i="27"/>
  <c r="B40" i="27"/>
  <c r="X39" i="27"/>
  <c r="Z39" i="27" s="1"/>
  <c r="L39" i="27"/>
  <c r="N39" i="27" s="1"/>
  <c r="J39" i="27"/>
  <c r="B39" i="27"/>
  <c r="X38" i="27"/>
  <c r="Z38" i="27" s="1"/>
  <c r="L38" i="27"/>
  <c r="N38" i="27" s="1"/>
  <c r="B38" i="27"/>
  <c r="Z37" i="27"/>
  <c r="X37" i="27"/>
  <c r="N37" i="27"/>
  <c r="L37" i="27"/>
  <c r="B37" i="27"/>
  <c r="X36" i="27"/>
  <c r="Z36" i="27" s="1"/>
  <c r="N36" i="27"/>
  <c r="L36" i="27"/>
  <c r="B36" i="27"/>
  <c r="X35" i="27"/>
  <c r="Z35" i="27" s="1"/>
  <c r="V35" i="27"/>
  <c r="L35" i="27"/>
  <c r="N35" i="27" s="1"/>
  <c r="B35" i="27"/>
  <c r="X34" i="27"/>
  <c r="Z34" i="27" s="1"/>
  <c r="T34" i="27"/>
  <c r="P34" i="27"/>
  <c r="H34" i="27"/>
  <c r="D34" i="27"/>
  <c r="B34" i="27"/>
  <c r="T33" i="27"/>
  <c r="P33" i="27"/>
  <c r="H33" i="27"/>
  <c r="D33" i="27"/>
  <c r="L33" i="27" s="1"/>
  <c r="Z29" i="27"/>
  <c r="X29" i="27"/>
  <c r="N29" i="27"/>
  <c r="L29" i="27"/>
  <c r="B29" i="27"/>
  <c r="Z28" i="27"/>
  <c r="X28" i="27"/>
  <c r="N28" i="27"/>
  <c r="L28" i="27"/>
  <c r="B28" i="27"/>
  <c r="Z27" i="27"/>
  <c r="X27" i="27"/>
  <c r="V27" i="27"/>
  <c r="N27" i="27"/>
  <c r="L27" i="27"/>
  <c r="B27" i="27"/>
  <c r="Z26" i="27"/>
  <c r="X26" i="27"/>
  <c r="N26" i="27"/>
  <c r="L26" i="27"/>
  <c r="B26" i="27"/>
  <c r="Z25" i="27"/>
  <c r="X25" i="27"/>
  <c r="N25" i="27"/>
  <c r="L25" i="27"/>
  <c r="B25" i="27"/>
  <c r="Z24" i="27"/>
  <c r="X24" i="27"/>
  <c r="N24" i="27"/>
  <c r="L24" i="27"/>
  <c r="J24" i="27"/>
  <c r="B24" i="27"/>
  <c r="Z23" i="27"/>
  <c r="X23" i="27"/>
  <c r="N23" i="27"/>
  <c r="L23" i="27"/>
  <c r="J23" i="27"/>
  <c r="B23" i="27"/>
  <c r="Z22" i="27"/>
  <c r="X22" i="27"/>
  <c r="N22" i="27"/>
  <c r="L22" i="27"/>
  <c r="B22" i="27"/>
  <c r="Z21" i="27"/>
  <c r="X21" i="27"/>
  <c r="N21" i="27"/>
  <c r="L21" i="27"/>
  <c r="B21" i="27"/>
  <c r="X20" i="27"/>
  <c r="Z20" i="27" s="1"/>
  <c r="N20" i="27"/>
  <c r="L20" i="27"/>
  <c r="B20" i="27"/>
  <c r="X19" i="27"/>
  <c r="Z19" i="27" s="1"/>
  <c r="V19" i="27"/>
  <c r="T19" i="27"/>
  <c r="P19" i="27"/>
  <c r="H19" i="27"/>
  <c r="F19" i="27"/>
  <c r="D19" i="27"/>
  <c r="L19" i="27" s="1"/>
  <c r="Z17" i="27"/>
  <c r="P17" i="27"/>
  <c r="X17" i="27" s="1"/>
  <c r="N17" i="27"/>
  <c r="D17" i="27"/>
  <c r="D12" i="27" s="1"/>
  <c r="B17" i="27"/>
  <c r="Z16" i="27"/>
  <c r="P16" i="27"/>
  <c r="X16" i="27" s="1"/>
  <c r="N16" i="27"/>
  <c r="D16" i="27"/>
  <c r="L16" i="27" s="1"/>
  <c r="B16" i="27"/>
  <c r="Z15" i="27"/>
  <c r="X15" i="27"/>
  <c r="P15" i="27"/>
  <c r="N15" i="27"/>
  <c r="L15" i="27"/>
  <c r="D15" i="27"/>
  <c r="B15" i="27"/>
  <c r="Z14" i="27"/>
  <c r="X14" i="27"/>
  <c r="P14" i="27"/>
  <c r="N14" i="27"/>
  <c r="D14" i="27"/>
  <c r="L14" i="27" s="1"/>
  <c r="B14" i="27"/>
  <c r="P13" i="27"/>
  <c r="X13" i="27" s="1"/>
  <c r="Z13" i="27" s="1"/>
  <c r="D13" i="27"/>
  <c r="L13" i="27" s="1"/>
  <c r="N13" i="27" s="1"/>
  <c r="B13" i="27"/>
  <c r="T12" i="27"/>
  <c r="V84" i="27" s="1"/>
  <c r="H12" i="27"/>
  <c r="J76" i="27" s="1"/>
  <c r="D4" i="27"/>
  <c r="B39" i="26"/>
  <c r="B38" i="26"/>
  <c r="T34" i="26"/>
  <c r="Z34" i="26" s="1"/>
  <c r="P34" i="26"/>
  <c r="H34" i="26"/>
  <c r="N34" i="26" s="1"/>
  <c r="D34" i="26"/>
  <c r="T33" i="26"/>
  <c r="Z33" i="26" s="1"/>
  <c r="P33" i="26"/>
  <c r="H33" i="26"/>
  <c r="N33" i="26" s="1"/>
  <c r="D33" i="26"/>
  <c r="T29" i="26"/>
  <c r="Z29" i="26" s="1"/>
  <c r="P29" i="26"/>
  <c r="H29" i="26"/>
  <c r="N29" i="26" s="1"/>
  <c r="D29" i="26"/>
  <c r="T25" i="26"/>
  <c r="Z25" i="26" s="1"/>
  <c r="P25" i="26"/>
  <c r="H25" i="26"/>
  <c r="N25" i="26" s="1"/>
  <c r="D25" i="26"/>
  <c r="B25" i="26"/>
  <c r="T24" i="26"/>
  <c r="P24" i="26"/>
  <c r="H24" i="26"/>
  <c r="N24" i="26" s="1"/>
  <c r="D24" i="26"/>
  <c r="T22" i="26"/>
  <c r="Z22" i="26" s="1"/>
  <c r="P22" i="26"/>
  <c r="H22" i="26"/>
  <c r="N22" i="26" s="1"/>
  <c r="D22" i="26"/>
  <c r="B22" i="26"/>
  <c r="T21" i="26"/>
  <c r="Z21" i="26" s="1"/>
  <c r="P21" i="26"/>
  <c r="H21" i="26"/>
  <c r="N21" i="26" s="1"/>
  <c r="D21" i="26"/>
  <c r="B21" i="26"/>
  <c r="T20" i="26"/>
  <c r="Z20" i="26" s="1"/>
  <c r="P20" i="26"/>
  <c r="H20" i="26"/>
  <c r="N20" i="26" s="1"/>
  <c r="D20" i="26"/>
  <c r="T16" i="26"/>
  <c r="Z16" i="26" s="1"/>
  <c r="P16" i="26"/>
  <c r="H16" i="26"/>
  <c r="N16" i="26" s="1"/>
  <c r="D16" i="26"/>
  <c r="B16" i="26"/>
  <c r="T15" i="26"/>
  <c r="Z15" i="26" s="1"/>
  <c r="P15" i="26"/>
  <c r="H15" i="26"/>
  <c r="N15" i="26" s="1"/>
  <c r="D15" i="26"/>
  <c r="T13" i="26"/>
  <c r="Z13" i="26" s="1"/>
  <c r="P13" i="26"/>
  <c r="H13" i="26"/>
  <c r="N13" i="26" s="1"/>
  <c r="D13" i="26"/>
  <c r="B13" i="26"/>
  <c r="T12" i="26"/>
  <c r="V21" i="26" s="1"/>
  <c r="P12" i="26"/>
  <c r="R27" i="26" s="1"/>
  <c r="H12" i="26"/>
  <c r="J29" i="26" s="1"/>
  <c r="D12" i="26"/>
  <c r="D5" i="26"/>
  <c r="D4" i="26"/>
  <c r="B39" i="25"/>
  <c r="B38" i="25"/>
  <c r="T34" i="25"/>
  <c r="P34" i="25"/>
  <c r="H34" i="25"/>
  <c r="N34" i="25" s="1"/>
  <c r="D34" i="25"/>
  <c r="T33" i="25"/>
  <c r="Z33" i="25" s="1"/>
  <c r="P33" i="25"/>
  <c r="H33" i="25"/>
  <c r="D33" i="25"/>
  <c r="T29" i="25"/>
  <c r="Z29" i="25" s="1"/>
  <c r="P29" i="25"/>
  <c r="H29" i="25"/>
  <c r="D29" i="25"/>
  <c r="T25" i="25"/>
  <c r="Z25" i="25" s="1"/>
  <c r="P25" i="25"/>
  <c r="H25" i="25"/>
  <c r="D25" i="25"/>
  <c r="B25" i="25"/>
  <c r="T24" i="25"/>
  <c r="Z24" i="25" s="1"/>
  <c r="P24" i="25"/>
  <c r="H24" i="25"/>
  <c r="N24" i="25" s="1"/>
  <c r="D24" i="25"/>
  <c r="T22" i="25"/>
  <c r="Z22" i="25" s="1"/>
  <c r="P22" i="25"/>
  <c r="H22" i="25"/>
  <c r="D22" i="25"/>
  <c r="B22" i="25"/>
  <c r="T21" i="25"/>
  <c r="Z21" i="25" s="1"/>
  <c r="P21" i="25"/>
  <c r="H21" i="25"/>
  <c r="D21" i="25"/>
  <c r="B21" i="25"/>
  <c r="T20" i="25"/>
  <c r="Z20" i="25" s="1"/>
  <c r="P20" i="25"/>
  <c r="H20" i="25"/>
  <c r="N20" i="25" s="1"/>
  <c r="D20" i="25"/>
  <c r="T16" i="25"/>
  <c r="Z16" i="25" s="1"/>
  <c r="P16" i="25"/>
  <c r="H16" i="25"/>
  <c r="N16" i="25" s="1"/>
  <c r="D16" i="25"/>
  <c r="B16" i="25"/>
  <c r="T15" i="25"/>
  <c r="Z15" i="25" s="1"/>
  <c r="P15" i="25"/>
  <c r="H15" i="25"/>
  <c r="D15" i="25"/>
  <c r="T13" i="25"/>
  <c r="Z13" i="25" s="1"/>
  <c r="P13" i="25"/>
  <c r="H13" i="25"/>
  <c r="N13" i="25" s="1"/>
  <c r="D13" i="25"/>
  <c r="B13" i="25"/>
  <c r="T12" i="25"/>
  <c r="V34" i="25" s="1"/>
  <c r="P12" i="25"/>
  <c r="R21" i="25" s="1"/>
  <c r="H12" i="25"/>
  <c r="J21" i="25" s="1"/>
  <c r="D12" i="25"/>
  <c r="F22" i="25" s="1"/>
  <c r="D5" i="25"/>
  <c r="D4" i="25"/>
  <c r="Z86" i="24"/>
  <c r="X86" i="24"/>
  <c r="N86" i="24"/>
  <c r="L86" i="24"/>
  <c r="T82" i="24"/>
  <c r="Z82" i="24" s="1"/>
  <c r="P82" i="24"/>
  <c r="X82" i="24" s="1"/>
  <c r="H82" i="24"/>
  <c r="N82" i="24" s="1"/>
  <c r="D82" i="24"/>
  <c r="L82" i="24" s="1"/>
  <c r="Z80" i="24"/>
  <c r="X80" i="24"/>
  <c r="N80" i="24"/>
  <c r="L80" i="24"/>
  <c r="J80" i="24"/>
  <c r="B80" i="24"/>
  <c r="T79" i="24"/>
  <c r="P79" i="24"/>
  <c r="L79" i="24"/>
  <c r="N79" i="24" s="1"/>
  <c r="H79" i="24"/>
  <c r="D79" i="24"/>
  <c r="B79" i="24"/>
  <c r="X78" i="24"/>
  <c r="Z78" i="24" s="1"/>
  <c r="V78" i="24"/>
  <c r="L78" i="24"/>
  <c r="N78" i="24" s="1"/>
  <c r="B78" i="24"/>
  <c r="Z77" i="24"/>
  <c r="X77" i="24"/>
  <c r="N77" i="24"/>
  <c r="L77" i="24"/>
  <c r="B77" i="24"/>
  <c r="Z76" i="24"/>
  <c r="X76" i="24"/>
  <c r="N76" i="24"/>
  <c r="L76" i="24"/>
  <c r="B76" i="24"/>
  <c r="Z75" i="24"/>
  <c r="X75" i="24"/>
  <c r="N75" i="24"/>
  <c r="L75" i="24"/>
  <c r="B75" i="24"/>
  <c r="X74" i="24"/>
  <c r="T74" i="24"/>
  <c r="P74" i="24"/>
  <c r="H74" i="24"/>
  <c r="L74" i="24" s="1"/>
  <c r="D74" i="24"/>
  <c r="B74" i="24"/>
  <c r="Z73" i="24"/>
  <c r="X73" i="24"/>
  <c r="N73" i="24"/>
  <c r="L73" i="24"/>
  <c r="B73" i="24"/>
  <c r="Z72" i="24"/>
  <c r="X72" i="24"/>
  <c r="N72" i="24"/>
  <c r="L72" i="24"/>
  <c r="B72" i="24"/>
  <c r="Z71" i="24"/>
  <c r="V71" i="24"/>
  <c r="T71" i="24"/>
  <c r="P71" i="24"/>
  <c r="X71" i="24" s="1"/>
  <c r="N71" i="24"/>
  <c r="H71" i="24"/>
  <c r="D71" i="24"/>
  <c r="L71" i="24" s="1"/>
  <c r="B71" i="24"/>
  <c r="Z70" i="24"/>
  <c r="X70" i="24"/>
  <c r="N70" i="24"/>
  <c r="L70" i="24"/>
  <c r="J70" i="24"/>
  <c r="B70" i="24"/>
  <c r="Z69" i="24"/>
  <c r="X69" i="24"/>
  <c r="N69" i="24"/>
  <c r="L69" i="24"/>
  <c r="B69" i="24"/>
  <c r="X68" i="24"/>
  <c r="T68" i="24"/>
  <c r="Z68" i="24" s="1"/>
  <c r="P68" i="24"/>
  <c r="N68" i="24"/>
  <c r="J68" i="24"/>
  <c r="H68" i="24"/>
  <c r="D68" i="24"/>
  <c r="L68" i="24" s="1"/>
  <c r="B68" i="24"/>
  <c r="X67" i="24"/>
  <c r="Z67" i="24" s="1"/>
  <c r="N67" i="24"/>
  <c r="L67" i="24"/>
  <c r="B67" i="24"/>
  <c r="T66" i="24"/>
  <c r="P66" i="24"/>
  <c r="X66" i="24" s="1"/>
  <c r="Z66" i="24" s="1"/>
  <c r="H66" i="24"/>
  <c r="N66" i="24" s="1"/>
  <c r="D66" i="24"/>
  <c r="L66" i="24" s="1"/>
  <c r="B66" i="24"/>
  <c r="Z65" i="24"/>
  <c r="X65" i="24"/>
  <c r="N65" i="24"/>
  <c r="L65" i="24"/>
  <c r="B65" i="24"/>
  <c r="T64" i="24"/>
  <c r="Z64" i="24" s="1"/>
  <c r="P64" i="24"/>
  <c r="L64" i="24"/>
  <c r="H64" i="24"/>
  <c r="N64" i="24" s="1"/>
  <c r="D64" i="24"/>
  <c r="B64" i="24"/>
  <c r="Z63" i="24"/>
  <c r="X63" i="24"/>
  <c r="N63" i="24"/>
  <c r="L63" i="24"/>
  <c r="F63" i="24"/>
  <c r="B63" i="24"/>
  <c r="X62" i="24"/>
  <c r="T62" i="24"/>
  <c r="Z62" i="24" s="1"/>
  <c r="P62" i="24"/>
  <c r="L62" i="24"/>
  <c r="H62" i="24"/>
  <c r="N62" i="24" s="1"/>
  <c r="D62" i="24"/>
  <c r="B62" i="24"/>
  <c r="Z61" i="24"/>
  <c r="X61" i="24"/>
  <c r="V61" i="24"/>
  <c r="N61" i="24"/>
  <c r="L61" i="24"/>
  <c r="B61" i="24"/>
  <c r="Z60" i="24"/>
  <c r="X60" i="24"/>
  <c r="N60" i="24"/>
  <c r="L60" i="24"/>
  <c r="B60" i="24"/>
  <c r="Z59" i="24"/>
  <c r="T59" i="24"/>
  <c r="P59" i="24"/>
  <c r="X59" i="24" s="1"/>
  <c r="N59" i="24"/>
  <c r="J59" i="24"/>
  <c r="H59" i="24"/>
  <c r="D59" i="24"/>
  <c r="L59" i="24" s="1"/>
  <c r="B59" i="24"/>
  <c r="Z58" i="24"/>
  <c r="X58" i="24"/>
  <c r="L58" i="24"/>
  <c r="N58" i="24" s="1"/>
  <c r="B58" i="24"/>
  <c r="V57" i="24"/>
  <c r="T57" i="24"/>
  <c r="P57" i="24"/>
  <c r="X57" i="24" s="1"/>
  <c r="Z57" i="24" s="1"/>
  <c r="N57" i="24"/>
  <c r="L57" i="24"/>
  <c r="H57" i="24"/>
  <c r="F57" i="24"/>
  <c r="D57" i="24"/>
  <c r="B57" i="24"/>
  <c r="X56" i="24"/>
  <c r="Z56" i="24" s="1"/>
  <c r="L56" i="24"/>
  <c r="N56" i="24" s="1"/>
  <c r="B56" i="24"/>
  <c r="Z55" i="24"/>
  <c r="X55" i="24"/>
  <c r="T55" i="24"/>
  <c r="P55" i="24"/>
  <c r="H55" i="24"/>
  <c r="L55" i="24" s="1"/>
  <c r="D55" i="24"/>
  <c r="B55" i="24"/>
  <c r="X54" i="24"/>
  <c r="Z54" i="24" s="1"/>
  <c r="N54" i="24"/>
  <c r="L54" i="24"/>
  <c r="F54" i="24"/>
  <c r="B54" i="24"/>
  <c r="T53" i="24"/>
  <c r="X53" i="24" s="1"/>
  <c r="P53" i="24"/>
  <c r="H53" i="24"/>
  <c r="D53" i="24"/>
  <c r="L53" i="24" s="1"/>
  <c r="N53" i="24" s="1"/>
  <c r="B53" i="24"/>
  <c r="Z52" i="24"/>
  <c r="X52" i="24"/>
  <c r="N52" i="24"/>
  <c r="L52" i="24"/>
  <c r="B52" i="24"/>
  <c r="Z51" i="24"/>
  <c r="X51" i="24"/>
  <c r="N51" i="24"/>
  <c r="L51" i="24"/>
  <c r="B51" i="24"/>
  <c r="X50" i="24"/>
  <c r="Z50" i="24" s="1"/>
  <c r="N50" i="24"/>
  <c r="L50" i="24"/>
  <c r="F50" i="24"/>
  <c r="B50" i="24"/>
  <c r="Z49" i="24"/>
  <c r="X49" i="24"/>
  <c r="N49" i="24"/>
  <c r="L49" i="24"/>
  <c r="J49" i="24"/>
  <c r="B49" i="24"/>
  <c r="Z48" i="24"/>
  <c r="X48" i="24"/>
  <c r="N48" i="24"/>
  <c r="L48" i="24"/>
  <c r="B48" i="24"/>
  <c r="Z47" i="24"/>
  <c r="X47" i="24"/>
  <c r="N47" i="24"/>
  <c r="L47" i="24"/>
  <c r="B47" i="24"/>
  <c r="Z46" i="24"/>
  <c r="X46" i="24"/>
  <c r="L46" i="24"/>
  <c r="N46" i="24" s="1"/>
  <c r="B46" i="24"/>
  <c r="Z45" i="24"/>
  <c r="X45" i="24"/>
  <c r="V45" i="24"/>
  <c r="N45" i="24"/>
  <c r="L45" i="24"/>
  <c r="B45" i="24"/>
  <c r="Z44" i="24"/>
  <c r="X44" i="24"/>
  <c r="N44" i="24"/>
  <c r="L44" i="24"/>
  <c r="B44" i="24"/>
  <c r="Z43" i="24"/>
  <c r="X43" i="24"/>
  <c r="N43" i="24"/>
  <c r="L43" i="24"/>
  <c r="B43" i="24"/>
  <c r="T42" i="24"/>
  <c r="P42" i="24"/>
  <c r="L42" i="24"/>
  <c r="H42" i="24"/>
  <c r="D42" i="24"/>
  <c r="B42" i="24"/>
  <c r="X41" i="24"/>
  <c r="Z41" i="24" s="1"/>
  <c r="V41" i="24"/>
  <c r="N41" i="24"/>
  <c r="L41" i="24"/>
  <c r="B41" i="24"/>
  <c r="Z40" i="24"/>
  <c r="X40" i="24"/>
  <c r="N40" i="24"/>
  <c r="L40" i="24"/>
  <c r="B40" i="24"/>
  <c r="Z39" i="24"/>
  <c r="X39" i="24"/>
  <c r="N39" i="24"/>
  <c r="L39" i="24"/>
  <c r="B39" i="24"/>
  <c r="Z38" i="24"/>
  <c r="X38" i="24"/>
  <c r="N38" i="24"/>
  <c r="L38" i="24"/>
  <c r="F38" i="24"/>
  <c r="B38" i="24"/>
  <c r="Z37" i="24"/>
  <c r="X37" i="24"/>
  <c r="L37" i="24"/>
  <c r="N37" i="24" s="1"/>
  <c r="J37" i="24"/>
  <c r="B37" i="24"/>
  <c r="Z36" i="24"/>
  <c r="X36" i="24"/>
  <c r="N36" i="24"/>
  <c r="L36" i="24"/>
  <c r="B36" i="24"/>
  <c r="Z35" i="24"/>
  <c r="X35" i="24"/>
  <c r="N35" i="24"/>
  <c r="L35" i="24"/>
  <c r="B35" i="24"/>
  <c r="Z34" i="24"/>
  <c r="X34" i="24"/>
  <c r="L34" i="24"/>
  <c r="N34" i="24" s="1"/>
  <c r="B34" i="24"/>
  <c r="V33" i="24"/>
  <c r="T33" i="24"/>
  <c r="P33" i="24"/>
  <c r="X33" i="24" s="1"/>
  <c r="Z33" i="24" s="1"/>
  <c r="N33" i="24"/>
  <c r="L33" i="24"/>
  <c r="H33" i="24"/>
  <c r="F33" i="24"/>
  <c r="D33" i="24"/>
  <c r="B33" i="24"/>
  <c r="T32" i="24"/>
  <c r="P32" i="24"/>
  <c r="H32" i="24"/>
  <c r="D32" i="24"/>
  <c r="H30" i="24"/>
  <c r="Z28" i="24"/>
  <c r="X28" i="24"/>
  <c r="N28" i="24"/>
  <c r="L28" i="24"/>
  <c r="B28" i="24"/>
  <c r="Z27" i="24"/>
  <c r="X27" i="24"/>
  <c r="N27" i="24"/>
  <c r="L27" i="24"/>
  <c r="B27" i="24"/>
  <c r="Z26" i="24"/>
  <c r="X26" i="24"/>
  <c r="N26" i="24"/>
  <c r="L26" i="24"/>
  <c r="B26" i="24"/>
  <c r="Z25" i="24"/>
  <c r="X25" i="24"/>
  <c r="V25" i="24"/>
  <c r="N25" i="24"/>
  <c r="L25" i="24"/>
  <c r="J25" i="24"/>
  <c r="B25" i="24"/>
  <c r="Z24" i="24"/>
  <c r="X24" i="24"/>
  <c r="N24" i="24"/>
  <c r="L24" i="24"/>
  <c r="B24" i="24"/>
  <c r="Z23" i="24"/>
  <c r="X23" i="24"/>
  <c r="N23" i="24"/>
  <c r="L23" i="24"/>
  <c r="B23" i="24"/>
  <c r="Z22" i="24"/>
  <c r="X22" i="24"/>
  <c r="N22" i="24"/>
  <c r="L22" i="24"/>
  <c r="F22" i="24"/>
  <c r="B22" i="24"/>
  <c r="Z21" i="24"/>
  <c r="X21" i="24"/>
  <c r="V21" i="24"/>
  <c r="N21" i="24"/>
  <c r="L21" i="24"/>
  <c r="J21" i="24"/>
  <c r="B21" i="24"/>
  <c r="Z20" i="24"/>
  <c r="X20" i="24"/>
  <c r="V20" i="24"/>
  <c r="N20" i="24"/>
  <c r="L20" i="24"/>
  <c r="B20" i="24"/>
  <c r="Z19" i="24"/>
  <c r="X19" i="24"/>
  <c r="N19" i="24"/>
  <c r="L19" i="24"/>
  <c r="B19" i="24"/>
  <c r="T18" i="24"/>
  <c r="P18" i="24"/>
  <c r="J18" i="24"/>
  <c r="H18" i="24"/>
  <c r="N18" i="24" s="1"/>
  <c r="D18" i="24"/>
  <c r="L18" i="24" s="1"/>
  <c r="Z16" i="24"/>
  <c r="X16" i="24"/>
  <c r="P16" i="24"/>
  <c r="N16" i="24"/>
  <c r="L16" i="24"/>
  <c r="D16" i="24"/>
  <c r="B16" i="24"/>
  <c r="Z15" i="24"/>
  <c r="P15" i="24"/>
  <c r="X15" i="24" s="1"/>
  <c r="N15" i="24"/>
  <c r="L15" i="24"/>
  <c r="D15" i="24"/>
  <c r="B15" i="24"/>
  <c r="X14" i="24"/>
  <c r="Z14" i="24" s="1"/>
  <c r="P14" i="24"/>
  <c r="D14" i="24"/>
  <c r="L14" i="24" s="1"/>
  <c r="N14" i="24" s="1"/>
  <c r="B14" i="24"/>
  <c r="P13" i="24"/>
  <c r="X13" i="24" s="1"/>
  <c r="Z13" i="24" s="1"/>
  <c r="L13" i="24"/>
  <c r="N13" i="24" s="1"/>
  <c r="D13" i="24"/>
  <c r="B13" i="24"/>
  <c r="T12" i="24"/>
  <c r="V60" i="24" s="1"/>
  <c r="P12" i="24"/>
  <c r="R55" i="24" s="1"/>
  <c r="H12" i="24"/>
  <c r="J72" i="24" s="1"/>
  <c r="D12" i="24"/>
  <c r="F74" i="24" s="1"/>
  <c r="D4" i="24"/>
  <c r="B39" i="23"/>
  <c r="B38" i="23"/>
  <c r="T34" i="23"/>
  <c r="P34" i="23"/>
  <c r="H34" i="23"/>
  <c r="N34" i="23" s="1"/>
  <c r="D34" i="23"/>
  <c r="T33" i="23"/>
  <c r="Z33" i="23" s="1"/>
  <c r="P33" i="23"/>
  <c r="H33" i="23"/>
  <c r="N33" i="23" s="1"/>
  <c r="D33" i="23"/>
  <c r="T29" i="23"/>
  <c r="Z29" i="23" s="1"/>
  <c r="P29" i="23"/>
  <c r="H29" i="23"/>
  <c r="N29" i="23" s="1"/>
  <c r="D29" i="23"/>
  <c r="T25" i="23"/>
  <c r="Z25" i="23" s="1"/>
  <c r="P25" i="23"/>
  <c r="H25" i="23"/>
  <c r="N25" i="23" s="1"/>
  <c r="D25" i="23"/>
  <c r="B25" i="23"/>
  <c r="T24" i="23"/>
  <c r="Z24" i="23" s="1"/>
  <c r="P24" i="23"/>
  <c r="H24" i="23"/>
  <c r="N24" i="23" s="1"/>
  <c r="D24" i="23"/>
  <c r="T22" i="23"/>
  <c r="Z22" i="23" s="1"/>
  <c r="P22" i="23"/>
  <c r="H22" i="23"/>
  <c r="D22" i="23"/>
  <c r="B22" i="23"/>
  <c r="T21" i="23"/>
  <c r="Z21" i="23" s="1"/>
  <c r="P21" i="23"/>
  <c r="H21" i="23"/>
  <c r="N21" i="23" s="1"/>
  <c r="D21" i="23"/>
  <c r="B21" i="23"/>
  <c r="T20" i="23"/>
  <c r="Z20" i="23" s="1"/>
  <c r="P20" i="23"/>
  <c r="H20" i="23"/>
  <c r="N20" i="23" s="1"/>
  <c r="D20" i="23"/>
  <c r="T16" i="23"/>
  <c r="Z16" i="23" s="1"/>
  <c r="P16" i="23"/>
  <c r="H16" i="23"/>
  <c r="N16" i="23" s="1"/>
  <c r="D16" i="23"/>
  <c r="B16" i="23"/>
  <c r="T15" i="23"/>
  <c r="Z15" i="23" s="1"/>
  <c r="P15" i="23"/>
  <c r="H15" i="23"/>
  <c r="N15" i="23" s="1"/>
  <c r="D15" i="23"/>
  <c r="T13" i="23"/>
  <c r="Z13" i="23" s="1"/>
  <c r="P13" i="23"/>
  <c r="H13" i="23"/>
  <c r="N13" i="23" s="1"/>
  <c r="D13" i="23"/>
  <c r="B13" i="23"/>
  <c r="T12" i="23"/>
  <c r="V22" i="23" s="1"/>
  <c r="P12" i="23"/>
  <c r="R31" i="23" s="1"/>
  <c r="H12" i="23"/>
  <c r="J20" i="23" s="1"/>
  <c r="D12" i="23"/>
  <c r="F22" i="23" s="1"/>
  <c r="D5" i="23"/>
  <c r="D4" i="23"/>
  <c r="B39" i="22"/>
  <c r="B38" i="22"/>
  <c r="T34" i="22"/>
  <c r="P34" i="22"/>
  <c r="H34" i="22"/>
  <c r="N34" i="22" s="1"/>
  <c r="D34" i="22"/>
  <c r="T33" i="22"/>
  <c r="Z33" i="22" s="1"/>
  <c r="P33" i="22"/>
  <c r="H33" i="22"/>
  <c r="N33" i="22" s="1"/>
  <c r="D33" i="22"/>
  <c r="T29" i="22"/>
  <c r="Z29" i="22" s="1"/>
  <c r="P29" i="22"/>
  <c r="H29" i="22"/>
  <c r="N29" i="22" s="1"/>
  <c r="D29" i="22"/>
  <c r="T25" i="22"/>
  <c r="Z25" i="22" s="1"/>
  <c r="P25" i="22"/>
  <c r="H25" i="22"/>
  <c r="N25" i="22" s="1"/>
  <c r="D25" i="22"/>
  <c r="B25" i="22"/>
  <c r="T24" i="22"/>
  <c r="Z24" i="22" s="1"/>
  <c r="P24" i="22"/>
  <c r="H24" i="22"/>
  <c r="N24" i="22" s="1"/>
  <c r="D24" i="22"/>
  <c r="T22" i="22"/>
  <c r="Z22" i="22" s="1"/>
  <c r="P22" i="22"/>
  <c r="H22" i="22"/>
  <c r="N22" i="22" s="1"/>
  <c r="D22" i="22"/>
  <c r="B22" i="22"/>
  <c r="T21" i="22"/>
  <c r="Z21" i="22" s="1"/>
  <c r="P21" i="22"/>
  <c r="H21" i="22"/>
  <c r="D21" i="22"/>
  <c r="B21" i="22"/>
  <c r="T20" i="22"/>
  <c r="Z20" i="22" s="1"/>
  <c r="P20" i="22"/>
  <c r="H20" i="22"/>
  <c r="D20" i="22"/>
  <c r="T16" i="22"/>
  <c r="Z16" i="22" s="1"/>
  <c r="P16" i="22"/>
  <c r="H16" i="22"/>
  <c r="N16" i="22" s="1"/>
  <c r="D16" i="22"/>
  <c r="B16" i="22"/>
  <c r="T15" i="22"/>
  <c r="Z15" i="22" s="1"/>
  <c r="P15" i="22"/>
  <c r="H15" i="22"/>
  <c r="N15" i="22" s="1"/>
  <c r="D15" i="22"/>
  <c r="T13" i="22"/>
  <c r="Z13" i="22" s="1"/>
  <c r="P13" i="22"/>
  <c r="H13" i="22"/>
  <c r="N13" i="22" s="1"/>
  <c r="D13" i="22"/>
  <c r="B13" i="22"/>
  <c r="T12" i="22"/>
  <c r="P12" i="22"/>
  <c r="R21" i="22" s="1"/>
  <c r="H12" i="22"/>
  <c r="J20" i="22" s="1"/>
  <c r="D12" i="22"/>
  <c r="F36" i="22" s="1"/>
  <c r="D5" i="22"/>
  <c r="D4" i="22"/>
  <c r="Z92" i="21"/>
  <c r="X92" i="21"/>
  <c r="N92" i="21"/>
  <c r="L92" i="21"/>
  <c r="Z88" i="21"/>
  <c r="X88" i="21"/>
  <c r="T88" i="21"/>
  <c r="P88" i="21"/>
  <c r="H88" i="21"/>
  <c r="N88" i="21" s="1"/>
  <c r="D88" i="21"/>
  <c r="L88" i="21" s="1"/>
  <c r="Z86" i="21"/>
  <c r="X86" i="21"/>
  <c r="N86" i="21"/>
  <c r="L86" i="21"/>
  <c r="B86" i="21"/>
  <c r="T85" i="21"/>
  <c r="Z85" i="21" s="1"/>
  <c r="P85" i="21"/>
  <c r="X85" i="21" s="1"/>
  <c r="N85" i="21"/>
  <c r="L85" i="21"/>
  <c r="H85" i="21"/>
  <c r="D85" i="21"/>
  <c r="B85" i="21"/>
  <c r="X84" i="21"/>
  <c r="Z84" i="21" s="1"/>
  <c r="V84" i="21"/>
  <c r="N84" i="21"/>
  <c r="L84" i="21"/>
  <c r="B84" i="21"/>
  <c r="X83" i="21"/>
  <c r="T83" i="21"/>
  <c r="P83" i="21"/>
  <c r="H83" i="21"/>
  <c r="D83" i="21"/>
  <c r="B83" i="21"/>
  <c r="Z82" i="21"/>
  <c r="X82" i="21"/>
  <c r="N82" i="21"/>
  <c r="L82" i="21"/>
  <c r="B82" i="21"/>
  <c r="Z81" i="21"/>
  <c r="X81" i="21"/>
  <c r="L81" i="21"/>
  <c r="N81" i="21" s="1"/>
  <c r="B81" i="21"/>
  <c r="V80" i="21"/>
  <c r="T80" i="21"/>
  <c r="P80" i="21"/>
  <c r="X80" i="21" s="1"/>
  <c r="Z80" i="21" s="1"/>
  <c r="N80" i="21"/>
  <c r="L80" i="21"/>
  <c r="H80" i="21"/>
  <c r="D80" i="21"/>
  <c r="B80" i="21"/>
  <c r="X79" i="21"/>
  <c r="Z79" i="21" s="1"/>
  <c r="L79" i="21"/>
  <c r="N79" i="21" s="1"/>
  <c r="B79" i="21"/>
  <c r="Z78" i="21"/>
  <c r="X78" i="21"/>
  <c r="N78" i="21"/>
  <c r="L78" i="21"/>
  <c r="B78" i="21"/>
  <c r="Z77" i="21"/>
  <c r="X77" i="21"/>
  <c r="N77" i="21"/>
  <c r="L77" i="21"/>
  <c r="B77" i="21"/>
  <c r="Z76" i="21"/>
  <c r="X76" i="21"/>
  <c r="V76" i="21"/>
  <c r="N76" i="21"/>
  <c r="L76" i="21"/>
  <c r="B76" i="21"/>
  <c r="X75" i="21"/>
  <c r="Z75" i="21" s="1"/>
  <c r="L75" i="21"/>
  <c r="N75" i="21" s="1"/>
  <c r="B75" i="21"/>
  <c r="Z74" i="21"/>
  <c r="T74" i="21"/>
  <c r="P74" i="21"/>
  <c r="X74" i="21" s="1"/>
  <c r="J74" i="21"/>
  <c r="H74" i="21"/>
  <c r="D74" i="21"/>
  <c r="L74" i="21" s="1"/>
  <c r="N74" i="21" s="1"/>
  <c r="B74" i="21"/>
  <c r="Z73" i="21"/>
  <c r="X73" i="21"/>
  <c r="L73" i="21"/>
  <c r="N73" i="21" s="1"/>
  <c r="B73" i="21"/>
  <c r="Z72" i="21"/>
  <c r="X72" i="21"/>
  <c r="V72" i="21"/>
  <c r="N72" i="21"/>
  <c r="L72" i="21"/>
  <c r="B72" i="21"/>
  <c r="X71" i="21"/>
  <c r="Z71" i="21" s="1"/>
  <c r="L71" i="21"/>
  <c r="N71" i="21" s="1"/>
  <c r="B71" i="21"/>
  <c r="T70" i="21"/>
  <c r="P70" i="21"/>
  <c r="X70" i="21" s="1"/>
  <c r="Z70" i="21" s="1"/>
  <c r="J70" i="21"/>
  <c r="H70" i="21"/>
  <c r="D70" i="21"/>
  <c r="L70" i="21" s="1"/>
  <c r="N70" i="21" s="1"/>
  <c r="B70" i="21"/>
  <c r="Z69" i="21"/>
  <c r="X69" i="21"/>
  <c r="L69" i="21"/>
  <c r="N69" i="21" s="1"/>
  <c r="B69" i="21"/>
  <c r="V68" i="21"/>
  <c r="T68" i="21"/>
  <c r="P68" i="21"/>
  <c r="X68" i="21" s="1"/>
  <c r="Z68" i="21" s="1"/>
  <c r="N68" i="21"/>
  <c r="L68" i="21"/>
  <c r="H68" i="21"/>
  <c r="D68" i="21"/>
  <c r="B68" i="21"/>
  <c r="X67" i="21"/>
  <c r="Z67" i="21" s="1"/>
  <c r="L67" i="21"/>
  <c r="N67" i="21" s="1"/>
  <c r="B67" i="21"/>
  <c r="Z66" i="21"/>
  <c r="X66" i="21"/>
  <c r="N66" i="21"/>
  <c r="L66" i="21"/>
  <c r="B66" i="21"/>
  <c r="Z65" i="21"/>
  <c r="X65" i="21"/>
  <c r="N65" i="21"/>
  <c r="L65" i="21"/>
  <c r="B65" i="21"/>
  <c r="V64" i="21"/>
  <c r="T64" i="21"/>
  <c r="P64" i="21"/>
  <c r="X64" i="21" s="1"/>
  <c r="Z64" i="21" s="1"/>
  <c r="N64" i="21"/>
  <c r="L64" i="21"/>
  <c r="H64" i="21"/>
  <c r="D64" i="21"/>
  <c r="B64" i="21"/>
  <c r="X63" i="21"/>
  <c r="Z63" i="21" s="1"/>
  <c r="L63" i="21"/>
  <c r="N63" i="21" s="1"/>
  <c r="B63" i="21"/>
  <c r="Z62" i="21"/>
  <c r="X62" i="21"/>
  <c r="T62" i="21"/>
  <c r="P62" i="21"/>
  <c r="H62" i="21"/>
  <c r="L62" i="21" s="1"/>
  <c r="D62" i="21"/>
  <c r="B62" i="21"/>
  <c r="X61" i="21"/>
  <c r="Z61" i="21" s="1"/>
  <c r="N61" i="21"/>
  <c r="L61" i="21"/>
  <c r="B61" i="21"/>
  <c r="T60" i="21"/>
  <c r="X60" i="21" s="1"/>
  <c r="P60" i="21"/>
  <c r="N60" i="21"/>
  <c r="H60" i="21"/>
  <c r="D60" i="21"/>
  <c r="L60" i="21" s="1"/>
  <c r="B60" i="21"/>
  <c r="X59" i="21"/>
  <c r="Z59" i="21" s="1"/>
  <c r="N59" i="21"/>
  <c r="L59" i="21"/>
  <c r="B59" i="21"/>
  <c r="Z58" i="21"/>
  <c r="T58" i="21"/>
  <c r="P58" i="21"/>
  <c r="X58" i="21" s="1"/>
  <c r="J58" i="21"/>
  <c r="H58" i="21"/>
  <c r="N58" i="21" s="1"/>
  <c r="D58" i="21"/>
  <c r="L58" i="21" s="1"/>
  <c r="B58" i="21"/>
  <c r="Z57" i="21"/>
  <c r="X57" i="21"/>
  <c r="N57" i="21"/>
  <c r="L57" i="21"/>
  <c r="B57" i="21"/>
  <c r="V56" i="21"/>
  <c r="T56" i="21"/>
  <c r="Z56" i="21" s="1"/>
  <c r="P56" i="21"/>
  <c r="X56" i="21" s="1"/>
  <c r="N56" i="21"/>
  <c r="L56" i="21"/>
  <c r="H56" i="21"/>
  <c r="D56" i="21"/>
  <c r="B56" i="21"/>
  <c r="X55" i="21"/>
  <c r="Z55" i="21" s="1"/>
  <c r="L55" i="21"/>
  <c r="N55" i="21" s="1"/>
  <c r="B55" i="21"/>
  <c r="Z54" i="21"/>
  <c r="X54" i="21"/>
  <c r="N54" i="21"/>
  <c r="L54" i="21"/>
  <c r="B54" i="21"/>
  <c r="T53" i="21"/>
  <c r="P53" i="21"/>
  <c r="H53" i="21"/>
  <c r="D53" i="21"/>
  <c r="L53" i="21" s="1"/>
  <c r="N53" i="21" s="1"/>
  <c r="B53" i="21"/>
  <c r="X52" i="21"/>
  <c r="Z52" i="21" s="1"/>
  <c r="L52" i="21"/>
  <c r="N52" i="21" s="1"/>
  <c r="J52" i="21"/>
  <c r="B52" i="21"/>
  <c r="T51" i="21"/>
  <c r="P51" i="21"/>
  <c r="X51" i="21" s="1"/>
  <c r="Z51" i="21" s="1"/>
  <c r="H51" i="21"/>
  <c r="N51" i="21" s="1"/>
  <c r="D51" i="21"/>
  <c r="L51" i="21" s="1"/>
  <c r="B51" i="21"/>
  <c r="Z50" i="21"/>
  <c r="X50" i="21"/>
  <c r="N50" i="21"/>
  <c r="L50" i="21"/>
  <c r="B50" i="21"/>
  <c r="T49" i="21"/>
  <c r="Z49" i="21" s="1"/>
  <c r="P49" i="21"/>
  <c r="X49" i="21" s="1"/>
  <c r="N49" i="21"/>
  <c r="L49" i="21"/>
  <c r="H49" i="21"/>
  <c r="D49" i="21"/>
  <c r="B49" i="21"/>
  <c r="Z48" i="21"/>
  <c r="X48" i="21"/>
  <c r="V48" i="21"/>
  <c r="N48" i="21"/>
  <c r="L48" i="21"/>
  <c r="B48" i="21"/>
  <c r="Z47" i="21"/>
  <c r="X47" i="21"/>
  <c r="T47" i="21"/>
  <c r="P47" i="21"/>
  <c r="H47" i="21"/>
  <c r="D47" i="21"/>
  <c r="B47" i="21"/>
  <c r="Z46" i="21"/>
  <c r="X46" i="21"/>
  <c r="N46" i="21"/>
  <c r="L46" i="21"/>
  <c r="B46" i="21"/>
  <c r="Z45" i="21"/>
  <c r="X45" i="21"/>
  <c r="N45" i="21"/>
  <c r="L45" i="21"/>
  <c r="B45" i="21"/>
  <c r="Z44" i="21"/>
  <c r="X44" i="21"/>
  <c r="V44" i="21"/>
  <c r="L44" i="21"/>
  <c r="N44" i="21" s="1"/>
  <c r="B44" i="21"/>
  <c r="Z43" i="21"/>
  <c r="X43" i="21"/>
  <c r="N43" i="21"/>
  <c r="L43" i="21"/>
  <c r="B43" i="21"/>
  <c r="Z42" i="21"/>
  <c r="X42" i="21"/>
  <c r="N42" i="21"/>
  <c r="L42" i="21"/>
  <c r="B42" i="21"/>
  <c r="Z41" i="21"/>
  <c r="X41" i="21"/>
  <c r="N41" i="21"/>
  <c r="L41" i="21"/>
  <c r="B41" i="21"/>
  <c r="X40" i="21"/>
  <c r="Z40" i="21" s="1"/>
  <c r="V40" i="21"/>
  <c r="N40" i="21"/>
  <c r="L40" i="21"/>
  <c r="J40" i="21"/>
  <c r="B40" i="21"/>
  <c r="Z39" i="21"/>
  <c r="X39" i="21"/>
  <c r="N39" i="21"/>
  <c r="L39" i="21"/>
  <c r="B39" i="21"/>
  <c r="Z38" i="21"/>
  <c r="X38" i="21"/>
  <c r="N38" i="21"/>
  <c r="L38" i="21"/>
  <c r="B38" i="21"/>
  <c r="Z37" i="21"/>
  <c r="X37" i="21"/>
  <c r="N37" i="21"/>
  <c r="L37" i="21"/>
  <c r="B37" i="21"/>
  <c r="V36" i="21"/>
  <c r="T36" i="21"/>
  <c r="P36" i="21"/>
  <c r="X36" i="21" s="1"/>
  <c r="Z36" i="21" s="1"/>
  <c r="N36" i="21"/>
  <c r="L36" i="21"/>
  <c r="H36" i="21"/>
  <c r="D36" i="21"/>
  <c r="B36" i="21"/>
  <c r="Z35" i="21"/>
  <c r="X35" i="21"/>
  <c r="N35" i="21"/>
  <c r="L35" i="21"/>
  <c r="B35" i="21"/>
  <c r="Z34" i="21"/>
  <c r="X34" i="21"/>
  <c r="N34" i="21"/>
  <c r="L34" i="21"/>
  <c r="B34" i="21"/>
  <c r="Z33" i="21"/>
  <c r="X33" i="21"/>
  <c r="L33" i="21"/>
  <c r="N33" i="21" s="1"/>
  <c r="B33" i="21"/>
  <c r="Z32" i="21"/>
  <c r="X32" i="21"/>
  <c r="V32" i="21"/>
  <c r="N32" i="21"/>
  <c r="L32" i="21"/>
  <c r="J32" i="21"/>
  <c r="B32" i="21"/>
  <c r="X31" i="21"/>
  <c r="Z31" i="21" s="1"/>
  <c r="L31" i="21"/>
  <c r="N31" i="21" s="1"/>
  <c r="B31" i="21"/>
  <c r="Z30" i="21"/>
  <c r="X30" i="21"/>
  <c r="N30" i="21"/>
  <c r="L30" i="21"/>
  <c r="B30" i="21"/>
  <c r="X29" i="21"/>
  <c r="Z29" i="21" s="1"/>
  <c r="N29" i="21"/>
  <c r="L29" i="21"/>
  <c r="B29" i="21"/>
  <c r="X28" i="21"/>
  <c r="Z28" i="21" s="1"/>
  <c r="V28" i="21"/>
  <c r="L28" i="21"/>
  <c r="N28" i="21" s="1"/>
  <c r="J28" i="21"/>
  <c r="B28" i="21"/>
  <c r="X27" i="21"/>
  <c r="Z27" i="21" s="1"/>
  <c r="L27" i="21"/>
  <c r="N27" i="21" s="1"/>
  <c r="B27" i="21"/>
  <c r="Z26" i="21"/>
  <c r="X26" i="21"/>
  <c r="T26" i="21"/>
  <c r="P26" i="21"/>
  <c r="J26" i="21"/>
  <c r="H26" i="21"/>
  <c r="L26" i="21" s="1"/>
  <c r="D26" i="21"/>
  <c r="B26" i="21"/>
  <c r="T25" i="21"/>
  <c r="P25" i="21"/>
  <c r="H25" i="21"/>
  <c r="D25" i="21"/>
  <c r="L25" i="21" s="1"/>
  <c r="T23" i="21"/>
  <c r="Z21" i="21"/>
  <c r="X21" i="21"/>
  <c r="N21" i="21"/>
  <c r="L21" i="21"/>
  <c r="B21" i="21"/>
  <c r="Z20" i="21"/>
  <c r="X20" i="21"/>
  <c r="V20" i="21"/>
  <c r="N20" i="21"/>
  <c r="L20" i="21"/>
  <c r="J20" i="21"/>
  <c r="B20" i="21"/>
  <c r="X19" i="21"/>
  <c r="Z19" i="21" s="1"/>
  <c r="L19" i="21"/>
  <c r="N19" i="21" s="1"/>
  <c r="B19" i="21"/>
  <c r="Z18" i="21"/>
  <c r="X18" i="21"/>
  <c r="T18" i="21"/>
  <c r="P18" i="21"/>
  <c r="J18" i="21"/>
  <c r="H18" i="21"/>
  <c r="D18" i="21"/>
  <c r="L18" i="21" s="1"/>
  <c r="N18" i="21" s="1"/>
  <c r="Z16" i="21"/>
  <c r="P16" i="21"/>
  <c r="X16" i="21" s="1"/>
  <c r="N16" i="21"/>
  <c r="L16" i="21"/>
  <c r="D16" i="21"/>
  <c r="B16" i="21"/>
  <c r="X15" i="21"/>
  <c r="Z15" i="21" s="1"/>
  <c r="P15" i="21"/>
  <c r="D15" i="21"/>
  <c r="L15" i="21" s="1"/>
  <c r="N15" i="21" s="1"/>
  <c r="B15" i="21"/>
  <c r="Z14" i="21"/>
  <c r="P14" i="21"/>
  <c r="N14" i="21"/>
  <c r="L14" i="21"/>
  <c r="D14" i="21"/>
  <c r="B14" i="21"/>
  <c r="X13" i="21"/>
  <c r="Z13" i="21" s="1"/>
  <c r="P13" i="21"/>
  <c r="D13" i="21"/>
  <c r="D12" i="21" s="1"/>
  <c r="F80" i="21" s="1"/>
  <c r="B13" i="21"/>
  <c r="T12" i="21"/>
  <c r="V85" i="21" s="1"/>
  <c r="H12" i="21"/>
  <c r="J81" i="21" s="1"/>
  <c r="D4" i="21"/>
  <c r="B39" i="20"/>
  <c r="B38" i="20"/>
  <c r="T34" i="20"/>
  <c r="Z34" i="20" s="1"/>
  <c r="P34" i="20"/>
  <c r="H34" i="20"/>
  <c r="N34" i="20" s="1"/>
  <c r="D34" i="20"/>
  <c r="T33" i="20"/>
  <c r="Z33" i="20" s="1"/>
  <c r="P33" i="20"/>
  <c r="H33" i="20"/>
  <c r="N33" i="20" s="1"/>
  <c r="D33" i="20"/>
  <c r="T29" i="20"/>
  <c r="P29" i="20"/>
  <c r="H29" i="20"/>
  <c r="N29" i="20" s="1"/>
  <c r="D29" i="20"/>
  <c r="T25" i="20"/>
  <c r="Z25" i="20" s="1"/>
  <c r="P25" i="20"/>
  <c r="H25" i="20"/>
  <c r="N25" i="20" s="1"/>
  <c r="D25" i="20"/>
  <c r="B25" i="20"/>
  <c r="T24" i="20"/>
  <c r="Z24" i="20" s="1"/>
  <c r="P24" i="20"/>
  <c r="H24" i="20"/>
  <c r="N24" i="20" s="1"/>
  <c r="D24" i="20"/>
  <c r="T22" i="20"/>
  <c r="Z22" i="20" s="1"/>
  <c r="P22" i="20"/>
  <c r="H22" i="20"/>
  <c r="N22" i="20" s="1"/>
  <c r="D22" i="20"/>
  <c r="L22" i="20" s="1"/>
  <c r="B22" i="20"/>
  <c r="T21" i="20"/>
  <c r="Z21" i="20" s="1"/>
  <c r="P21" i="20"/>
  <c r="H21" i="20"/>
  <c r="N21" i="20" s="1"/>
  <c r="D21" i="20"/>
  <c r="B21" i="20"/>
  <c r="T20" i="20"/>
  <c r="P20" i="20"/>
  <c r="H20" i="20"/>
  <c r="N20" i="20" s="1"/>
  <c r="D20" i="20"/>
  <c r="T16" i="20"/>
  <c r="P16" i="20"/>
  <c r="H16" i="20"/>
  <c r="N16" i="20" s="1"/>
  <c r="D16" i="20"/>
  <c r="B16" i="20"/>
  <c r="T15" i="20"/>
  <c r="Z15" i="20" s="1"/>
  <c r="P15" i="20"/>
  <c r="H15" i="20"/>
  <c r="N15" i="20" s="1"/>
  <c r="D15" i="20"/>
  <c r="T13" i="20"/>
  <c r="Z13" i="20" s="1"/>
  <c r="P13" i="20"/>
  <c r="H13" i="20"/>
  <c r="D13" i="20"/>
  <c r="B13" i="20"/>
  <c r="T12" i="20"/>
  <c r="V34" i="20" s="1"/>
  <c r="P12" i="20"/>
  <c r="R36" i="20" s="1"/>
  <c r="H12" i="20"/>
  <c r="J34" i="20" s="1"/>
  <c r="D12" i="20"/>
  <c r="D5" i="20"/>
  <c r="D4" i="20"/>
  <c r="B39" i="19"/>
  <c r="B38" i="19"/>
  <c r="T34" i="19"/>
  <c r="P34" i="19"/>
  <c r="H34" i="19"/>
  <c r="N34" i="19" s="1"/>
  <c r="D34" i="19"/>
  <c r="T33" i="19"/>
  <c r="Z33" i="19" s="1"/>
  <c r="P33" i="19"/>
  <c r="H33" i="19"/>
  <c r="N33" i="19" s="1"/>
  <c r="D33" i="19"/>
  <c r="T29" i="19"/>
  <c r="Z29" i="19" s="1"/>
  <c r="P29" i="19"/>
  <c r="H29" i="19"/>
  <c r="N29" i="19" s="1"/>
  <c r="D29" i="19"/>
  <c r="T25" i="19"/>
  <c r="Z25" i="19" s="1"/>
  <c r="P25" i="19"/>
  <c r="H25" i="19"/>
  <c r="N25" i="19" s="1"/>
  <c r="D25" i="19"/>
  <c r="B25" i="19"/>
  <c r="T24" i="19"/>
  <c r="Z24" i="19" s="1"/>
  <c r="P24" i="19"/>
  <c r="X24" i="19" s="1"/>
  <c r="H24" i="19"/>
  <c r="N24" i="19" s="1"/>
  <c r="D24" i="19"/>
  <c r="T22" i="19"/>
  <c r="Z22" i="19" s="1"/>
  <c r="P22" i="19"/>
  <c r="H22" i="19"/>
  <c r="N22" i="19" s="1"/>
  <c r="D22" i="19"/>
  <c r="B22" i="19"/>
  <c r="T21" i="19"/>
  <c r="Z21" i="19" s="1"/>
  <c r="P21" i="19"/>
  <c r="H21" i="19"/>
  <c r="N21" i="19" s="1"/>
  <c r="D21" i="19"/>
  <c r="B21" i="19"/>
  <c r="T20" i="19"/>
  <c r="Z20" i="19" s="1"/>
  <c r="P20" i="19"/>
  <c r="H20" i="19"/>
  <c r="N20" i="19" s="1"/>
  <c r="D20" i="19"/>
  <c r="T16" i="19"/>
  <c r="Z16" i="19" s="1"/>
  <c r="P16" i="19"/>
  <c r="H16" i="19"/>
  <c r="N16" i="19" s="1"/>
  <c r="D16" i="19"/>
  <c r="B16" i="19"/>
  <c r="T15" i="19"/>
  <c r="Z15" i="19" s="1"/>
  <c r="P15" i="19"/>
  <c r="H15" i="19"/>
  <c r="N15" i="19" s="1"/>
  <c r="D15" i="19"/>
  <c r="T13" i="19"/>
  <c r="P13" i="19"/>
  <c r="H13" i="19"/>
  <c r="N13" i="19" s="1"/>
  <c r="D13" i="19"/>
  <c r="B13" i="19"/>
  <c r="T12" i="19"/>
  <c r="V22" i="19" s="1"/>
  <c r="P12" i="19"/>
  <c r="R31" i="19" s="1"/>
  <c r="H12" i="19"/>
  <c r="J20" i="19" s="1"/>
  <c r="D12" i="19"/>
  <c r="D5" i="19"/>
  <c r="D4" i="19"/>
  <c r="X161" i="18"/>
  <c r="Z161" i="18" s="1"/>
  <c r="L161" i="18"/>
  <c r="N161" i="18" s="1"/>
  <c r="Z157" i="18"/>
  <c r="X157" i="18"/>
  <c r="P157" i="18"/>
  <c r="N157" i="18"/>
  <c r="D157" i="18"/>
  <c r="L157" i="18" s="1"/>
  <c r="B157" i="18"/>
  <c r="Z156" i="18"/>
  <c r="V156" i="18"/>
  <c r="P156" i="18"/>
  <c r="X156" i="18" s="1"/>
  <c r="N156" i="18"/>
  <c r="L156" i="18"/>
  <c r="D156" i="18"/>
  <c r="B156" i="18"/>
  <c r="Z155" i="18"/>
  <c r="X155" i="18"/>
  <c r="P155" i="18"/>
  <c r="N155" i="18"/>
  <c r="J155" i="18"/>
  <c r="D155" i="18"/>
  <c r="L155" i="18" s="1"/>
  <c r="B155" i="18"/>
  <c r="P154" i="18"/>
  <c r="X154" i="18" s="1"/>
  <c r="Z154" i="18" s="1"/>
  <c r="L154" i="18"/>
  <c r="N154" i="18" s="1"/>
  <c r="D154" i="18"/>
  <c r="B154" i="18"/>
  <c r="X153" i="18"/>
  <c r="Z153" i="18" s="1"/>
  <c r="P153" i="18"/>
  <c r="D153" i="18"/>
  <c r="L153" i="18" s="1"/>
  <c r="N153" i="18" s="1"/>
  <c r="B153" i="18"/>
  <c r="Z152" i="18"/>
  <c r="P152" i="18"/>
  <c r="X152" i="18" s="1"/>
  <c r="N152" i="18"/>
  <c r="L152" i="18"/>
  <c r="D152" i="18"/>
  <c r="B152" i="18"/>
  <c r="Z151" i="18"/>
  <c r="X151" i="18"/>
  <c r="P151" i="18"/>
  <c r="N151" i="18"/>
  <c r="D151" i="18"/>
  <c r="L151" i="18" s="1"/>
  <c r="B151" i="18"/>
  <c r="T150" i="18"/>
  <c r="J150" i="18"/>
  <c r="H150" i="18"/>
  <c r="Z148" i="18"/>
  <c r="X148" i="18"/>
  <c r="N148" i="18"/>
  <c r="L148" i="18"/>
  <c r="B148" i="18"/>
  <c r="T147" i="18"/>
  <c r="P147" i="18"/>
  <c r="X147" i="18" s="1"/>
  <c r="H147" i="18"/>
  <c r="N147" i="18" s="1"/>
  <c r="D147" i="18"/>
  <c r="L147" i="18" s="1"/>
  <c r="B147" i="18"/>
  <c r="Z146" i="18"/>
  <c r="X146" i="18"/>
  <c r="N146" i="18"/>
  <c r="L146" i="18"/>
  <c r="J146" i="18"/>
  <c r="B146" i="18"/>
  <c r="X145" i="18"/>
  <c r="Z145" i="18" s="1"/>
  <c r="L145" i="18"/>
  <c r="N145" i="18" s="1"/>
  <c r="B145" i="18"/>
  <c r="Z144" i="18"/>
  <c r="X144" i="18"/>
  <c r="N144" i="18"/>
  <c r="L144" i="18"/>
  <c r="B144" i="18"/>
  <c r="T143" i="18"/>
  <c r="P143" i="18"/>
  <c r="X143" i="18" s="1"/>
  <c r="H143" i="18"/>
  <c r="N143" i="18" s="1"/>
  <c r="D143" i="18"/>
  <c r="L143" i="18" s="1"/>
  <c r="B143" i="18"/>
  <c r="Z142" i="18"/>
  <c r="X142" i="18"/>
  <c r="N142" i="18"/>
  <c r="L142" i="18"/>
  <c r="J142" i="18"/>
  <c r="B142" i="18"/>
  <c r="T141" i="18"/>
  <c r="Z141" i="18" s="1"/>
  <c r="P141" i="18"/>
  <c r="X141" i="18" s="1"/>
  <c r="H141" i="18"/>
  <c r="N141" i="18" s="1"/>
  <c r="D141" i="18"/>
  <c r="B141" i="18"/>
  <c r="Z140" i="18"/>
  <c r="X140" i="18"/>
  <c r="N140" i="18"/>
  <c r="L140" i="18"/>
  <c r="B140" i="18"/>
  <c r="Z139" i="18"/>
  <c r="X139" i="18"/>
  <c r="N139" i="18"/>
  <c r="L139" i="18"/>
  <c r="B139" i="18"/>
  <c r="T138" i="18"/>
  <c r="P138" i="18"/>
  <c r="X138" i="18" s="1"/>
  <c r="Z138" i="18" s="1"/>
  <c r="N138" i="18"/>
  <c r="L138" i="18"/>
  <c r="H138" i="18"/>
  <c r="D138" i="18"/>
  <c r="B138" i="18"/>
  <c r="X137" i="18"/>
  <c r="Z137" i="18" s="1"/>
  <c r="L137" i="18"/>
  <c r="N137" i="18" s="1"/>
  <c r="B137" i="18"/>
  <c r="Z136" i="18"/>
  <c r="X136" i="18"/>
  <c r="N136" i="18"/>
  <c r="L136" i="18"/>
  <c r="B136" i="18"/>
  <c r="X135" i="18"/>
  <c r="Z135" i="18" s="1"/>
  <c r="L135" i="18"/>
  <c r="N135" i="18" s="1"/>
  <c r="B135" i="18"/>
  <c r="Z134" i="18"/>
  <c r="X134" i="18"/>
  <c r="N134" i="18"/>
  <c r="L134" i="18"/>
  <c r="J134" i="18"/>
  <c r="B134" i="18"/>
  <c r="X133" i="18"/>
  <c r="Z133" i="18" s="1"/>
  <c r="L133" i="18"/>
  <c r="N133" i="18" s="1"/>
  <c r="B133" i="18"/>
  <c r="Z132" i="18"/>
  <c r="X132" i="18"/>
  <c r="N132" i="18"/>
  <c r="L132" i="18"/>
  <c r="B132" i="18"/>
  <c r="X131" i="18"/>
  <c r="Z131" i="18" s="1"/>
  <c r="L131" i="18"/>
  <c r="N131" i="18" s="1"/>
  <c r="B131" i="18"/>
  <c r="V130" i="18"/>
  <c r="T130" i="18"/>
  <c r="Z130" i="18" s="1"/>
  <c r="P130" i="18"/>
  <c r="X130" i="18" s="1"/>
  <c r="H130" i="18"/>
  <c r="D130" i="18"/>
  <c r="L130" i="18" s="1"/>
  <c r="N130" i="18" s="1"/>
  <c r="B130" i="18"/>
  <c r="X129" i="18"/>
  <c r="Z129" i="18" s="1"/>
  <c r="L129" i="18"/>
  <c r="N129" i="18" s="1"/>
  <c r="B129" i="18"/>
  <c r="Z128" i="18"/>
  <c r="X128" i="18"/>
  <c r="N128" i="18"/>
  <c r="L128" i="18"/>
  <c r="B128" i="18"/>
  <c r="T127" i="18"/>
  <c r="P127" i="18"/>
  <c r="H127" i="18"/>
  <c r="N127" i="18" s="1"/>
  <c r="D127" i="18"/>
  <c r="L127" i="18" s="1"/>
  <c r="B127" i="18"/>
  <c r="Z126" i="18"/>
  <c r="X126" i="18"/>
  <c r="N126" i="18"/>
  <c r="L126" i="18"/>
  <c r="J126" i="18"/>
  <c r="B126" i="18"/>
  <c r="X125" i="18"/>
  <c r="Z125" i="18" s="1"/>
  <c r="L125" i="18"/>
  <c r="N125" i="18" s="1"/>
  <c r="B125" i="18"/>
  <c r="Z124" i="18"/>
  <c r="X124" i="18"/>
  <c r="N124" i="18"/>
  <c r="L124" i="18"/>
  <c r="B124" i="18"/>
  <c r="T123" i="18"/>
  <c r="P123" i="18"/>
  <c r="H123" i="18"/>
  <c r="D123" i="18"/>
  <c r="L123" i="18" s="1"/>
  <c r="N123" i="18" s="1"/>
  <c r="B123" i="18"/>
  <c r="Z122" i="18"/>
  <c r="X122" i="18"/>
  <c r="N122" i="18"/>
  <c r="L122" i="18"/>
  <c r="J122" i="18"/>
  <c r="B122" i="18"/>
  <c r="Z121" i="18"/>
  <c r="X121" i="18"/>
  <c r="N121" i="18"/>
  <c r="L121" i="18"/>
  <c r="B121" i="18"/>
  <c r="Z120" i="18"/>
  <c r="X120" i="18"/>
  <c r="N120" i="18"/>
  <c r="L120" i="18"/>
  <c r="B120" i="18"/>
  <c r="X119" i="18"/>
  <c r="Z119" i="18" s="1"/>
  <c r="L119" i="18"/>
  <c r="N119" i="18" s="1"/>
  <c r="B119" i="18"/>
  <c r="V118" i="18"/>
  <c r="T118" i="18"/>
  <c r="Z118" i="18" s="1"/>
  <c r="P118" i="18"/>
  <c r="X118" i="18" s="1"/>
  <c r="H118" i="18"/>
  <c r="D118" i="18"/>
  <c r="L118" i="18" s="1"/>
  <c r="N118" i="18" s="1"/>
  <c r="B118" i="18"/>
  <c r="X117" i="18"/>
  <c r="Z117" i="18" s="1"/>
  <c r="L117" i="18"/>
  <c r="N117" i="18" s="1"/>
  <c r="B117" i="18"/>
  <c r="Z116" i="18"/>
  <c r="X116" i="18"/>
  <c r="N116" i="18"/>
  <c r="L116" i="18"/>
  <c r="B116" i="18"/>
  <c r="Z115" i="18"/>
  <c r="X115" i="18"/>
  <c r="L115" i="18"/>
  <c r="N115" i="18" s="1"/>
  <c r="B115" i="18"/>
  <c r="Z114" i="18"/>
  <c r="X114" i="18"/>
  <c r="V114" i="18"/>
  <c r="N114" i="18"/>
  <c r="L114" i="18"/>
  <c r="B114" i="18"/>
  <c r="X113" i="18"/>
  <c r="T113" i="18"/>
  <c r="P113" i="18"/>
  <c r="H113" i="18"/>
  <c r="D113" i="18"/>
  <c r="L113" i="18" s="1"/>
  <c r="B113" i="18"/>
  <c r="Z112" i="18"/>
  <c r="X112" i="18"/>
  <c r="N112" i="18"/>
  <c r="L112" i="18"/>
  <c r="B112" i="18"/>
  <c r="T111" i="18"/>
  <c r="P111" i="18"/>
  <c r="H111" i="18"/>
  <c r="D111" i="18"/>
  <c r="L111" i="18" s="1"/>
  <c r="N111" i="18" s="1"/>
  <c r="B111" i="18"/>
  <c r="Z110" i="18"/>
  <c r="X110" i="18"/>
  <c r="N110" i="18"/>
  <c r="L110" i="18"/>
  <c r="J110" i="18"/>
  <c r="B110" i="18"/>
  <c r="T109" i="18"/>
  <c r="P109" i="18"/>
  <c r="X109" i="18" s="1"/>
  <c r="Z109" i="18" s="1"/>
  <c r="H109" i="18"/>
  <c r="N109" i="18" s="1"/>
  <c r="D109" i="18"/>
  <c r="B109" i="18"/>
  <c r="Z108" i="18"/>
  <c r="X108" i="18"/>
  <c r="N108" i="18"/>
  <c r="L108" i="18"/>
  <c r="B108" i="18"/>
  <c r="T107" i="18"/>
  <c r="P107" i="18"/>
  <c r="L107" i="18"/>
  <c r="H107" i="18"/>
  <c r="N107" i="18" s="1"/>
  <c r="D107" i="18"/>
  <c r="B107" i="18"/>
  <c r="Z106" i="18"/>
  <c r="X106" i="18"/>
  <c r="V106" i="18"/>
  <c r="N106" i="18"/>
  <c r="L106" i="18"/>
  <c r="B106" i="18"/>
  <c r="X105" i="18"/>
  <c r="T105" i="18"/>
  <c r="P105" i="18"/>
  <c r="H105" i="18"/>
  <c r="D105" i="18"/>
  <c r="B105" i="18"/>
  <c r="Z104" i="18"/>
  <c r="X104" i="18"/>
  <c r="N104" i="18"/>
  <c r="L104" i="18"/>
  <c r="B104" i="18"/>
  <c r="X103" i="18"/>
  <c r="Z103" i="18" s="1"/>
  <c r="N103" i="18"/>
  <c r="L103" i="18"/>
  <c r="B103" i="18"/>
  <c r="V102" i="18"/>
  <c r="T102" i="18"/>
  <c r="P102" i="18"/>
  <c r="X102" i="18" s="1"/>
  <c r="Z102" i="18" s="1"/>
  <c r="H102" i="18"/>
  <c r="D102" i="18"/>
  <c r="L102" i="18" s="1"/>
  <c r="N102" i="18" s="1"/>
  <c r="B102" i="18"/>
  <c r="X101" i="18"/>
  <c r="Z101" i="18" s="1"/>
  <c r="L101" i="18"/>
  <c r="N101" i="18" s="1"/>
  <c r="B101" i="18"/>
  <c r="Z100" i="18"/>
  <c r="X100" i="18"/>
  <c r="N100" i="18"/>
  <c r="L100" i="18"/>
  <c r="B100" i="18"/>
  <c r="T99" i="18"/>
  <c r="P99" i="18"/>
  <c r="X99" i="18" s="1"/>
  <c r="H99" i="18"/>
  <c r="D99" i="18"/>
  <c r="L99" i="18" s="1"/>
  <c r="N99" i="18" s="1"/>
  <c r="B99" i="18"/>
  <c r="Z98" i="18"/>
  <c r="X98" i="18"/>
  <c r="N98" i="18"/>
  <c r="L98" i="18"/>
  <c r="J98" i="18"/>
  <c r="B98" i="18"/>
  <c r="T97" i="18"/>
  <c r="P97" i="18"/>
  <c r="X97" i="18" s="1"/>
  <c r="Z97" i="18" s="1"/>
  <c r="H97" i="18"/>
  <c r="D97" i="18"/>
  <c r="B97" i="18"/>
  <c r="Z96" i="18"/>
  <c r="X96" i="18"/>
  <c r="N96" i="18"/>
  <c r="L96" i="18"/>
  <c r="B96" i="18"/>
  <c r="T95" i="18"/>
  <c r="P95" i="18"/>
  <c r="L95" i="18"/>
  <c r="H95" i="18"/>
  <c r="N95" i="18" s="1"/>
  <c r="D95" i="18"/>
  <c r="B95" i="18"/>
  <c r="Z94" i="18"/>
  <c r="X94" i="18"/>
  <c r="V94" i="18"/>
  <c r="N94" i="18"/>
  <c r="L94" i="18"/>
  <c r="B94" i="18"/>
  <c r="X93" i="18"/>
  <c r="T93" i="18"/>
  <c r="P93" i="18"/>
  <c r="H93" i="18"/>
  <c r="D93" i="18"/>
  <c r="B93" i="18"/>
  <c r="Z92" i="18"/>
  <c r="X92" i="18"/>
  <c r="N92" i="18"/>
  <c r="L92" i="18"/>
  <c r="B92" i="18"/>
  <c r="Z91" i="18"/>
  <c r="X91" i="18"/>
  <c r="N91" i="18"/>
  <c r="L91" i="18"/>
  <c r="B91" i="18"/>
  <c r="Z90" i="18"/>
  <c r="V90" i="18"/>
  <c r="T90" i="18"/>
  <c r="P90" i="18"/>
  <c r="X90" i="18" s="1"/>
  <c r="N90" i="18"/>
  <c r="L90" i="18"/>
  <c r="H90" i="18"/>
  <c r="D90" i="18"/>
  <c r="B90" i="18"/>
  <c r="X89" i="18"/>
  <c r="Z89" i="18" s="1"/>
  <c r="L89" i="18"/>
  <c r="N89" i="18" s="1"/>
  <c r="B89" i="18"/>
  <c r="Z88" i="18"/>
  <c r="X88" i="18"/>
  <c r="N88" i="18"/>
  <c r="L88" i="18"/>
  <c r="B88" i="18"/>
  <c r="T87" i="18"/>
  <c r="P87" i="18"/>
  <c r="H87" i="18"/>
  <c r="D87" i="18"/>
  <c r="L87" i="18" s="1"/>
  <c r="N87" i="18" s="1"/>
  <c r="B87" i="18"/>
  <c r="Z86" i="18"/>
  <c r="X86" i="18"/>
  <c r="N86" i="18"/>
  <c r="L86" i="18"/>
  <c r="J86" i="18"/>
  <c r="B86" i="18"/>
  <c r="T85" i="18"/>
  <c r="P85" i="18"/>
  <c r="X85" i="18" s="1"/>
  <c r="Z85" i="18" s="1"/>
  <c r="H85" i="18"/>
  <c r="D85" i="18"/>
  <c r="B85" i="18"/>
  <c r="Z84" i="18"/>
  <c r="X84" i="18"/>
  <c r="N84" i="18"/>
  <c r="L84" i="18"/>
  <c r="B84" i="18"/>
  <c r="T83" i="18"/>
  <c r="P83" i="18"/>
  <c r="L83" i="18"/>
  <c r="H83" i="18"/>
  <c r="N83" i="18" s="1"/>
  <c r="D83" i="18"/>
  <c r="B83" i="18"/>
  <c r="Z82" i="18"/>
  <c r="X82" i="18"/>
  <c r="V82" i="18"/>
  <c r="N82" i="18"/>
  <c r="L82" i="18"/>
  <c r="B82" i="18"/>
  <c r="X81" i="18"/>
  <c r="T81" i="18"/>
  <c r="P81" i="18"/>
  <c r="H81" i="18"/>
  <c r="D81" i="18"/>
  <c r="B81" i="18"/>
  <c r="Z80" i="18"/>
  <c r="X80" i="18"/>
  <c r="N80" i="18"/>
  <c r="L80" i="18"/>
  <c r="B80" i="18"/>
  <c r="Z79" i="18"/>
  <c r="X79" i="18"/>
  <c r="N79" i="18"/>
  <c r="L79" i="18"/>
  <c r="B79" i="18"/>
  <c r="Z78" i="18"/>
  <c r="X78" i="18"/>
  <c r="V78" i="18"/>
  <c r="N78" i="18"/>
  <c r="L78" i="18"/>
  <c r="B78" i="18"/>
  <c r="X77" i="18"/>
  <c r="Z77" i="18" s="1"/>
  <c r="L77" i="18"/>
  <c r="N77" i="18" s="1"/>
  <c r="B77" i="18"/>
  <c r="Z76" i="18"/>
  <c r="X76" i="18"/>
  <c r="N76" i="18"/>
  <c r="L76" i="18"/>
  <c r="B76" i="18"/>
  <c r="X75" i="18"/>
  <c r="Z75" i="18" s="1"/>
  <c r="L75" i="18"/>
  <c r="N75" i="18" s="1"/>
  <c r="B75" i="18"/>
  <c r="Z74" i="18"/>
  <c r="X74" i="18"/>
  <c r="N74" i="18"/>
  <c r="L74" i="18"/>
  <c r="J74" i="18"/>
  <c r="B74" i="18"/>
  <c r="Z73" i="18"/>
  <c r="X73" i="18"/>
  <c r="N73" i="18"/>
  <c r="L73" i="18"/>
  <c r="B73" i="18"/>
  <c r="Z72" i="18"/>
  <c r="X72" i="18"/>
  <c r="N72" i="18"/>
  <c r="L72" i="18"/>
  <c r="B72" i="18"/>
  <c r="X71" i="18"/>
  <c r="Z71" i="18" s="1"/>
  <c r="L71" i="18"/>
  <c r="N71" i="18" s="1"/>
  <c r="B71" i="18"/>
  <c r="V70" i="18"/>
  <c r="T70" i="18"/>
  <c r="P70" i="18"/>
  <c r="X70" i="18" s="1"/>
  <c r="Z70" i="18" s="1"/>
  <c r="H70" i="18"/>
  <c r="D70" i="18"/>
  <c r="L70" i="18" s="1"/>
  <c r="N70" i="18" s="1"/>
  <c r="B70" i="18"/>
  <c r="X69" i="18"/>
  <c r="Z69" i="18" s="1"/>
  <c r="L69" i="18"/>
  <c r="N69" i="18" s="1"/>
  <c r="B69" i="18"/>
  <c r="Z68" i="18"/>
  <c r="X68" i="18"/>
  <c r="N68" i="18"/>
  <c r="L68" i="18"/>
  <c r="B68" i="18"/>
  <c r="X67" i="18"/>
  <c r="Z67" i="18" s="1"/>
  <c r="L67" i="18"/>
  <c r="N67" i="18" s="1"/>
  <c r="B67" i="18"/>
  <c r="Z66" i="18"/>
  <c r="X66" i="18"/>
  <c r="V66" i="18"/>
  <c r="N66" i="18"/>
  <c r="L66" i="18"/>
  <c r="J66" i="18"/>
  <c r="B66" i="18"/>
  <c r="Z65" i="18"/>
  <c r="X65" i="18"/>
  <c r="N65" i="18"/>
  <c r="L65" i="18"/>
  <c r="B65" i="18"/>
  <c r="Z64" i="18"/>
  <c r="X64" i="18"/>
  <c r="N64" i="18"/>
  <c r="L64" i="18"/>
  <c r="B64" i="18"/>
  <c r="X63" i="18"/>
  <c r="Z63" i="18" s="1"/>
  <c r="L63" i="18"/>
  <c r="N63" i="18" s="1"/>
  <c r="B63" i="18"/>
  <c r="Z62" i="18"/>
  <c r="X62" i="18"/>
  <c r="V62" i="18"/>
  <c r="N62" i="18"/>
  <c r="L62" i="18"/>
  <c r="J62" i="18"/>
  <c r="B62" i="18"/>
  <c r="X61" i="18"/>
  <c r="Z61" i="18" s="1"/>
  <c r="L61" i="18"/>
  <c r="N61" i="18" s="1"/>
  <c r="B61" i="18"/>
  <c r="Z60" i="18"/>
  <c r="X60" i="18"/>
  <c r="N60" i="18"/>
  <c r="L60" i="18"/>
  <c r="B60" i="18"/>
  <c r="T59" i="18"/>
  <c r="P59" i="18"/>
  <c r="X59" i="18" s="1"/>
  <c r="H59" i="18"/>
  <c r="D59" i="18"/>
  <c r="L59" i="18" s="1"/>
  <c r="N59" i="18" s="1"/>
  <c r="B59" i="18"/>
  <c r="V58" i="18"/>
  <c r="T58" i="18"/>
  <c r="P58" i="18"/>
  <c r="X58" i="18" s="1"/>
  <c r="H58" i="18"/>
  <c r="D58" i="18"/>
  <c r="L58" i="18" s="1"/>
  <c r="N58" i="18" s="1"/>
  <c r="Z54" i="18"/>
  <c r="X54" i="18"/>
  <c r="V54" i="18"/>
  <c r="N54" i="18"/>
  <c r="L54" i="18"/>
  <c r="J54" i="18"/>
  <c r="B54" i="18"/>
  <c r="Z53" i="18"/>
  <c r="X53" i="18"/>
  <c r="N53" i="18"/>
  <c r="L53" i="18"/>
  <c r="B53" i="18"/>
  <c r="Z52" i="18"/>
  <c r="X52" i="18"/>
  <c r="N52" i="18"/>
  <c r="L52" i="18"/>
  <c r="B52" i="18"/>
  <c r="Z51" i="18"/>
  <c r="X51" i="18"/>
  <c r="N51" i="18"/>
  <c r="L51" i="18"/>
  <c r="B51" i="18"/>
  <c r="Z50" i="18"/>
  <c r="X50" i="18"/>
  <c r="V50" i="18"/>
  <c r="N50" i="18"/>
  <c r="L50" i="18"/>
  <c r="J50" i="18"/>
  <c r="B50" i="18"/>
  <c r="Z49" i="18"/>
  <c r="X49" i="18"/>
  <c r="N49" i="18"/>
  <c r="L49" i="18"/>
  <c r="B49" i="18"/>
  <c r="Z48" i="18"/>
  <c r="X48" i="18"/>
  <c r="N48" i="18"/>
  <c r="L48" i="18"/>
  <c r="B48" i="18"/>
  <c r="Z47" i="18"/>
  <c r="X47" i="18"/>
  <c r="N47" i="18"/>
  <c r="L47" i="18"/>
  <c r="B47" i="18"/>
  <c r="Z46" i="18"/>
  <c r="X46" i="18"/>
  <c r="V46" i="18"/>
  <c r="N46" i="18"/>
  <c r="L46" i="18"/>
  <c r="J46" i="18"/>
  <c r="B46" i="18"/>
  <c r="Z45" i="18"/>
  <c r="X45" i="18"/>
  <c r="N45" i="18"/>
  <c r="L45" i="18"/>
  <c r="B45" i="18"/>
  <c r="Z44" i="18"/>
  <c r="X44" i="18"/>
  <c r="N44" i="18"/>
  <c r="L44" i="18"/>
  <c r="B44" i="18"/>
  <c r="Z43" i="18"/>
  <c r="X43" i="18"/>
  <c r="N43" i="18"/>
  <c r="L43" i="18"/>
  <c r="B43" i="18"/>
  <c r="Z42" i="18"/>
  <c r="X42" i="18"/>
  <c r="V42" i="18"/>
  <c r="N42" i="18"/>
  <c r="L42" i="18"/>
  <c r="J42" i="18"/>
  <c r="B42" i="18"/>
  <c r="Z41" i="18"/>
  <c r="X41" i="18"/>
  <c r="N41" i="18"/>
  <c r="L41" i="18"/>
  <c r="B41" i="18"/>
  <c r="Z40" i="18"/>
  <c r="X40" i="18"/>
  <c r="N40" i="18"/>
  <c r="L40" i="18"/>
  <c r="B40" i="18"/>
  <c r="Z39" i="18"/>
  <c r="X39" i="18"/>
  <c r="N39" i="18"/>
  <c r="L39" i="18"/>
  <c r="B39" i="18"/>
  <c r="Z38" i="18"/>
  <c r="X38" i="18"/>
  <c r="V38" i="18"/>
  <c r="N38" i="18"/>
  <c r="L38" i="18"/>
  <c r="J38" i="18"/>
  <c r="B38" i="18"/>
  <c r="Z37" i="18"/>
  <c r="X37" i="18"/>
  <c r="N37" i="18"/>
  <c r="L37" i="18"/>
  <c r="B37" i="18"/>
  <c r="Z36" i="18"/>
  <c r="X36" i="18"/>
  <c r="N36" i="18"/>
  <c r="L36" i="18"/>
  <c r="B36" i="18"/>
  <c r="Z35" i="18"/>
  <c r="X35" i="18"/>
  <c r="N35" i="18"/>
  <c r="L35" i="18"/>
  <c r="B35" i="18"/>
  <c r="Z34" i="18"/>
  <c r="X34" i="18"/>
  <c r="V34" i="18"/>
  <c r="N34" i="18"/>
  <c r="L34" i="18"/>
  <c r="J34" i="18"/>
  <c r="B34" i="18"/>
  <c r="Z33" i="18"/>
  <c r="X33" i="18"/>
  <c r="N33" i="18"/>
  <c r="L33" i="18"/>
  <c r="J33" i="18"/>
  <c r="B33" i="18"/>
  <c r="Z32" i="18"/>
  <c r="X32" i="18"/>
  <c r="N32" i="18"/>
  <c r="L32" i="18"/>
  <c r="B32" i="18"/>
  <c r="Z31" i="18"/>
  <c r="X31" i="18"/>
  <c r="N31" i="18"/>
  <c r="L31" i="18"/>
  <c r="B31" i="18"/>
  <c r="Z30" i="18"/>
  <c r="X30" i="18"/>
  <c r="V30" i="18"/>
  <c r="N30" i="18"/>
  <c r="L30" i="18"/>
  <c r="J30" i="18"/>
  <c r="B30" i="18"/>
  <c r="Z29" i="18"/>
  <c r="X29" i="18"/>
  <c r="N29" i="18"/>
  <c r="L29" i="18"/>
  <c r="B29" i="18"/>
  <c r="Z28" i="18"/>
  <c r="X28" i="18"/>
  <c r="N28" i="18"/>
  <c r="L28" i="18"/>
  <c r="B28" i="18"/>
  <c r="Z27" i="18"/>
  <c r="X27" i="18"/>
  <c r="N27" i="18"/>
  <c r="L27" i="18"/>
  <c r="J27" i="18"/>
  <c r="B27" i="18"/>
  <c r="Z26" i="18"/>
  <c r="X26" i="18"/>
  <c r="V26" i="18"/>
  <c r="N26" i="18"/>
  <c r="L26" i="18"/>
  <c r="J26" i="18"/>
  <c r="B26" i="18"/>
  <c r="Z25" i="18"/>
  <c r="X25" i="18"/>
  <c r="N25" i="18"/>
  <c r="L25" i="18"/>
  <c r="J25" i="18"/>
  <c r="B25" i="18"/>
  <c r="Z24" i="18"/>
  <c r="X24" i="18"/>
  <c r="N24" i="18"/>
  <c r="L24" i="18"/>
  <c r="B24" i="18"/>
  <c r="Z23" i="18"/>
  <c r="X23" i="18"/>
  <c r="N23" i="18"/>
  <c r="L23" i="18"/>
  <c r="J23" i="18"/>
  <c r="B23" i="18"/>
  <c r="X22" i="18"/>
  <c r="Z22" i="18" s="1"/>
  <c r="V22" i="18"/>
  <c r="L22" i="18"/>
  <c r="N22" i="18" s="1"/>
  <c r="J22" i="18"/>
  <c r="B22" i="18"/>
  <c r="V21" i="18"/>
  <c r="T21" i="18"/>
  <c r="P21" i="18"/>
  <c r="X21" i="18" s="1"/>
  <c r="Z21" i="18" s="1"/>
  <c r="H21" i="18"/>
  <c r="J21" i="18" s="1"/>
  <c r="D21" i="18"/>
  <c r="Z19" i="18"/>
  <c r="X19" i="18"/>
  <c r="P19" i="18"/>
  <c r="N19" i="18"/>
  <c r="D19" i="18"/>
  <c r="L19" i="18" s="1"/>
  <c r="B19" i="18"/>
  <c r="Z18" i="18"/>
  <c r="P18" i="18"/>
  <c r="X18" i="18" s="1"/>
  <c r="N18" i="18"/>
  <c r="D18" i="18"/>
  <c r="L18" i="18" s="1"/>
  <c r="B18" i="18"/>
  <c r="Z17" i="18"/>
  <c r="P17" i="18"/>
  <c r="X17" i="18" s="1"/>
  <c r="N17" i="18"/>
  <c r="D17" i="18"/>
  <c r="L17" i="18" s="1"/>
  <c r="B17" i="18"/>
  <c r="Z16" i="18"/>
  <c r="X16" i="18"/>
  <c r="P16" i="18"/>
  <c r="N16" i="18"/>
  <c r="L16" i="18"/>
  <c r="D16" i="18"/>
  <c r="B16" i="18"/>
  <c r="Z15" i="18"/>
  <c r="X15" i="18"/>
  <c r="P15" i="18"/>
  <c r="N15" i="18"/>
  <c r="D15" i="18"/>
  <c r="B15" i="18"/>
  <c r="P14" i="18"/>
  <c r="X14" i="18" s="1"/>
  <c r="Z14" i="18" s="1"/>
  <c r="D14" i="18"/>
  <c r="L14" i="18" s="1"/>
  <c r="N14" i="18" s="1"/>
  <c r="B14" i="18"/>
  <c r="P13" i="18"/>
  <c r="X13" i="18" s="1"/>
  <c r="Z13" i="18" s="1"/>
  <c r="N13" i="18"/>
  <c r="L13" i="18"/>
  <c r="D13" i="18"/>
  <c r="B13" i="18"/>
  <c r="T12" i="18"/>
  <c r="V155" i="18" s="1"/>
  <c r="H12" i="18"/>
  <c r="D4" i="18"/>
  <c r="B39" i="17"/>
  <c r="B38" i="17"/>
  <c r="T34" i="17"/>
  <c r="Z34" i="17" s="1"/>
  <c r="P34" i="17"/>
  <c r="H34" i="17"/>
  <c r="N34" i="17" s="1"/>
  <c r="D34" i="17"/>
  <c r="T33" i="17"/>
  <c r="Z33" i="17" s="1"/>
  <c r="P33" i="17"/>
  <c r="H33" i="17"/>
  <c r="N33" i="17" s="1"/>
  <c r="D33" i="17"/>
  <c r="T29" i="17"/>
  <c r="Z29" i="17" s="1"/>
  <c r="P29" i="17"/>
  <c r="H29" i="17"/>
  <c r="N29" i="17" s="1"/>
  <c r="D29" i="17"/>
  <c r="T25" i="17"/>
  <c r="Z25" i="17" s="1"/>
  <c r="P25" i="17"/>
  <c r="H25" i="17"/>
  <c r="N25" i="17" s="1"/>
  <c r="D25" i="17"/>
  <c r="B25" i="17"/>
  <c r="T24" i="17"/>
  <c r="Z24" i="17" s="1"/>
  <c r="P24" i="17"/>
  <c r="X24" i="17" s="1"/>
  <c r="H24" i="17"/>
  <c r="N24" i="17" s="1"/>
  <c r="D24" i="17"/>
  <c r="T22" i="17"/>
  <c r="Z22" i="17" s="1"/>
  <c r="P22" i="17"/>
  <c r="H22" i="17"/>
  <c r="N22" i="17" s="1"/>
  <c r="D22" i="17"/>
  <c r="B22" i="17"/>
  <c r="T21" i="17"/>
  <c r="Z21" i="17" s="1"/>
  <c r="P21" i="17"/>
  <c r="H21" i="17"/>
  <c r="N21" i="17" s="1"/>
  <c r="D21" i="17"/>
  <c r="B21" i="17"/>
  <c r="T20" i="17"/>
  <c r="Z20" i="17" s="1"/>
  <c r="P20" i="17"/>
  <c r="H20" i="17"/>
  <c r="N20" i="17" s="1"/>
  <c r="D20" i="17"/>
  <c r="T16" i="17"/>
  <c r="P16" i="17"/>
  <c r="H16" i="17"/>
  <c r="N16" i="17" s="1"/>
  <c r="D16" i="17"/>
  <c r="B16" i="17"/>
  <c r="T15" i="17"/>
  <c r="Z15" i="17" s="1"/>
  <c r="P15" i="17"/>
  <c r="H15" i="17"/>
  <c r="N15" i="17" s="1"/>
  <c r="D15" i="17"/>
  <c r="T13" i="17"/>
  <c r="Z13" i="17" s="1"/>
  <c r="P13" i="17"/>
  <c r="H13" i="17"/>
  <c r="N13" i="17" s="1"/>
  <c r="D13" i="17"/>
  <c r="B13" i="17"/>
  <c r="T12" i="17"/>
  <c r="V21" i="17" s="1"/>
  <c r="P12" i="17"/>
  <c r="R34" i="17" s="1"/>
  <c r="H12" i="17"/>
  <c r="J36" i="17" s="1"/>
  <c r="D12" i="17"/>
  <c r="F21" i="17" s="1"/>
  <c r="D5" i="17"/>
  <c r="D4" i="17"/>
  <c r="B39" i="16"/>
  <c r="B38" i="16"/>
  <c r="T34" i="16"/>
  <c r="Z34" i="16" s="1"/>
  <c r="P34" i="16"/>
  <c r="H34" i="16"/>
  <c r="D34" i="16"/>
  <c r="T33" i="16"/>
  <c r="P33" i="16"/>
  <c r="H33" i="16"/>
  <c r="N33" i="16" s="1"/>
  <c r="D33" i="16"/>
  <c r="T29" i="16"/>
  <c r="P29" i="16"/>
  <c r="H29" i="16"/>
  <c r="N29" i="16" s="1"/>
  <c r="D29" i="16"/>
  <c r="T25" i="16"/>
  <c r="P25" i="16"/>
  <c r="H25" i="16"/>
  <c r="N25" i="16" s="1"/>
  <c r="D25" i="16"/>
  <c r="B25" i="16"/>
  <c r="T24" i="16"/>
  <c r="P24" i="16"/>
  <c r="H24" i="16"/>
  <c r="N24" i="16" s="1"/>
  <c r="D24" i="16"/>
  <c r="T22" i="16"/>
  <c r="Z22" i="16" s="1"/>
  <c r="P22" i="16"/>
  <c r="H22" i="16"/>
  <c r="N22" i="16" s="1"/>
  <c r="D22" i="16"/>
  <c r="B22" i="16"/>
  <c r="T21" i="16"/>
  <c r="Z21" i="16" s="1"/>
  <c r="P21" i="16"/>
  <c r="H21" i="16"/>
  <c r="N21" i="16" s="1"/>
  <c r="D21" i="16"/>
  <c r="B21" i="16"/>
  <c r="T20" i="16"/>
  <c r="Z20" i="16" s="1"/>
  <c r="P20" i="16"/>
  <c r="H20" i="16"/>
  <c r="N20" i="16" s="1"/>
  <c r="D20" i="16"/>
  <c r="T16" i="16"/>
  <c r="Z16" i="16" s="1"/>
  <c r="P16" i="16"/>
  <c r="H16" i="16"/>
  <c r="N16" i="16" s="1"/>
  <c r="D16" i="16"/>
  <c r="B16" i="16"/>
  <c r="T15" i="16"/>
  <c r="Z15" i="16" s="1"/>
  <c r="P15" i="16"/>
  <c r="X15" i="16" s="1"/>
  <c r="H15" i="16"/>
  <c r="N15" i="16" s="1"/>
  <c r="D15" i="16"/>
  <c r="T13" i="16"/>
  <c r="Z13" i="16" s="1"/>
  <c r="P13" i="16"/>
  <c r="H13" i="16"/>
  <c r="N13" i="16" s="1"/>
  <c r="D13" i="16"/>
  <c r="B13" i="16"/>
  <c r="T12" i="16"/>
  <c r="V24" i="16" s="1"/>
  <c r="P12" i="16"/>
  <c r="H12" i="16"/>
  <c r="J18" i="16" s="1"/>
  <c r="D12" i="16"/>
  <c r="F21" i="16" s="1"/>
  <c r="D5" i="16"/>
  <c r="D4" i="16"/>
  <c r="X153" i="15"/>
  <c r="Z153" i="15" s="1"/>
  <c r="L153" i="15"/>
  <c r="N153" i="15" s="1"/>
  <c r="Z149" i="15"/>
  <c r="X149" i="15"/>
  <c r="P149" i="15"/>
  <c r="N149" i="15"/>
  <c r="D149" i="15"/>
  <c r="L149" i="15" s="1"/>
  <c r="B149" i="15"/>
  <c r="Z148" i="15"/>
  <c r="X148" i="15"/>
  <c r="P148" i="15"/>
  <c r="N148" i="15"/>
  <c r="L148" i="15"/>
  <c r="D148" i="15"/>
  <c r="B148" i="15"/>
  <c r="Z147" i="15"/>
  <c r="X147" i="15"/>
  <c r="P147" i="15"/>
  <c r="N147" i="15"/>
  <c r="L147" i="15"/>
  <c r="D147" i="15"/>
  <c r="B147" i="15"/>
  <c r="P146" i="15"/>
  <c r="X146" i="15" s="1"/>
  <c r="Z146" i="15" s="1"/>
  <c r="N146" i="15"/>
  <c r="L146" i="15"/>
  <c r="D146" i="15"/>
  <c r="B146" i="15"/>
  <c r="X145" i="15"/>
  <c r="Z145" i="15" s="1"/>
  <c r="P145" i="15"/>
  <c r="D145" i="15"/>
  <c r="B145" i="15"/>
  <c r="T144" i="15"/>
  <c r="H144" i="15"/>
  <c r="Z142" i="15"/>
  <c r="X142" i="15"/>
  <c r="L142" i="15"/>
  <c r="N142" i="15" s="1"/>
  <c r="B142" i="15"/>
  <c r="T141" i="15"/>
  <c r="P141" i="15"/>
  <c r="X141" i="15" s="1"/>
  <c r="Z141" i="15" s="1"/>
  <c r="H141" i="15"/>
  <c r="D141" i="15"/>
  <c r="B141" i="15"/>
  <c r="Z140" i="15"/>
  <c r="X140" i="15"/>
  <c r="N140" i="15"/>
  <c r="L140" i="15"/>
  <c r="B140" i="15"/>
  <c r="X139" i="15"/>
  <c r="Z139" i="15" s="1"/>
  <c r="N139" i="15"/>
  <c r="L139" i="15"/>
  <c r="B139" i="15"/>
  <c r="Z138" i="15"/>
  <c r="X138" i="15"/>
  <c r="L138" i="15"/>
  <c r="N138" i="15" s="1"/>
  <c r="B138" i="15"/>
  <c r="T137" i="15"/>
  <c r="P137" i="15"/>
  <c r="X137" i="15" s="1"/>
  <c r="Z137" i="15" s="1"/>
  <c r="L137" i="15"/>
  <c r="H137" i="15"/>
  <c r="D137" i="15"/>
  <c r="B137" i="15"/>
  <c r="Z136" i="15"/>
  <c r="X136" i="15"/>
  <c r="N136" i="15"/>
  <c r="L136" i="15"/>
  <c r="B136" i="15"/>
  <c r="X135" i="15"/>
  <c r="T135" i="15"/>
  <c r="Z135" i="15" s="1"/>
  <c r="P135" i="15"/>
  <c r="N135" i="15"/>
  <c r="H135" i="15"/>
  <c r="D135" i="15"/>
  <c r="L135" i="15" s="1"/>
  <c r="B135" i="15"/>
  <c r="X134" i="15"/>
  <c r="Z134" i="15" s="1"/>
  <c r="N134" i="15"/>
  <c r="L134" i="15"/>
  <c r="B134" i="15"/>
  <c r="Z133" i="15"/>
  <c r="X133" i="15"/>
  <c r="N133" i="15"/>
  <c r="L133" i="15"/>
  <c r="B133" i="15"/>
  <c r="T132" i="15"/>
  <c r="P132" i="15"/>
  <c r="H132" i="15"/>
  <c r="D132" i="15"/>
  <c r="L132" i="15" s="1"/>
  <c r="B132" i="15"/>
  <c r="Z131" i="15"/>
  <c r="X131" i="15"/>
  <c r="N131" i="15"/>
  <c r="L131" i="15"/>
  <c r="B131" i="15"/>
  <c r="Z130" i="15"/>
  <c r="X130" i="15"/>
  <c r="L130" i="15"/>
  <c r="N130" i="15" s="1"/>
  <c r="B130" i="15"/>
  <c r="X129" i="15"/>
  <c r="Z129" i="15" s="1"/>
  <c r="N129" i="15"/>
  <c r="L129" i="15"/>
  <c r="B129" i="15"/>
  <c r="Z128" i="15"/>
  <c r="X128" i="15"/>
  <c r="N128" i="15"/>
  <c r="L128" i="15"/>
  <c r="B128" i="15"/>
  <c r="Z127" i="15"/>
  <c r="X127" i="15"/>
  <c r="N127" i="15"/>
  <c r="L127" i="15"/>
  <c r="B127" i="15"/>
  <c r="X126" i="15"/>
  <c r="Z126" i="15" s="1"/>
  <c r="N126" i="15"/>
  <c r="L126" i="15"/>
  <c r="B126" i="15"/>
  <c r="Z125" i="15"/>
  <c r="X125" i="15"/>
  <c r="L125" i="15"/>
  <c r="N125" i="15" s="1"/>
  <c r="B125" i="15"/>
  <c r="T124" i="15"/>
  <c r="P124" i="15"/>
  <c r="X124" i="15" s="1"/>
  <c r="Z124" i="15" s="1"/>
  <c r="L124" i="15"/>
  <c r="H124" i="15"/>
  <c r="N124" i="15" s="1"/>
  <c r="D124" i="15"/>
  <c r="B124" i="15"/>
  <c r="Z123" i="15"/>
  <c r="X123" i="15"/>
  <c r="N123" i="15"/>
  <c r="L123" i="15"/>
  <c r="B123" i="15"/>
  <c r="X122" i="15"/>
  <c r="Z122" i="15" s="1"/>
  <c r="N122" i="15"/>
  <c r="L122" i="15"/>
  <c r="B122" i="15"/>
  <c r="T121" i="15"/>
  <c r="P121" i="15"/>
  <c r="X121" i="15" s="1"/>
  <c r="Z121" i="15" s="1"/>
  <c r="H121" i="15"/>
  <c r="D121" i="15"/>
  <c r="L121" i="15" s="1"/>
  <c r="N121" i="15" s="1"/>
  <c r="B121" i="15"/>
  <c r="Z120" i="15"/>
  <c r="X120" i="15"/>
  <c r="N120" i="15"/>
  <c r="L120" i="15"/>
  <c r="B120" i="15"/>
  <c r="Z119" i="15"/>
  <c r="X119" i="15"/>
  <c r="N119" i="15"/>
  <c r="L119" i="15"/>
  <c r="B119" i="15"/>
  <c r="X118" i="15"/>
  <c r="Z118" i="15" s="1"/>
  <c r="N118" i="15"/>
  <c r="L118" i="15"/>
  <c r="B118" i="15"/>
  <c r="T117" i="15"/>
  <c r="P117" i="15"/>
  <c r="X117" i="15" s="1"/>
  <c r="Z117" i="15" s="1"/>
  <c r="H117" i="15"/>
  <c r="D117" i="15"/>
  <c r="L117" i="15" s="1"/>
  <c r="N117" i="15" s="1"/>
  <c r="B117" i="15"/>
  <c r="Z116" i="15"/>
  <c r="X116" i="15"/>
  <c r="N116" i="15"/>
  <c r="L116" i="15"/>
  <c r="B116" i="15"/>
  <c r="Z115" i="15"/>
  <c r="X115" i="15"/>
  <c r="N115" i="15"/>
  <c r="L115" i="15"/>
  <c r="B115" i="15"/>
  <c r="X114" i="15"/>
  <c r="Z114" i="15" s="1"/>
  <c r="N114" i="15"/>
  <c r="L114" i="15"/>
  <c r="B114" i="15"/>
  <c r="Z113" i="15"/>
  <c r="X113" i="15"/>
  <c r="L113" i="15"/>
  <c r="N113" i="15" s="1"/>
  <c r="B113" i="15"/>
  <c r="T112" i="15"/>
  <c r="P112" i="15"/>
  <c r="X112" i="15" s="1"/>
  <c r="Z112" i="15" s="1"/>
  <c r="L112" i="15"/>
  <c r="H112" i="15"/>
  <c r="N112" i="15" s="1"/>
  <c r="D112" i="15"/>
  <c r="B112" i="15"/>
  <c r="Z111" i="15"/>
  <c r="X111" i="15"/>
  <c r="N111" i="15"/>
  <c r="L111" i="15"/>
  <c r="B111" i="15"/>
  <c r="X110" i="15"/>
  <c r="Z110" i="15" s="1"/>
  <c r="N110" i="15"/>
  <c r="L110" i="15"/>
  <c r="B110" i="15"/>
  <c r="Z109" i="15"/>
  <c r="X109" i="15"/>
  <c r="L109" i="15"/>
  <c r="N109" i="15" s="1"/>
  <c r="B109" i="15"/>
  <c r="Z108" i="15"/>
  <c r="X108" i="15"/>
  <c r="N108" i="15"/>
  <c r="L108" i="15"/>
  <c r="B108" i="15"/>
  <c r="T107" i="15"/>
  <c r="P107" i="15"/>
  <c r="X107" i="15" s="1"/>
  <c r="H107" i="15"/>
  <c r="D107" i="15"/>
  <c r="L107" i="15" s="1"/>
  <c r="N107" i="15" s="1"/>
  <c r="B107" i="15"/>
  <c r="X106" i="15"/>
  <c r="Z106" i="15" s="1"/>
  <c r="N106" i="15"/>
  <c r="L106" i="15"/>
  <c r="B106" i="15"/>
  <c r="T105" i="15"/>
  <c r="P105" i="15"/>
  <c r="X105" i="15" s="1"/>
  <c r="Z105" i="15" s="1"/>
  <c r="H105" i="15"/>
  <c r="L105" i="15" s="1"/>
  <c r="N105" i="15" s="1"/>
  <c r="D105" i="15"/>
  <c r="B105" i="15"/>
  <c r="Z104" i="15"/>
  <c r="X104" i="15"/>
  <c r="N104" i="15"/>
  <c r="L104" i="15"/>
  <c r="B104" i="15"/>
  <c r="T103" i="15"/>
  <c r="X103" i="15" s="1"/>
  <c r="Z103" i="15" s="1"/>
  <c r="P103" i="15"/>
  <c r="L103" i="15"/>
  <c r="H103" i="15"/>
  <c r="N103" i="15" s="1"/>
  <c r="D103" i="15"/>
  <c r="B103" i="15"/>
  <c r="Z102" i="15"/>
  <c r="X102" i="15"/>
  <c r="L102" i="15"/>
  <c r="N102" i="15" s="1"/>
  <c r="B102" i="15"/>
  <c r="X101" i="15"/>
  <c r="T101" i="15"/>
  <c r="Z101" i="15" s="1"/>
  <c r="P101" i="15"/>
  <c r="H101" i="15"/>
  <c r="D101" i="15"/>
  <c r="L101" i="15" s="1"/>
  <c r="B101" i="15"/>
  <c r="Z100" i="15"/>
  <c r="X100" i="15"/>
  <c r="N100" i="15"/>
  <c r="L100" i="15"/>
  <c r="B100" i="15"/>
  <c r="T99" i="15"/>
  <c r="P99" i="15"/>
  <c r="X99" i="15" s="1"/>
  <c r="H99" i="15"/>
  <c r="D99" i="15"/>
  <c r="L99" i="15" s="1"/>
  <c r="N99" i="15" s="1"/>
  <c r="B99" i="15"/>
  <c r="X98" i="15"/>
  <c r="Z98" i="15" s="1"/>
  <c r="N98" i="15"/>
  <c r="L98" i="15"/>
  <c r="B98" i="15"/>
  <c r="Z97" i="15"/>
  <c r="X97" i="15"/>
  <c r="N97" i="15"/>
  <c r="L97" i="15"/>
  <c r="B97" i="15"/>
  <c r="T96" i="15"/>
  <c r="P96" i="15"/>
  <c r="X96" i="15" s="1"/>
  <c r="Z96" i="15" s="1"/>
  <c r="L96" i="15"/>
  <c r="N96" i="15" s="1"/>
  <c r="H96" i="15"/>
  <c r="D96" i="15"/>
  <c r="B96" i="15"/>
  <c r="Z95" i="15"/>
  <c r="X95" i="15"/>
  <c r="L95" i="15"/>
  <c r="N95" i="15" s="1"/>
  <c r="B95" i="15"/>
  <c r="X94" i="15"/>
  <c r="Z94" i="15" s="1"/>
  <c r="N94" i="15"/>
  <c r="L94" i="15"/>
  <c r="B94" i="15"/>
  <c r="T93" i="15"/>
  <c r="P93" i="15"/>
  <c r="X93" i="15" s="1"/>
  <c r="Z93" i="15" s="1"/>
  <c r="H93" i="15"/>
  <c r="L93" i="15" s="1"/>
  <c r="N93" i="15" s="1"/>
  <c r="D93" i="15"/>
  <c r="B93" i="15"/>
  <c r="Z92" i="15"/>
  <c r="X92" i="15"/>
  <c r="N92" i="15"/>
  <c r="L92" i="15"/>
  <c r="B92" i="15"/>
  <c r="T91" i="15"/>
  <c r="X91" i="15" s="1"/>
  <c r="Z91" i="15" s="1"/>
  <c r="P91" i="15"/>
  <c r="L91" i="15"/>
  <c r="H91" i="15"/>
  <c r="N91" i="15" s="1"/>
  <c r="D91" i="15"/>
  <c r="B91" i="15"/>
  <c r="Z90" i="15"/>
  <c r="X90" i="15"/>
  <c r="L90" i="15"/>
  <c r="N90" i="15" s="1"/>
  <c r="B90" i="15"/>
  <c r="X89" i="15"/>
  <c r="T89" i="15"/>
  <c r="Z89" i="15" s="1"/>
  <c r="P89" i="15"/>
  <c r="H89" i="15"/>
  <c r="N89" i="15" s="1"/>
  <c r="D89" i="15"/>
  <c r="L89" i="15" s="1"/>
  <c r="B89" i="15"/>
  <c r="Z88" i="15"/>
  <c r="X88" i="15"/>
  <c r="N88" i="15"/>
  <c r="L88" i="15"/>
  <c r="B88" i="15"/>
  <c r="T87" i="15"/>
  <c r="Z87" i="15" s="1"/>
  <c r="P87" i="15"/>
  <c r="X87" i="15" s="1"/>
  <c r="H87" i="15"/>
  <c r="D87" i="15"/>
  <c r="L87" i="15" s="1"/>
  <c r="N87" i="15" s="1"/>
  <c r="B87" i="15"/>
  <c r="Z86" i="15"/>
  <c r="X86" i="15"/>
  <c r="N86" i="15"/>
  <c r="L86" i="15"/>
  <c r="B86" i="15"/>
  <c r="Z85" i="15"/>
  <c r="X85" i="15"/>
  <c r="N85" i="15"/>
  <c r="L85" i="15"/>
  <c r="B85" i="15"/>
  <c r="Z84" i="15"/>
  <c r="T84" i="15"/>
  <c r="P84" i="15"/>
  <c r="X84" i="15" s="1"/>
  <c r="N84" i="15"/>
  <c r="L84" i="15"/>
  <c r="H84" i="15"/>
  <c r="D84" i="15"/>
  <c r="B84" i="15"/>
  <c r="Z83" i="15"/>
  <c r="X83" i="15"/>
  <c r="L83" i="15"/>
  <c r="N83" i="15" s="1"/>
  <c r="B83" i="15"/>
  <c r="Z82" i="15"/>
  <c r="X82" i="15"/>
  <c r="N82" i="15"/>
  <c r="L82" i="15"/>
  <c r="B82" i="15"/>
  <c r="T81" i="15"/>
  <c r="P81" i="15"/>
  <c r="X81" i="15" s="1"/>
  <c r="Z81" i="15" s="1"/>
  <c r="N81" i="15"/>
  <c r="L81" i="15"/>
  <c r="H81" i="15"/>
  <c r="D81" i="15"/>
  <c r="B81" i="15"/>
  <c r="Z80" i="15"/>
  <c r="X80" i="15"/>
  <c r="N80" i="15"/>
  <c r="L80" i="15"/>
  <c r="B80" i="15"/>
  <c r="Z79" i="15"/>
  <c r="X79" i="15"/>
  <c r="T79" i="15"/>
  <c r="P79" i="15"/>
  <c r="L79" i="15"/>
  <c r="H79" i="15"/>
  <c r="N79" i="15" s="1"/>
  <c r="D79" i="15"/>
  <c r="B79" i="15"/>
  <c r="Z78" i="15"/>
  <c r="X78" i="15"/>
  <c r="L78" i="15"/>
  <c r="N78" i="15" s="1"/>
  <c r="B78" i="15"/>
  <c r="X77" i="15"/>
  <c r="T77" i="15"/>
  <c r="Z77" i="15" s="1"/>
  <c r="P77" i="15"/>
  <c r="H77" i="15"/>
  <c r="N77" i="15" s="1"/>
  <c r="D77" i="15"/>
  <c r="L77" i="15" s="1"/>
  <c r="B77" i="15"/>
  <c r="Z76" i="15"/>
  <c r="X76" i="15"/>
  <c r="N76" i="15"/>
  <c r="L76" i="15"/>
  <c r="B76" i="15"/>
  <c r="T75" i="15"/>
  <c r="Z75" i="15" s="1"/>
  <c r="P75" i="15"/>
  <c r="X75" i="15" s="1"/>
  <c r="H75" i="15"/>
  <c r="D75" i="15"/>
  <c r="L75" i="15" s="1"/>
  <c r="N75" i="15" s="1"/>
  <c r="B75" i="15"/>
  <c r="Z74" i="15"/>
  <c r="X74" i="15"/>
  <c r="N74" i="15"/>
  <c r="L74" i="15"/>
  <c r="B74" i="15"/>
  <c r="Z73" i="15"/>
  <c r="X73" i="15"/>
  <c r="N73" i="15"/>
  <c r="L73" i="15"/>
  <c r="B73" i="15"/>
  <c r="Z72" i="15"/>
  <c r="X72" i="15"/>
  <c r="N72" i="15"/>
  <c r="L72" i="15"/>
  <c r="B72" i="15"/>
  <c r="X71" i="15"/>
  <c r="Z71" i="15" s="1"/>
  <c r="N71" i="15"/>
  <c r="L71" i="15"/>
  <c r="B71" i="15"/>
  <c r="Z70" i="15"/>
  <c r="X70" i="15"/>
  <c r="N70" i="15"/>
  <c r="L70" i="15"/>
  <c r="B70" i="15"/>
  <c r="X69" i="15"/>
  <c r="Z69" i="15" s="1"/>
  <c r="N69" i="15"/>
  <c r="L69" i="15"/>
  <c r="B69" i="15"/>
  <c r="Z68" i="15"/>
  <c r="X68" i="15"/>
  <c r="N68" i="15"/>
  <c r="L68" i="15"/>
  <c r="B68" i="15"/>
  <c r="Z67" i="15"/>
  <c r="X67" i="15"/>
  <c r="N67" i="15"/>
  <c r="L67" i="15"/>
  <c r="B67" i="15"/>
  <c r="X66" i="15"/>
  <c r="Z66" i="15" s="1"/>
  <c r="N66" i="15"/>
  <c r="L66" i="15"/>
  <c r="B66" i="15"/>
  <c r="Z65" i="15"/>
  <c r="X65" i="15"/>
  <c r="L65" i="15"/>
  <c r="N65" i="15" s="1"/>
  <c r="B65" i="15"/>
  <c r="T64" i="15"/>
  <c r="P64" i="15"/>
  <c r="X64" i="15" s="1"/>
  <c r="Z64" i="15" s="1"/>
  <c r="L64" i="15"/>
  <c r="N64" i="15" s="1"/>
  <c r="H64" i="15"/>
  <c r="D64" i="15"/>
  <c r="B64" i="15"/>
  <c r="Z63" i="15"/>
  <c r="X63" i="15"/>
  <c r="L63" i="15"/>
  <c r="N63" i="15" s="1"/>
  <c r="B63" i="15"/>
  <c r="X62" i="15"/>
  <c r="Z62" i="15" s="1"/>
  <c r="N62" i="15"/>
  <c r="L62" i="15"/>
  <c r="B62" i="15"/>
  <c r="Z61" i="15"/>
  <c r="X61" i="15"/>
  <c r="L61" i="15"/>
  <c r="N61" i="15" s="1"/>
  <c r="B61" i="15"/>
  <c r="Z60" i="15"/>
  <c r="X60" i="15"/>
  <c r="N60" i="15"/>
  <c r="L60" i="15"/>
  <c r="B60" i="15"/>
  <c r="Z59" i="15"/>
  <c r="X59" i="15"/>
  <c r="N59" i="15"/>
  <c r="L59" i="15"/>
  <c r="B59" i="15"/>
  <c r="Z58" i="15"/>
  <c r="X58" i="15"/>
  <c r="L58" i="15"/>
  <c r="N58" i="15" s="1"/>
  <c r="B58" i="15"/>
  <c r="X57" i="15"/>
  <c r="Z57" i="15" s="1"/>
  <c r="N57" i="15"/>
  <c r="L57" i="15"/>
  <c r="B57" i="15"/>
  <c r="Z56" i="15"/>
  <c r="X56" i="15"/>
  <c r="N56" i="15"/>
  <c r="L56" i="15"/>
  <c r="B56" i="15"/>
  <c r="Z55" i="15"/>
  <c r="X55" i="15"/>
  <c r="N55" i="15"/>
  <c r="L55" i="15"/>
  <c r="B55" i="15"/>
  <c r="X54" i="15"/>
  <c r="Z54" i="15" s="1"/>
  <c r="L54" i="15"/>
  <c r="N54" i="15" s="1"/>
  <c r="B54" i="15"/>
  <c r="T53" i="15"/>
  <c r="P53" i="15"/>
  <c r="X53" i="15" s="1"/>
  <c r="Z53" i="15" s="1"/>
  <c r="N53" i="15"/>
  <c r="L53" i="15"/>
  <c r="H53" i="15"/>
  <c r="D53" i="15"/>
  <c r="B53" i="15"/>
  <c r="T52" i="15"/>
  <c r="P52" i="15"/>
  <c r="H52" i="15"/>
  <c r="D52" i="15"/>
  <c r="Z48" i="15"/>
  <c r="X48" i="15"/>
  <c r="N48" i="15"/>
  <c r="L48" i="15"/>
  <c r="B48" i="15"/>
  <c r="Z47" i="15"/>
  <c r="X47" i="15"/>
  <c r="V47" i="15"/>
  <c r="N47" i="15"/>
  <c r="L47" i="15"/>
  <c r="B47" i="15"/>
  <c r="Z46" i="15"/>
  <c r="X46" i="15"/>
  <c r="N46" i="15"/>
  <c r="L46" i="15"/>
  <c r="B46" i="15"/>
  <c r="Z45" i="15"/>
  <c r="X45" i="15"/>
  <c r="N45" i="15"/>
  <c r="L45" i="15"/>
  <c r="B45" i="15"/>
  <c r="Z44" i="15"/>
  <c r="X44" i="15"/>
  <c r="N44" i="15"/>
  <c r="L44" i="15"/>
  <c r="B44" i="15"/>
  <c r="Z43" i="15"/>
  <c r="X43" i="15"/>
  <c r="N43" i="15"/>
  <c r="L43" i="15"/>
  <c r="J43" i="15"/>
  <c r="B43" i="15"/>
  <c r="Z42" i="15"/>
  <c r="X42" i="15"/>
  <c r="N42" i="15"/>
  <c r="L42" i="15"/>
  <c r="B42" i="15"/>
  <c r="Z41" i="15"/>
  <c r="X41" i="15"/>
  <c r="V41" i="15"/>
  <c r="N41" i="15"/>
  <c r="L41" i="15"/>
  <c r="B41" i="15"/>
  <c r="Z40" i="15"/>
  <c r="X40" i="15"/>
  <c r="N40" i="15"/>
  <c r="L40" i="15"/>
  <c r="B40" i="15"/>
  <c r="Z39" i="15"/>
  <c r="X39" i="15"/>
  <c r="V39" i="15"/>
  <c r="N39" i="15"/>
  <c r="L39" i="15"/>
  <c r="B39" i="15"/>
  <c r="Z38" i="15"/>
  <c r="X38" i="15"/>
  <c r="N38" i="15"/>
  <c r="L38" i="15"/>
  <c r="B38" i="15"/>
  <c r="Z37" i="15"/>
  <c r="X37" i="15"/>
  <c r="N37" i="15"/>
  <c r="L37" i="15"/>
  <c r="J37" i="15"/>
  <c r="B37" i="15"/>
  <c r="Z36" i="15"/>
  <c r="X36" i="15"/>
  <c r="N36" i="15"/>
  <c r="L36" i="15"/>
  <c r="B36" i="15"/>
  <c r="Z35" i="15"/>
  <c r="X35" i="15"/>
  <c r="N35" i="15"/>
  <c r="L35" i="15"/>
  <c r="J35" i="15"/>
  <c r="B35" i="15"/>
  <c r="Z34" i="15"/>
  <c r="X34" i="15"/>
  <c r="N34" i="15"/>
  <c r="L34" i="15"/>
  <c r="B34" i="15"/>
  <c r="Z33" i="15"/>
  <c r="X33" i="15"/>
  <c r="V33" i="15"/>
  <c r="N33" i="15"/>
  <c r="L33" i="15"/>
  <c r="B33" i="15"/>
  <c r="Z32" i="15"/>
  <c r="X32" i="15"/>
  <c r="N32" i="15"/>
  <c r="L32" i="15"/>
  <c r="B32" i="15"/>
  <c r="Z31" i="15"/>
  <c r="X31" i="15"/>
  <c r="V31" i="15"/>
  <c r="N31" i="15"/>
  <c r="L31" i="15"/>
  <c r="B31" i="15"/>
  <c r="Z30" i="15"/>
  <c r="X30" i="15"/>
  <c r="N30" i="15"/>
  <c r="L30" i="15"/>
  <c r="J30" i="15"/>
  <c r="B30" i="15"/>
  <c r="Z29" i="15"/>
  <c r="X29" i="15"/>
  <c r="N29" i="15"/>
  <c r="L29" i="15"/>
  <c r="J29" i="15"/>
  <c r="B29" i="15"/>
  <c r="Z28" i="15"/>
  <c r="X28" i="15"/>
  <c r="N28" i="15"/>
  <c r="L28" i="15"/>
  <c r="B28" i="15"/>
  <c r="Z27" i="15"/>
  <c r="X27" i="15"/>
  <c r="N27" i="15"/>
  <c r="L27" i="15"/>
  <c r="J27" i="15"/>
  <c r="B27" i="15"/>
  <c r="Z26" i="15"/>
  <c r="X26" i="15"/>
  <c r="V26" i="15"/>
  <c r="N26" i="15"/>
  <c r="L26" i="15"/>
  <c r="B26" i="15"/>
  <c r="Z25" i="15"/>
  <c r="X25" i="15"/>
  <c r="V25" i="15"/>
  <c r="N25" i="15"/>
  <c r="L25" i="15"/>
  <c r="B25" i="15"/>
  <c r="Z24" i="15"/>
  <c r="X24" i="15"/>
  <c r="N24" i="15"/>
  <c r="L24" i="15"/>
  <c r="B24" i="15"/>
  <c r="Z23" i="15"/>
  <c r="X23" i="15"/>
  <c r="V23" i="15"/>
  <c r="N23" i="15"/>
  <c r="L23" i="15"/>
  <c r="B23" i="15"/>
  <c r="X22" i="15"/>
  <c r="Z22" i="15" s="1"/>
  <c r="L22" i="15"/>
  <c r="N22" i="15" s="1"/>
  <c r="J22" i="15"/>
  <c r="B22" i="15"/>
  <c r="T21" i="15"/>
  <c r="P21" i="15"/>
  <c r="X21" i="15" s="1"/>
  <c r="Z21" i="15" s="1"/>
  <c r="J21" i="15"/>
  <c r="H21" i="15"/>
  <c r="D21" i="15"/>
  <c r="L21" i="15" s="1"/>
  <c r="N21" i="15" s="1"/>
  <c r="Z19" i="15"/>
  <c r="P19" i="15"/>
  <c r="X19" i="15" s="1"/>
  <c r="N19" i="15"/>
  <c r="L19" i="15"/>
  <c r="D19" i="15"/>
  <c r="B19" i="15"/>
  <c r="Z18" i="15"/>
  <c r="P18" i="15"/>
  <c r="X18" i="15" s="1"/>
  <c r="N18" i="15"/>
  <c r="D18" i="15"/>
  <c r="L18" i="15" s="1"/>
  <c r="B18" i="15"/>
  <c r="Z17" i="15"/>
  <c r="X17" i="15"/>
  <c r="P17" i="15"/>
  <c r="N17" i="15"/>
  <c r="L17" i="15"/>
  <c r="D17" i="15"/>
  <c r="B17" i="15"/>
  <c r="Z16" i="15"/>
  <c r="X16" i="15"/>
  <c r="P16" i="15"/>
  <c r="N16" i="15"/>
  <c r="D16" i="15"/>
  <c r="L16" i="15" s="1"/>
  <c r="B16" i="15"/>
  <c r="Z15" i="15"/>
  <c r="P15" i="15"/>
  <c r="X15" i="15" s="1"/>
  <c r="N15" i="15"/>
  <c r="D15" i="15"/>
  <c r="L15" i="15" s="1"/>
  <c r="B15" i="15"/>
  <c r="X14" i="15"/>
  <c r="Z14" i="15" s="1"/>
  <c r="P14" i="15"/>
  <c r="N14" i="15"/>
  <c r="L14" i="15"/>
  <c r="D14" i="15"/>
  <c r="B14" i="15"/>
  <c r="P13" i="15"/>
  <c r="X13" i="15" s="1"/>
  <c r="Z13" i="15" s="1"/>
  <c r="L13" i="15"/>
  <c r="N13" i="15" s="1"/>
  <c r="D13" i="15"/>
  <c r="B13" i="15"/>
  <c r="T12" i="15"/>
  <c r="V148" i="15" s="1"/>
  <c r="P12" i="15"/>
  <c r="R137" i="15" s="1"/>
  <c r="H12" i="15"/>
  <c r="J147" i="15" s="1"/>
  <c r="D4" i="15"/>
  <c r="B39" i="14"/>
  <c r="B38" i="14"/>
  <c r="T34" i="14"/>
  <c r="Z34" i="14" s="1"/>
  <c r="P34" i="14"/>
  <c r="H34" i="14"/>
  <c r="N34" i="14" s="1"/>
  <c r="D34" i="14"/>
  <c r="T33" i="14"/>
  <c r="Z33" i="14" s="1"/>
  <c r="P33" i="14"/>
  <c r="H33" i="14"/>
  <c r="N33" i="14" s="1"/>
  <c r="D33" i="14"/>
  <c r="T29" i="14"/>
  <c r="Z29" i="14" s="1"/>
  <c r="P29" i="14"/>
  <c r="N29" i="14"/>
  <c r="H29" i="14"/>
  <c r="D29" i="14"/>
  <c r="T25" i="14"/>
  <c r="Z25" i="14" s="1"/>
  <c r="P25" i="14"/>
  <c r="H25" i="14"/>
  <c r="N25" i="14" s="1"/>
  <c r="D25" i="14"/>
  <c r="B25" i="14"/>
  <c r="T24" i="14"/>
  <c r="Z24" i="14" s="1"/>
  <c r="P24" i="14"/>
  <c r="H24" i="14"/>
  <c r="N24" i="14" s="1"/>
  <c r="D24" i="14"/>
  <c r="T22" i="14"/>
  <c r="Z22" i="14" s="1"/>
  <c r="P22" i="14"/>
  <c r="H22" i="14"/>
  <c r="N22" i="14" s="1"/>
  <c r="D22" i="14"/>
  <c r="B22" i="14"/>
  <c r="T21" i="14"/>
  <c r="Z21" i="14" s="1"/>
  <c r="P21" i="14"/>
  <c r="H21" i="14"/>
  <c r="N21" i="14" s="1"/>
  <c r="D21" i="14"/>
  <c r="B21" i="14"/>
  <c r="T20" i="14"/>
  <c r="Z20" i="14" s="1"/>
  <c r="P20" i="14"/>
  <c r="H20" i="14"/>
  <c r="N20" i="14" s="1"/>
  <c r="D20" i="14"/>
  <c r="T16" i="14"/>
  <c r="Z16" i="14" s="1"/>
  <c r="P16" i="14"/>
  <c r="H16" i="14"/>
  <c r="N16" i="14" s="1"/>
  <c r="D16" i="14"/>
  <c r="B16" i="14"/>
  <c r="T15" i="14"/>
  <c r="Z15" i="14" s="1"/>
  <c r="P15" i="14"/>
  <c r="H15" i="14"/>
  <c r="N15" i="14" s="1"/>
  <c r="D15" i="14"/>
  <c r="T13" i="14"/>
  <c r="Z13" i="14" s="1"/>
  <c r="P13" i="14"/>
  <c r="H13" i="14"/>
  <c r="N13" i="14" s="1"/>
  <c r="D13" i="14"/>
  <c r="B13" i="14"/>
  <c r="T12" i="14"/>
  <c r="V24" i="14" s="1"/>
  <c r="P12" i="14"/>
  <c r="R22" i="14" s="1"/>
  <c r="H12" i="14"/>
  <c r="J24" i="14" s="1"/>
  <c r="D12" i="14"/>
  <c r="D5" i="14"/>
  <c r="D4" i="14"/>
  <c r="B39" i="13"/>
  <c r="B38" i="13"/>
  <c r="T34" i="13"/>
  <c r="Z34" i="13" s="1"/>
  <c r="P34" i="13"/>
  <c r="H34" i="13"/>
  <c r="N34" i="13" s="1"/>
  <c r="D34" i="13"/>
  <c r="T33" i="13"/>
  <c r="Z33" i="13" s="1"/>
  <c r="P33" i="13"/>
  <c r="H33" i="13"/>
  <c r="N33" i="13" s="1"/>
  <c r="D33" i="13"/>
  <c r="T29" i="13"/>
  <c r="Z29" i="13" s="1"/>
  <c r="P29" i="13"/>
  <c r="H29" i="13"/>
  <c r="N29" i="13" s="1"/>
  <c r="D29" i="13"/>
  <c r="T25" i="13"/>
  <c r="Z25" i="13" s="1"/>
  <c r="P25" i="13"/>
  <c r="H25" i="13"/>
  <c r="N25" i="13" s="1"/>
  <c r="D25" i="13"/>
  <c r="B25" i="13"/>
  <c r="T24" i="13"/>
  <c r="Z24" i="13" s="1"/>
  <c r="P24" i="13"/>
  <c r="H24" i="13"/>
  <c r="N24" i="13" s="1"/>
  <c r="D24" i="13"/>
  <c r="T22" i="13"/>
  <c r="Z22" i="13" s="1"/>
  <c r="P22" i="13"/>
  <c r="H22" i="13"/>
  <c r="N22" i="13" s="1"/>
  <c r="D22" i="13"/>
  <c r="B22" i="13"/>
  <c r="T21" i="13"/>
  <c r="Z21" i="13" s="1"/>
  <c r="P21" i="13"/>
  <c r="H21" i="13"/>
  <c r="N21" i="13" s="1"/>
  <c r="D21" i="13"/>
  <c r="B21" i="13"/>
  <c r="T20" i="13"/>
  <c r="Z20" i="13" s="1"/>
  <c r="P20" i="13"/>
  <c r="H20" i="13"/>
  <c r="N20" i="13" s="1"/>
  <c r="D20" i="13"/>
  <c r="T16" i="13"/>
  <c r="Z16" i="13" s="1"/>
  <c r="P16" i="13"/>
  <c r="H16" i="13"/>
  <c r="N16" i="13" s="1"/>
  <c r="D16" i="13"/>
  <c r="B16" i="13"/>
  <c r="T15" i="13"/>
  <c r="Z15" i="13" s="1"/>
  <c r="P15" i="13"/>
  <c r="H15" i="13"/>
  <c r="N15" i="13" s="1"/>
  <c r="D15" i="13"/>
  <c r="T13" i="13"/>
  <c r="Z13" i="13" s="1"/>
  <c r="P13" i="13"/>
  <c r="H13" i="13"/>
  <c r="N13" i="13" s="1"/>
  <c r="D13" i="13"/>
  <c r="B13" i="13"/>
  <c r="T12" i="13"/>
  <c r="V20" i="13" s="1"/>
  <c r="P12" i="13"/>
  <c r="R34" i="13" s="1"/>
  <c r="H12" i="13"/>
  <c r="J27" i="13" s="1"/>
  <c r="D12" i="13"/>
  <c r="F20" i="13" s="1"/>
  <c r="D5" i="13"/>
  <c r="D4" i="13"/>
  <c r="Z160" i="12"/>
  <c r="X160" i="12"/>
  <c r="L160" i="12"/>
  <c r="N160" i="12" s="1"/>
  <c r="Z156" i="12"/>
  <c r="P156" i="12"/>
  <c r="X156" i="12" s="1"/>
  <c r="N156" i="12"/>
  <c r="D156" i="12"/>
  <c r="L156" i="12" s="1"/>
  <c r="B156" i="12"/>
  <c r="Z155" i="12"/>
  <c r="X155" i="12"/>
  <c r="P155" i="12"/>
  <c r="N155" i="12"/>
  <c r="D155" i="12"/>
  <c r="L155" i="12" s="1"/>
  <c r="B155" i="12"/>
  <c r="Z154" i="12"/>
  <c r="P154" i="12"/>
  <c r="X154" i="12" s="1"/>
  <c r="N154" i="12"/>
  <c r="L154" i="12"/>
  <c r="D154" i="12"/>
  <c r="B154" i="12"/>
  <c r="Z153" i="12"/>
  <c r="X153" i="12"/>
  <c r="P153" i="12"/>
  <c r="D153" i="12"/>
  <c r="L153" i="12" s="1"/>
  <c r="N153" i="12" s="1"/>
  <c r="B153" i="12"/>
  <c r="P152" i="12"/>
  <c r="X152" i="12" s="1"/>
  <c r="Z152" i="12" s="1"/>
  <c r="N152" i="12"/>
  <c r="L152" i="12"/>
  <c r="D152" i="12"/>
  <c r="B152" i="12"/>
  <c r="T151" i="12"/>
  <c r="Z151" i="12" s="1"/>
  <c r="P151" i="12"/>
  <c r="X151" i="12" s="1"/>
  <c r="H151" i="12"/>
  <c r="X149" i="12"/>
  <c r="Z149" i="12" s="1"/>
  <c r="L149" i="12"/>
  <c r="N149" i="12" s="1"/>
  <c r="B149" i="12"/>
  <c r="T148" i="12"/>
  <c r="P148" i="12"/>
  <c r="X148" i="12" s="1"/>
  <c r="Z148" i="12" s="1"/>
  <c r="N148" i="12"/>
  <c r="L148" i="12"/>
  <c r="H148" i="12"/>
  <c r="D148" i="12"/>
  <c r="B148" i="12"/>
  <c r="Z147" i="12"/>
  <c r="X147" i="12"/>
  <c r="N147" i="12"/>
  <c r="L147" i="12"/>
  <c r="B147" i="12"/>
  <c r="Z146" i="12"/>
  <c r="X146" i="12"/>
  <c r="N146" i="12"/>
  <c r="L146" i="12"/>
  <c r="B146" i="12"/>
  <c r="X145" i="12"/>
  <c r="Z145" i="12" s="1"/>
  <c r="L145" i="12"/>
  <c r="N145" i="12" s="1"/>
  <c r="B145" i="12"/>
  <c r="T144" i="12"/>
  <c r="P144" i="12"/>
  <c r="X144" i="12" s="1"/>
  <c r="Z144" i="12" s="1"/>
  <c r="N144" i="12"/>
  <c r="L144" i="12"/>
  <c r="H144" i="12"/>
  <c r="D144" i="12"/>
  <c r="B144" i="12"/>
  <c r="Z143" i="12"/>
  <c r="X143" i="12"/>
  <c r="N143" i="12"/>
  <c r="L143" i="12"/>
  <c r="B143" i="12"/>
  <c r="Z142" i="12"/>
  <c r="X142" i="12"/>
  <c r="T142" i="12"/>
  <c r="P142" i="12"/>
  <c r="L142" i="12"/>
  <c r="H142" i="12"/>
  <c r="N142" i="12" s="1"/>
  <c r="D142" i="12"/>
  <c r="B142" i="12"/>
  <c r="X141" i="12"/>
  <c r="Z141" i="12" s="1"/>
  <c r="L141" i="12"/>
  <c r="N141" i="12" s="1"/>
  <c r="B141" i="12"/>
  <c r="X140" i="12"/>
  <c r="Z140" i="12" s="1"/>
  <c r="N140" i="12"/>
  <c r="L140" i="12"/>
  <c r="B140" i="12"/>
  <c r="T139" i="12"/>
  <c r="P139" i="12"/>
  <c r="H139" i="12"/>
  <c r="N139" i="12" s="1"/>
  <c r="D139" i="12"/>
  <c r="L139" i="12" s="1"/>
  <c r="B139" i="12"/>
  <c r="Z138" i="12"/>
  <c r="X138" i="12"/>
  <c r="N138" i="12"/>
  <c r="L138" i="12"/>
  <c r="B138" i="12"/>
  <c r="X137" i="12"/>
  <c r="Z137" i="12" s="1"/>
  <c r="L137" i="12"/>
  <c r="N137" i="12" s="1"/>
  <c r="B137" i="12"/>
  <c r="X136" i="12"/>
  <c r="Z136" i="12" s="1"/>
  <c r="N136" i="12"/>
  <c r="L136" i="12"/>
  <c r="B136" i="12"/>
  <c r="Z135" i="12"/>
  <c r="X135" i="12"/>
  <c r="N135" i="12"/>
  <c r="L135" i="12"/>
  <c r="B135" i="12"/>
  <c r="Z134" i="12"/>
  <c r="X134" i="12"/>
  <c r="N134" i="12"/>
  <c r="L134" i="12"/>
  <c r="B134" i="12"/>
  <c r="X133" i="12"/>
  <c r="Z133" i="12" s="1"/>
  <c r="L133" i="12"/>
  <c r="N133" i="12" s="1"/>
  <c r="B133" i="12"/>
  <c r="Z132" i="12"/>
  <c r="X132" i="12"/>
  <c r="L132" i="12"/>
  <c r="N132" i="12" s="1"/>
  <c r="B132" i="12"/>
  <c r="T131" i="12"/>
  <c r="Z131" i="12" s="1"/>
  <c r="P131" i="12"/>
  <c r="X131" i="12" s="1"/>
  <c r="L131" i="12"/>
  <c r="N131" i="12" s="1"/>
  <c r="H131" i="12"/>
  <c r="D131" i="12"/>
  <c r="B131" i="12"/>
  <c r="Z130" i="12"/>
  <c r="X130" i="12"/>
  <c r="N130" i="12"/>
  <c r="L130" i="12"/>
  <c r="B130" i="12"/>
  <c r="X129" i="12"/>
  <c r="Z129" i="12" s="1"/>
  <c r="L129" i="12"/>
  <c r="N129" i="12" s="1"/>
  <c r="B129" i="12"/>
  <c r="T128" i="12"/>
  <c r="P128" i="12"/>
  <c r="X128" i="12" s="1"/>
  <c r="Z128" i="12" s="1"/>
  <c r="N128" i="12"/>
  <c r="L128" i="12"/>
  <c r="H128" i="12"/>
  <c r="D128" i="12"/>
  <c r="B128" i="12"/>
  <c r="Z127" i="12"/>
  <c r="X127" i="12"/>
  <c r="N127" i="12"/>
  <c r="L127" i="12"/>
  <c r="B127" i="12"/>
  <c r="Z126" i="12"/>
  <c r="X126" i="12"/>
  <c r="N126" i="12"/>
  <c r="L126" i="12"/>
  <c r="B126" i="12"/>
  <c r="X125" i="12"/>
  <c r="Z125" i="12" s="1"/>
  <c r="L125" i="12"/>
  <c r="N125" i="12" s="1"/>
  <c r="B125" i="12"/>
  <c r="Z124" i="12"/>
  <c r="X124" i="12"/>
  <c r="L124" i="12"/>
  <c r="N124" i="12" s="1"/>
  <c r="B124" i="12"/>
  <c r="T123" i="12"/>
  <c r="P123" i="12"/>
  <c r="X123" i="12" s="1"/>
  <c r="L123" i="12"/>
  <c r="N123" i="12" s="1"/>
  <c r="H123" i="12"/>
  <c r="D123" i="12"/>
  <c r="B123" i="12"/>
  <c r="Z122" i="12"/>
  <c r="X122" i="12"/>
  <c r="N122" i="12"/>
  <c r="L122" i="12"/>
  <c r="B122" i="12"/>
  <c r="Z121" i="12"/>
  <c r="X121" i="12"/>
  <c r="N121" i="12"/>
  <c r="L121" i="12"/>
  <c r="B121" i="12"/>
  <c r="Z120" i="12"/>
  <c r="X120" i="12"/>
  <c r="N120" i="12"/>
  <c r="L120" i="12"/>
  <c r="B120" i="12"/>
  <c r="Z119" i="12"/>
  <c r="X119" i="12"/>
  <c r="N119" i="12"/>
  <c r="L119" i="12"/>
  <c r="B119" i="12"/>
  <c r="T118" i="12"/>
  <c r="Z118" i="12" s="1"/>
  <c r="P118" i="12"/>
  <c r="X118" i="12" s="1"/>
  <c r="H118" i="12"/>
  <c r="D118" i="12"/>
  <c r="L118" i="12" s="1"/>
  <c r="N118" i="12" s="1"/>
  <c r="B118" i="12"/>
  <c r="X117" i="12"/>
  <c r="Z117" i="12" s="1"/>
  <c r="L117" i="12"/>
  <c r="N117" i="12" s="1"/>
  <c r="B117" i="12"/>
  <c r="Z116" i="12"/>
  <c r="X116" i="12"/>
  <c r="L116" i="12"/>
  <c r="N116" i="12" s="1"/>
  <c r="B116" i="12"/>
  <c r="Z115" i="12"/>
  <c r="X115" i="12"/>
  <c r="N115" i="12"/>
  <c r="L115" i="12"/>
  <c r="B115" i="12"/>
  <c r="X114" i="12"/>
  <c r="Z114" i="12" s="1"/>
  <c r="N114" i="12"/>
  <c r="L114" i="12"/>
  <c r="B114" i="12"/>
  <c r="T113" i="12"/>
  <c r="P113" i="12"/>
  <c r="X113" i="12" s="1"/>
  <c r="H113" i="12"/>
  <c r="D113" i="12"/>
  <c r="L113" i="12" s="1"/>
  <c r="B113" i="12"/>
  <c r="Z112" i="12"/>
  <c r="X112" i="12"/>
  <c r="L112" i="12"/>
  <c r="N112" i="12" s="1"/>
  <c r="B112" i="12"/>
  <c r="T111" i="12"/>
  <c r="P111" i="12"/>
  <c r="X111" i="12" s="1"/>
  <c r="L111" i="12"/>
  <c r="N111" i="12" s="1"/>
  <c r="H111" i="12"/>
  <c r="D111" i="12"/>
  <c r="B111" i="12"/>
  <c r="Z110" i="12"/>
  <c r="X110" i="12"/>
  <c r="N110" i="12"/>
  <c r="L110" i="12"/>
  <c r="B110" i="12"/>
  <c r="X109" i="12"/>
  <c r="Z109" i="12" s="1"/>
  <c r="T109" i="12"/>
  <c r="P109" i="12"/>
  <c r="H109" i="12"/>
  <c r="N109" i="12" s="1"/>
  <c r="D109" i="12"/>
  <c r="B109" i="12"/>
  <c r="X108" i="12"/>
  <c r="Z108" i="12" s="1"/>
  <c r="N108" i="12"/>
  <c r="L108" i="12"/>
  <c r="B108" i="12"/>
  <c r="T107" i="12"/>
  <c r="P107" i="12"/>
  <c r="H107" i="12"/>
  <c r="D107" i="12"/>
  <c r="L107" i="12" s="1"/>
  <c r="B107" i="12"/>
  <c r="Z106" i="12"/>
  <c r="X106" i="12"/>
  <c r="N106" i="12"/>
  <c r="L106" i="12"/>
  <c r="B106" i="12"/>
  <c r="T105" i="12"/>
  <c r="P105" i="12"/>
  <c r="X105" i="12" s="1"/>
  <c r="H105" i="12"/>
  <c r="N105" i="12" s="1"/>
  <c r="D105" i="12"/>
  <c r="L105" i="12" s="1"/>
  <c r="B105" i="12"/>
  <c r="Z104" i="12"/>
  <c r="X104" i="12"/>
  <c r="L104" i="12"/>
  <c r="N104" i="12" s="1"/>
  <c r="B104" i="12"/>
  <c r="T103" i="12"/>
  <c r="P103" i="12"/>
  <c r="X103" i="12" s="1"/>
  <c r="L103" i="12"/>
  <c r="N103" i="12" s="1"/>
  <c r="H103" i="12"/>
  <c r="D103" i="12"/>
  <c r="B103" i="12"/>
  <c r="Z102" i="12"/>
  <c r="X102" i="12"/>
  <c r="N102" i="12"/>
  <c r="L102" i="12"/>
  <c r="B102" i="12"/>
  <c r="X101" i="12"/>
  <c r="Z101" i="12" s="1"/>
  <c r="N101" i="12"/>
  <c r="L101" i="12"/>
  <c r="B101" i="12"/>
  <c r="T100" i="12"/>
  <c r="P100" i="12"/>
  <c r="X100" i="12" s="1"/>
  <c r="Z100" i="12" s="1"/>
  <c r="N100" i="12"/>
  <c r="L100" i="12"/>
  <c r="H100" i="12"/>
  <c r="D100" i="12"/>
  <c r="B100" i="12"/>
  <c r="Z99" i="12"/>
  <c r="X99" i="12"/>
  <c r="N99" i="12"/>
  <c r="L99" i="12"/>
  <c r="B99" i="12"/>
  <c r="Z98" i="12"/>
  <c r="X98" i="12"/>
  <c r="N98" i="12"/>
  <c r="L98" i="12"/>
  <c r="B98" i="12"/>
  <c r="X97" i="12"/>
  <c r="Z97" i="12" s="1"/>
  <c r="T97" i="12"/>
  <c r="P97" i="12"/>
  <c r="H97" i="12"/>
  <c r="D97" i="12"/>
  <c r="B97" i="12"/>
  <c r="X96" i="12"/>
  <c r="Z96" i="12" s="1"/>
  <c r="N96" i="12"/>
  <c r="L96" i="12"/>
  <c r="B96" i="12"/>
  <c r="T95" i="12"/>
  <c r="P95" i="12"/>
  <c r="H95" i="12"/>
  <c r="D95" i="12"/>
  <c r="L95" i="12" s="1"/>
  <c r="B95" i="12"/>
  <c r="X94" i="12"/>
  <c r="Z94" i="12" s="1"/>
  <c r="N94" i="12"/>
  <c r="L94" i="12"/>
  <c r="B94" i="12"/>
  <c r="T93" i="12"/>
  <c r="Z93" i="12" s="1"/>
  <c r="P93" i="12"/>
  <c r="X93" i="12" s="1"/>
  <c r="H93" i="12"/>
  <c r="D93" i="12"/>
  <c r="L93" i="12" s="1"/>
  <c r="B93" i="12"/>
  <c r="Z92" i="12"/>
  <c r="X92" i="12"/>
  <c r="L92" i="12"/>
  <c r="N92" i="12" s="1"/>
  <c r="B92" i="12"/>
  <c r="T91" i="12"/>
  <c r="P91" i="12"/>
  <c r="X91" i="12" s="1"/>
  <c r="L91" i="12"/>
  <c r="N91" i="12" s="1"/>
  <c r="H91" i="12"/>
  <c r="D91" i="12"/>
  <c r="B91" i="12"/>
  <c r="Z90" i="12"/>
  <c r="X90" i="12"/>
  <c r="N90" i="12"/>
  <c r="L90" i="12"/>
  <c r="B90" i="12"/>
  <c r="Z89" i="12"/>
  <c r="X89" i="12"/>
  <c r="N89" i="12"/>
  <c r="L89" i="12"/>
  <c r="B89" i="12"/>
  <c r="Z88" i="12"/>
  <c r="T88" i="12"/>
  <c r="P88" i="12"/>
  <c r="X88" i="12" s="1"/>
  <c r="N88" i="12"/>
  <c r="L88" i="12"/>
  <c r="H88" i="12"/>
  <c r="D88" i="12"/>
  <c r="B88" i="12"/>
  <c r="X87" i="12"/>
  <c r="Z87" i="12" s="1"/>
  <c r="N87" i="12"/>
  <c r="L87" i="12"/>
  <c r="B87" i="12"/>
  <c r="Z86" i="12"/>
  <c r="X86" i="12"/>
  <c r="N86" i="12"/>
  <c r="L86" i="12"/>
  <c r="B86" i="12"/>
  <c r="X85" i="12"/>
  <c r="Z85" i="12" s="1"/>
  <c r="T85" i="12"/>
  <c r="P85" i="12"/>
  <c r="H85" i="12"/>
  <c r="D85" i="12"/>
  <c r="B85" i="12"/>
  <c r="X84" i="12"/>
  <c r="Z84" i="12" s="1"/>
  <c r="N84" i="12"/>
  <c r="L84" i="12"/>
  <c r="B84" i="12"/>
  <c r="T83" i="12"/>
  <c r="P83" i="12"/>
  <c r="H83" i="12"/>
  <c r="D83" i="12"/>
  <c r="L83" i="12" s="1"/>
  <c r="B83" i="12"/>
  <c r="X82" i="12"/>
  <c r="Z82" i="12" s="1"/>
  <c r="N82" i="12"/>
  <c r="L82" i="12"/>
  <c r="B82" i="12"/>
  <c r="T81" i="12"/>
  <c r="Z81" i="12" s="1"/>
  <c r="P81" i="12"/>
  <c r="X81" i="12" s="1"/>
  <c r="H81" i="12"/>
  <c r="N81" i="12" s="1"/>
  <c r="D81" i="12"/>
  <c r="L81" i="12" s="1"/>
  <c r="B81" i="12"/>
  <c r="Z80" i="12"/>
  <c r="X80" i="12"/>
  <c r="L80" i="12"/>
  <c r="N80" i="12" s="1"/>
  <c r="B80" i="12"/>
  <c r="T79" i="12"/>
  <c r="P79" i="12"/>
  <c r="X79" i="12" s="1"/>
  <c r="L79" i="12"/>
  <c r="N79" i="12" s="1"/>
  <c r="H79" i="12"/>
  <c r="D79" i="12"/>
  <c r="B79" i="12"/>
  <c r="Z78" i="12"/>
  <c r="X78" i="12"/>
  <c r="N78" i="12"/>
  <c r="L78" i="12"/>
  <c r="B78" i="12"/>
  <c r="Z77" i="12"/>
  <c r="X77" i="12"/>
  <c r="N77" i="12"/>
  <c r="L77" i="12"/>
  <c r="B77" i="12"/>
  <c r="Z76" i="12"/>
  <c r="X76" i="12"/>
  <c r="L76" i="12"/>
  <c r="N76" i="12" s="1"/>
  <c r="B76" i="12"/>
  <c r="X75" i="12"/>
  <c r="Z75" i="12" s="1"/>
  <c r="L75" i="12"/>
  <c r="N75" i="12" s="1"/>
  <c r="B75" i="12"/>
  <c r="Z74" i="12"/>
  <c r="X74" i="12"/>
  <c r="N74" i="12"/>
  <c r="L74" i="12"/>
  <c r="B74" i="12"/>
  <c r="X73" i="12"/>
  <c r="Z73" i="12" s="1"/>
  <c r="L73" i="12"/>
  <c r="N73" i="12" s="1"/>
  <c r="B73" i="12"/>
  <c r="X72" i="12"/>
  <c r="Z72" i="12" s="1"/>
  <c r="N72" i="12"/>
  <c r="L72" i="12"/>
  <c r="B72" i="12"/>
  <c r="Z71" i="12"/>
  <c r="X71" i="12"/>
  <c r="N71" i="12"/>
  <c r="L71" i="12"/>
  <c r="B71" i="12"/>
  <c r="Z70" i="12"/>
  <c r="X70" i="12"/>
  <c r="N70" i="12"/>
  <c r="L70" i="12"/>
  <c r="B70" i="12"/>
  <c r="X69" i="12"/>
  <c r="Z69" i="12" s="1"/>
  <c r="L69" i="12"/>
  <c r="N69" i="12" s="1"/>
  <c r="B69" i="12"/>
  <c r="T68" i="12"/>
  <c r="P68" i="12"/>
  <c r="X68" i="12" s="1"/>
  <c r="Z68" i="12" s="1"/>
  <c r="N68" i="12"/>
  <c r="L68" i="12"/>
  <c r="H68" i="12"/>
  <c r="D68" i="12"/>
  <c r="B68" i="12"/>
  <c r="X67" i="12"/>
  <c r="Z67" i="12" s="1"/>
  <c r="N67" i="12"/>
  <c r="L67" i="12"/>
  <c r="B67" i="12"/>
  <c r="Z66" i="12"/>
  <c r="X66" i="12"/>
  <c r="N66" i="12"/>
  <c r="L66" i="12"/>
  <c r="B66" i="12"/>
  <c r="X65" i="12"/>
  <c r="Z65" i="12" s="1"/>
  <c r="L65" i="12"/>
  <c r="N65" i="12" s="1"/>
  <c r="B65" i="12"/>
  <c r="Z64" i="12"/>
  <c r="X64" i="12"/>
  <c r="N64" i="12"/>
  <c r="L64" i="12"/>
  <c r="B64" i="12"/>
  <c r="Z63" i="12"/>
  <c r="X63" i="12"/>
  <c r="N63" i="12"/>
  <c r="L63" i="12"/>
  <c r="B63" i="12"/>
  <c r="Z62" i="12"/>
  <c r="X62" i="12"/>
  <c r="N62" i="12"/>
  <c r="L62" i="12"/>
  <c r="B62" i="12"/>
  <c r="X61" i="12"/>
  <c r="Z61" i="12" s="1"/>
  <c r="L61" i="12"/>
  <c r="N61" i="12" s="1"/>
  <c r="B61" i="12"/>
  <c r="X60" i="12"/>
  <c r="Z60" i="12" s="1"/>
  <c r="N60" i="12"/>
  <c r="L60" i="12"/>
  <c r="B60" i="12"/>
  <c r="X59" i="12"/>
  <c r="Z59" i="12" s="1"/>
  <c r="N59" i="12"/>
  <c r="L59" i="12"/>
  <c r="B59" i="12"/>
  <c r="Z58" i="12"/>
  <c r="X58" i="12"/>
  <c r="N58" i="12"/>
  <c r="L58" i="12"/>
  <c r="B58" i="12"/>
  <c r="X57" i="12"/>
  <c r="Z57" i="12" s="1"/>
  <c r="T57" i="12"/>
  <c r="P57" i="12"/>
  <c r="H57" i="12"/>
  <c r="D57" i="12"/>
  <c r="B57" i="12"/>
  <c r="X56" i="12"/>
  <c r="T56" i="12"/>
  <c r="P56" i="12"/>
  <c r="H56" i="12"/>
  <c r="D56" i="12"/>
  <c r="Z52" i="12"/>
  <c r="X52" i="12"/>
  <c r="N52" i="12"/>
  <c r="L52" i="12"/>
  <c r="B52" i="12"/>
  <c r="Z51" i="12"/>
  <c r="X51" i="12"/>
  <c r="N51" i="12"/>
  <c r="L51" i="12"/>
  <c r="B51" i="12"/>
  <c r="Z50" i="12"/>
  <c r="X50" i="12"/>
  <c r="N50" i="12"/>
  <c r="L50" i="12"/>
  <c r="B50" i="12"/>
  <c r="Z49" i="12"/>
  <c r="X49" i="12"/>
  <c r="N49" i="12"/>
  <c r="L49" i="12"/>
  <c r="J49" i="12"/>
  <c r="B49" i="12"/>
  <c r="Z48" i="12"/>
  <c r="X48" i="12"/>
  <c r="N48" i="12"/>
  <c r="L48" i="12"/>
  <c r="B48" i="12"/>
  <c r="Z47" i="12"/>
  <c r="X47" i="12"/>
  <c r="N47" i="12"/>
  <c r="L47" i="12"/>
  <c r="B47" i="12"/>
  <c r="Z46" i="12"/>
  <c r="X46" i="12"/>
  <c r="N46" i="12"/>
  <c r="L46" i="12"/>
  <c r="J46" i="12"/>
  <c r="B46" i="12"/>
  <c r="Z45" i="12"/>
  <c r="X45" i="12"/>
  <c r="N45" i="12"/>
  <c r="L45" i="12"/>
  <c r="B45" i="12"/>
  <c r="Z44" i="12"/>
  <c r="X44" i="12"/>
  <c r="N44" i="12"/>
  <c r="L44" i="12"/>
  <c r="B44" i="12"/>
  <c r="Z43" i="12"/>
  <c r="X43" i="12"/>
  <c r="N43" i="12"/>
  <c r="L43" i="12"/>
  <c r="B43" i="12"/>
  <c r="Z42" i="12"/>
  <c r="X42" i="12"/>
  <c r="N42" i="12"/>
  <c r="L42" i="12"/>
  <c r="B42" i="12"/>
  <c r="Z41" i="12"/>
  <c r="X41" i="12"/>
  <c r="N41" i="12"/>
  <c r="L41" i="12"/>
  <c r="J41" i="12"/>
  <c r="B41" i="12"/>
  <c r="Z40" i="12"/>
  <c r="X40" i="12"/>
  <c r="N40" i="12"/>
  <c r="L40" i="12"/>
  <c r="J40" i="12"/>
  <c r="B40" i="12"/>
  <c r="Z39" i="12"/>
  <c r="X39" i="12"/>
  <c r="N39" i="12"/>
  <c r="L39" i="12"/>
  <c r="J39" i="12"/>
  <c r="B39" i="12"/>
  <c r="Z38" i="12"/>
  <c r="X38" i="12"/>
  <c r="N38" i="12"/>
  <c r="L38" i="12"/>
  <c r="J38" i="12"/>
  <c r="B38" i="12"/>
  <c r="Z37" i="12"/>
  <c r="X37" i="12"/>
  <c r="N37" i="12"/>
  <c r="L37" i="12"/>
  <c r="B37" i="12"/>
  <c r="Z36" i="12"/>
  <c r="X36" i="12"/>
  <c r="N36" i="12"/>
  <c r="L36" i="12"/>
  <c r="B36" i="12"/>
  <c r="Z35" i="12"/>
  <c r="X35" i="12"/>
  <c r="N35" i="12"/>
  <c r="L35" i="12"/>
  <c r="B35" i="12"/>
  <c r="Z34" i="12"/>
  <c r="X34" i="12"/>
  <c r="N34" i="12"/>
  <c r="L34" i="12"/>
  <c r="B34" i="12"/>
  <c r="Z33" i="12"/>
  <c r="X33" i="12"/>
  <c r="N33" i="12"/>
  <c r="L33" i="12"/>
  <c r="J33" i="12"/>
  <c r="B33" i="12"/>
  <c r="Z32" i="12"/>
  <c r="X32" i="12"/>
  <c r="N32" i="12"/>
  <c r="L32" i="12"/>
  <c r="J32" i="12"/>
  <c r="B32" i="12"/>
  <c r="Z31" i="12"/>
  <c r="X31" i="12"/>
  <c r="N31" i="12"/>
  <c r="L31" i="12"/>
  <c r="J31" i="12"/>
  <c r="B31" i="12"/>
  <c r="Z30" i="12"/>
  <c r="X30" i="12"/>
  <c r="N30" i="12"/>
  <c r="L30" i="12"/>
  <c r="J30" i="12"/>
  <c r="B30" i="12"/>
  <c r="Z29" i="12"/>
  <c r="X29" i="12"/>
  <c r="N29" i="12"/>
  <c r="L29" i="12"/>
  <c r="J29" i="12"/>
  <c r="B29" i="12"/>
  <c r="Z28" i="12"/>
  <c r="X28" i="12"/>
  <c r="N28" i="12"/>
  <c r="L28" i="12"/>
  <c r="B28" i="12"/>
  <c r="Z27" i="12"/>
  <c r="X27" i="12"/>
  <c r="N27" i="12"/>
  <c r="L27" i="12"/>
  <c r="B27" i="12"/>
  <c r="Z26" i="12"/>
  <c r="X26" i="12"/>
  <c r="N26" i="12"/>
  <c r="L26" i="12"/>
  <c r="J26" i="12"/>
  <c r="B26" i="12"/>
  <c r="Z25" i="12"/>
  <c r="X25" i="12"/>
  <c r="N25" i="12"/>
  <c r="L25" i="12"/>
  <c r="J25" i="12"/>
  <c r="B25" i="12"/>
  <c r="Z24" i="12"/>
  <c r="X24" i="12"/>
  <c r="L24" i="12"/>
  <c r="N24" i="12" s="1"/>
  <c r="J24" i="12"/>
  <c r="B24" i="12"/>
  <c r="T23" i="12"/>
  <c r="P23" i="12"/>
  <c r="X23" i="12" s="1"/>
  <c r="Z23" i="12" s="1"/>
  <c r="L23" i="12"/>
  <c r="N23" i="12" s="1"/>
  <c r="J23" i="12"/>
  <c r="H23" i="12"/>
  <c r="D23" i="12"/>
  <c r="Z21" i="12"/>
  <c r="X21" i="12"/>
  <c r="P21" i="12"/>
  <c r="N21" i="12"/>
  <c r="L21" i="12"/>
  <c r="D21" i="12"/>
  <c r="B21" i="12"/>
  <c r="Z20" i="12"/>
  <c r="X20" i="12"/>
  <c r="P20" i="12"/>
  <c r="N20" i="12"/>
  <c r="L20" i="12"/>
  <c r="D20" i="12"/>
  <c r="B20" i="12"/>
  <c r="Z19" i="12"/>
  <c r="P19" i="12"/>
  <c r="X19" i="12" s="1"/>
  <c r="N19" i="12"/>
  <c r="D19" i="12"/>
  <c r="L19" i="12" s="1"/>
  <c r="B19" i="12"/>
  <c r="Z18" i="12"/>
  <c r="P18" i="12"/>
  <c r="X18" i="12" s="1"/>
  <c r="N18" i="12"/>
  <c r="L18" i="12"/>
  <c r="D18" i="12"/>
  <c r="B18" i="12"/>
  <c r="Z17" i="12"/>
  <c r="P17" i="12"/>
  <c r="X17" i="12" s="1"/>
  <c r="N17" i="12"/>
  <c r="L17" i="12"/>
  <c r="D17" i="12"/>
  <c r="B17" i="12"/>
  <c r="Z16" i="12"/>
  <c r="X16" i="12"/>
  <c r="P16" i="12"/>
  <c r="N16" i="12"/>
  <c r="D16" i="12"/>
  <c r="L16" i="12" s="1"/>
  <c r="B16" i="12"/>
  <c r="X15" i="12"/>
  <c r="Z15" i="12" s="1"/>
  <c r="P15" i="12"/>
  <c r="D15" i="12"/>
  <c r="L15" i="12" s="1"/>
  <c r="N15" i="12" s="1"/>
  <c r="B15" i="12"/>
  <c r="Z14" i="12"/>
  <c r="P14" i="12"/>
  <c r="X14" i="12" s="1"/>
  <c r="N14" i="12"/>
  <c r="D14" i="12"/>
  <c r="L14" i="12" s="1"/>
  <c r="B14" i="12"/>
  <c r="Z13" i="12"/>
  <c r="X13" i="12"/>
  <c r="P13" i="12"/>
  <c r="N13" i="12"/>
  <c r="L13" i="12"/>
  <c r="D13" i="12"/>
  <c r="B13" i="12"/>
  <c r="T12" i="12"/>
  <c r="V151" i="12" s="1"/>
  <c r="H12" i="12"/>
  <c r="J149" i="12" s="1"/>
  <c r="D4" i="12"/>
  <c r="B39" i="11"/>
  <c r="B38" i="11"/>
  <c r="T34" i="11"/>
  <c r="Z34" i="11" s="1"/>
  <c r="P34" i="11"/>
  <c r="H34" i="11"/>
  <c r="N34" i="11" s="1"/>
  <c r="D34" i="11"/>
  <c r="T33" i="11"/>
  <c r="Z33" i="11" s="1"/>
  <c r="P33" i="11"/>
  <c r="H33" i="11"/>
  <c r="N33" i="11" s="1"/>
  <c r="D33" i="11"/>
  <c r="T29" i="11"/>
  <c r="Z29" i="11" s="1"/>
  <c r="P29" i="11"/>
  <c r="H29" i="11"/>
  <c r="N29" i="11" s="1"/>
  <c r="D29" i="11"/>
  <c r="T25" i="11"/>
  <c r="Z25" i="11" s="1"/>
  <c r="P25" i="11"/>
  <c r="H25" i="11"/>
  <c r="N25" i="11" s="1"/>
  <c r="D25" i="11"/>
  <c r="B25" i="11"/>
  <c r="T24" i="11"/>
  <c r="Z24" i="11" s="1"/>
  <c r="P24" i="11"/>
  <c r="H24" i="11"/>
  <c r="N24" i="11" s="1"/>
  <c r="D24" i="11"/>
  <c r="T22" i="11"/>
  <c r="Z22" i="11" s="1"/>
  <c r="P22" i="11"/>
  <c r="H22" i="11"/>
  <c r="N22" i="11" s="1"/>
  <c r="D22" i="11"/>
  <c r="B22" i="11"/>
  <c r="T21" i="11"/>
  <c r="Z21" i="11" s="1"/>
  <c r="P21" i="11"/>
  <c r="H21" i="11"/>
  <c r="N21" i="11" s="1"/>
  <c r="D21" i="11"/>
  <c r="B21" i="11"/>
  <c r="T20" i="11"/>
  <c r="Z20" i="11" s="1"/>
  <c r="P20" i="11"/>
  <c r="H20" i="11"/>
  <c r="N20" i="11" s="1"/>
  <c r="D20" i="11"/>
  <c r="T16" i="11"/>
  <c r="Z16" i="11" s="1"/>
  <c r="P16" i="11"/>
  <c r="H16" i="11"/>
  <c r="N16" i="11" s="1"/>
  <c r="D16" i="11"/>
  <c r="B16" i="11"/>
  <c r="T15" i="11"/>
  <c r="Z15" i="11" s="1"/>
  <c r="P15" i="11"/>
  <c r="H15" i="11"/>
  <c r="N15" i="11" s="1"/>
  <c r="D15" i="11"/>
  <c r="T13" i="11"/>
  <c r="Z13" i="11" s="1"/>
  <c r="P13" i="11"/>
  <c r="H13" i="11"/>
  <c r="N13" i="11" s="1"/>
  <c r="D13" i="11"/>
  <c r="B13" i="11"/>
  <c r="T12" i="11"/>
  <c r="V34" i="11" s="1"/>
  <c r="P12" i="11"/>
  <c r="H12" i="11"/>
  <c r="N12" i="11" s="1"/>
  <c r="D12" i="11"/>
  <c r="F36" i="11" s="1"/>
  <c r="D5" i="11"/>
  <c r="D4" i="11"/>
  <c r="B39" i="10"/>
  <c r="B38" i="10"/>
  <c r="T34" i="10"/>
  <c r="Z34" i="10" s="1"/>
  <c r="P34" i="10"/>
  <c r="H34" i="10"/>
  <c r="N34" i="10" s="1"/>
  <c r="D34" i="10"/>
  <c r="T33" i="10"/>
  <c r="Z33" i="10" s="1"/>
  <c r="P33" i="10"/>
  <c r="H33" i="10"/>
  <c r="N33" i="10" s="1"/>
  <c r="D33" i="10"/>
  <c r="T29" i="10"/>
  <c r="Z29" i="10" s="1"/>
  <c r="P29" i="10"/>
  <c r="H29" i="10"/>
  <c r="D29" i="10"/>
  <c r="T25" i="10"/>
  <c r="Z25" i="10" s="1"/>
  <c r="P25" i="10"/>
  <c r="H25" i="10"/>
  <c r="D25" i="10"/>
  <c r="B25" i="10"/>
  <c r="T24" i="10"/>
  <c r="Z24" i="10" s="1"/>
  <c r="P24" i="10"/>
  <c r="H24" i="10"/>
  <c r="N24" i="10" s="1"/>
  <c r="D24" i="10"/>
  <c r="T22" i="10"/>
  <c r="Z22" i="10" s="1"/>
  <c r="P22" i="10"/>
  <c r="H22" i="10"/>
  <c r="N22" i="10" s="1"/>
  <c r="D22" i="10"/>
  <c r="B22" i="10"/>
  <c r="T21" i="10"/>
  <c r="Z21" i="10" s="1"/>
  <c r="P21" i="10"/>
  <c r="H21" i="10"/>
  <c r="N21" i="10" s="1"/>
  <c r="D21" i="10"/>
  <c r="B21" i="10"/>
  <c r="T20" i="10"/>
  <c r="Z20" i="10" s="1"/>
  <c r="P20" i="10"/>
  <c r="H20" i="10"/>
  <c r="N20" i="10" s="1"/>
  <c r="D20" i="10"/>
  <c r="T16" i="10"/>
  <c r="Z16" i="10" s="1"/>
  <c r="P16" i="10"/>
  <c r="H16" i="10"/>
  <c r="N16" i="10" s="1"/>
  <c r="D16" i="10"/>
  <c r="B16" i="10"/>
  <c r="T15" i="10"/>
  <c r="Z15" i="10" s="1"/>
  <c r="P15" i="10"/>
  <c r="H15" i="10"/>
  <c r="N15" i="10" s="1"/>
  <c r="D15" i="10"/>
  <c r="T13" i="10"/>
  <c r="Z13" i="10" s="1"/>
  <c r="P13" i="10"/>
  <c r="H13" i="10"/>
  <c r="N13" i="10" s="1"/>
  <c r="D13" i="10"/>
  <c r="B13" i="10"/>
  <c r="T12" i="10"/>
  <c r="V34" i="10" s="1"/>
  <c r="P12" i="10"/>
  <c r="R22" i="10" s="1"/>
  <c r="H12" i="10"/>
  <c r="J21" i="10" s="1"/>
  <c r="D12" i="10"/>
  <c r="F34" i="10" s="1"/>
  <c r="D5" i="10"/>
  <c r="D4" i="10"/>
  <c r="Z98" i="9"/>
  <c r="X98" i="9"/>
  <c r="N98" i="9"/>
  <c r="L98" i="9"/>
  <c r="T94" i="9"/>
  <c r="Z94" i="9" s="1"/>
  <c r="P94" i="9"/>
  <c r="X94" i="9" s="1"/>
  <c r="H94" i="9"/>
  <c r="N94" i="9" s="1"/>
  <c r="D94" i="9"/>
  <c r="L94" i="9" s="1"/>
  <c r="Z92" i="9"/>
  <c r="X92" i="9"/>
  <c r="N92" i="9"/>
  <c r="L92" i="9"/>
  <c r="B92" i="9"/>
  <c r="Z91" i="9"/>
  <c r="X91" i="9"/>
  <c r="L91" i="9"/>
  <c r="N91" i="9" s="1"/>
  <c r="B91" i="9"/>
  <c r="T90" i="9"/>
  <c r="P90" i="9"/>
  <c r="X90" i="9" s="1"/>
  <c r="L90" i="9"/>
  <c r="N90" i="9" s="1"/>
  <c r="H90" i="9"/>
  <c r="D90" i="9"/>
  <c r="B90" i="9"/>
  <c r="Z89" i="9"/>
  <c r="X89" i="9"/>
  <c r="N89" i="9"/>
  <c r="L89" i="9"/>
  <c r="B89" i="9"/>
  <c r="X88" i="9"/>
  <c r="Z88" i="9" s="1"/>
  <c r="T88" i="9"/>
  <c r="P88" i="9"/>
  <c r="H88" i="9"/>
  <c r="D88" i="9"/>
  <c r="B88" i="9"/>
  <c r="X87" i="9"/>
  <c r="Z87" i="9" s="1"/>
  <c r="N87" i="9"/>
  <c r="L87" i="9"/>
  <c r="B87" i="9"/>
  <c r="Z86" i="9"/>
  <c r="X86" i="9"/>
  <c r="N86" i="9"/>
  <c r="L86" i="9"/>
  <c r="B86" i="9"/>
  <c r="Z85" i="9"/>
  <c r="X85" i="9"/>
  <c r="T85" i="9"/>
  <c r="P85" i="9"/>
  <c r="L85" i="9"/>
  <c r="H85" i="9"/>
  <c r="N85" i="9" s="1"/>
  <c r="D85" i="9"/>
  <c r="B85" i="9"/>
  <c r="Z84" i="9"/>
  <c r="X84" i="9"/>
  <c r="N84" i="9"/>
  <c r="L84" i="9"/>
  <c r="B84" i="9"/>
  <c r="X83" i="9"/>
  <c r="Z83" i="9" s="1"/>
  <c r="N83" i="9"/>
  <c r="L83" i="9"/>
  <c r="B83" i="9"/>
  <c r="Z82" i="9"/>
  <c r="X82" i="9"/>
  <c r="N82" i="9"/>
  <c r="L82" i="9"/>
  <c r="B82" i="9"/>
  <c r="Z81" i="9"/>
  <c r="X81" i="9"/>
  <c r="N81" i="9"/>
  <c r="L81" i="9"/>
  <c r="B81" i="9"/>
  <c r="Z80" i="9"/>
  <c r="X80" i="9"/>
  <c r="N80" i="9"/>
  <c r="L80" i="9"/>
  <c r="B80" i="9"/>
  <c r="Z79" i="9"/>
  <c r="X79" i="9"/>
  <c r="L79" i="9"/>
  <c r="N79" i="9" s="1"/>
  <c r="B79" i="9"/>
  <c r="T78" i="9"/>
  <c r="P78" i="9"/>
  <c r="X78" i="9" s="1"/>
  <c r="L78" i="9"/>
  <c r="N78" i="9" s="1"/>
  <c r="H78" i="9"/>
  <c r="D78" i="9"/>
  <c r="B78" i="9"/>
  <c r="Z77" i="9"/>
  <c r="X77" i="9"/>
  <c r="N77" i="9"/>
  <c r="L77" i="9"/>
  <c r="B77" i="9"/>
  <c r="X76" i="9"/>
  <c r="Z76" i="9" s="1"/>
  <c r="T76" i="9"/>
  <c r="P76" i="9"/>
  <c r="H76" i="9"/>
  <c r="N76" i="9" s="1"/>
  <c r="D76" i="9"/>
  <c r="B76" i="9"/>
  <c r="X75" i="9"/>
  <c r="Z75" i="9" s="1"/>
  <c r="N75" i="9"/>
  <c r="L75" i="9"/>
  <c r="B75" i="9"/>
  <c r="Z74" i="9"/>
  <c r="X74" i="9"/>
  <c r="N74" i="9"/>
  <c r="L74" i="9"/>
  <c r="B74" i="9"/>
  <c r="Z73" i="9"/>
  <c r="X73" i="9"/>
  <c r="T73" i="9"/>
  <c r="P73" i="9"/>
  <c r="L73" i="9"/>
  <c r="H73" i="9"/>
  <c r="N73" i="9" s="1"/>
  <c r="D73" i="9"/>
  <c r="B73" i="9"/>
  <c r="X72" i="9"/>
  <c r="Z72" i="9" s="1"/>
  <c r="L72" i="9"/>
  <c r="N72" i="9" s="1"/>
  <c r="B72" i="9"/>
  <c r="X71" i="9"/>
  <c r="Z71" i="9" s="1"/>
  <c r="N71" i="9"/>
  <c r="L71" i="9"/>
  <c r="B71" i="9"/>
  <c r="Z70" i="9"/>
  <c r="X70" i="9"/>
  <c r="N70" i="9"/>
  <c r="L70" i="9"/>
  <c r="B70" i="9"/>
  <c r="Z69" i="9"/>
  <c r="X69" i="9"/>
  <c r="N69" i="9"/>
  <c r="L69" i="9"/>
  <c r="B69" i="9"/>
  <c r="X68" i="9"/>
  <c r="Z68" i="9" s="1"/>
  <c r="T68" i="9"/>
  <c r="P68" i="9"/>
  <c r="H68" i="9"/>
  <c r="D68" i="9"/>
  <c r="B68" i="9"/>
  <c r="X67" i="9"/>
  <c r="Z67" i="9" s="1"/>
  <c r="N67" i="9"/>
  <c r="L67" i="9"/>
  <c r="B67" i="9"/>
  <c r="Z66" i="9"/>
  <c r="X66" i="9"/>
  <c r="L66" i="9"/>
  <c r="N66" i="9" s="1"/>
  <c r="B66" i="9"/>
  <c r="Z65" i="9"/>
  <c r="X65" i="9"/>
  <c r="N65" i="9"/>
  <c r="L65" i="9"/>
  <c r="B65" i="9"/>
  <c r="X64" i="9"/>
  <c r="Z64" i="9" s="1"/>
  <c r="L64" i="9"/>
  <c r="N64" i="9" s="1"/>
  <c r="B64" i="9"/>
  <c r="T63" i="9"/>
  <c r="P63" i="9"/>
  <c r="X63" i="9" s="1"/>
  <c r="Z63" i="9" s="1"/>
  <c r="N63" i="9"/>
  <c r="L63" i="9"/>
  <c r="H63" i="9"/>
  <c r="D63" i="9"/>
  <c r="B63" i="9"/>
  <c r="Z62" i="9"/>
  <c r="X62" i="9"/>
  <c r="N62" i="9"/>
  <c r="L62" i="9"/>
  <c r="B62" i="9"/>
  <c r="Z61" i="9"/>
  <c r="X61" i="9"/>
  <c r="T61" i="9"/>
  <c r="P61" i="9"/>
  <c r="L61" i="9"/>
  <c r="H61" i="9"/>
  <c r="N61" i="9" s="1"/>
  <c r="D61" i="9"/>
  <c r="B61" i="9"/>
  <c r="X60" i="9"/>
  <c r="Z60" i="9" s="1"/>
  <c r="L60" i="9"/>
  <c r="N60" i="9" s="1"/>
  <c r="B60" i="9"/>
  <c r="X59" i="9"/>
  <c r="T59" i="9"/>
  <c r="Z59" i="9" s="1"/>
  <c r="P59" i="9"/>
  <c r="H59" i="9"/>
  <c r="N59" i="9" s="1"/>
  <c r="D59" i="9"/>
  <c r="L59" i="9" s="1"/>
  <c r="B59" i="9"/>
  <c r="Z58" i="9"/>
  <c r="X58" i="9"/>
  <c r="N58" i="9"/>
  <c r="L58" i="9"/>
  <c r="B58" i="9"/>
  <c r="T57" i="9"/>
  <c r="Z57" i="9" s="1"/>
  <c r="P57" i="9"/>
  <c r="X57" i="9" s="1"/>
  <c r="H57" i="9"/>
  <c r="D57" i="9"/>
  <c r="L57" i="9" s="1"/>
  <c r="N57" i="9" s="1"/>
  <c r="B57" i="9"/>
  <c r="X56" i="9"/>
  <c r="Z56" i="9" s="1"/>
  <c r="L56" i="9"/>
  <c r="N56" i="9" s="1"/>
  <c r="B56" i="9"/>
  <c r="T55" i="9"/>
  <c r="P55" i="9"/>
  <c r="X55" i="9" s="1"/>
  <c r="Z55" i="9" s="1"/>
  <c r="N55" i="9"/>
  <c r="L55" i="9"/>
  <c r="H55" i="9"/>
  <c r="D55" i="9"/>
  <c r="B55" i="9"/>
  <c r="Z54" i="9"/>
  <c r="X54" i="9"/>
  <c r="N54" i="9"/>
  <c r="L54" i="9"/>
  <c r="B54" i="9"/>
  <c r="Z53" i="9"/>
  <c r="X53" i="9"/>
  <c r="T53" i="9"/>
  <c r="P53" i="9"/>
  <c r="L53" i="9"/>
  <c r="H53" i="9"/>
  <c r="N53" i="9" s="1"/>
  <c r="D53" i="9"/>
  <c r="B53" i="9"/>
  <c r="X52" i="9"/>
  <c r="Z52" i="9" s="1"/>
  <c r="L52" i="9"/>
  <c r="N52" i="9" s="1"/>
  <c r="B52" i="9"/>
  <c r="X51" i="9"/>
  <c r="T51" i="9"/>
  <c r="Z51" i="9" s="1"/>
  <c r="P51" i="9"/>
  <c r="H51" i="9"/>
  <c r="D51" i="9"/>
  <c r="L51" i="9" s="1"/>
  <c r="B51" i="9"/>
  <c r="Z50" i="9"/>
  <c r="X50" i="9"/>
  <c r="N50" i="9"/>
  <c r="L50" i="9"/>
  <c r="B50" i="9"/>
  <c r="X49" i="9"/>
  <c r="Z49" i="9" s="1"/>
  <c r="N49" i="9"/>
  <c r="L49" i="9"/>
  <c r="B49" i="9"/>
  <c r="T48" i="9"/>
  <c r="P48" i="9"/>
  <c r="X48" i="9" s="1"/>
  <c r="H48" i="9"/>
  <c r="N48" i="9" s="1"/>
  <c r="D48" i="9"/>
  <c r="L48" i="9" s="1"/>
  <c r="B48" i="9"/>
  <c r="Z47" i="9"/>
  <c r="X47" i="9"/>
  <c r="L47" i="9"/>
  <c r="N47" i="9" s="1"/>
  <c r="B47" i="9"/>
  <c r="T46" i="9"/>
  <c r="P46" i="9"/>
  <c r="X46" i="9" s="1"/>
  <c r="L46" i="9"/>
  <c r="N46" i="9" s="1"/>
  <c r="H46" i="9"/>
  <c r="D46" i="9"/>
  <c r="B46" i="9"/>
  <c r="Z45" i="9"/>
  <c r="X45" i="9"/>
  <c r="L45" i="9"/>
  <c r="N45" i="9" s="1"/>
  <c r="B45" i="9"/>
  <c r="X44" i="9"/>
  <c r="Z44" i="9" s="1"/>
  <c r="T44" i="9"/>
  <c r="P44" i="9"/>
  <c r="H44" i="9"/>
  <c r="L44" i="9" s="1"/>
  <c r="N44" i="9" s="1"/>
  <c r="D44" i="9"/>
  <c r="B44" i="9"/>
  <c r="X43" i="9"/>
  <c r="Z43" i="9" s="1"/>
  <c r="N43" i="9"/>
  <c r="L43" i="9"/>
  <c r="B43" i="9"/>
  <c r="T42" i="9"/>
  <c r="X42" i="9" s="1"/>
  <c r="Z42" i="9" s="1"/>
  <c r="P42" i="9"/>
  <c r="J42" i="9"/>
  <c r="H42" i="9"/>
  <c r="D42" i="9"/>
  <c r="L42" i="9" s="1"/>
  <c r="B42" i="9"/>
  <c r="Z41" i="9"/>
  <c r="X41" i="9"/>
  <c r="N41" i="9"/>
  <c r="L41" i="9"/>
  <c r="J41" i="9"/>
  <c r="B41" i="9"/>
  <c r="Z40" i="9"/>
  <c r="X40" i="9"/>
  <c r="N40" i="9"/>
  <c r="L40" i="9"/>
  <c r="B40" i="9"/>
  <c r="X39" i="9"/>
  <c r="Z39" i="9" s="1"/>
  <c r="N39" i="9"/>
  <c r="L39" i="9"/>
  <c r="B39" i="9"/>
  <c r="Z38" i="9"/>
  <c r="X38" i="9"/>
  <c r="N38" i="9"/>
  <c r="L38" i="9"/>
  <c r="B38" i="9"/>
  <c r="Z37" i="9"/>
  <c r="X37" i="9"/>
  <c r="N37" i="9"/>
  <c r="L37" i="9"/>
  <c r="B37" i="9"/>
  <c r="X36" i="9"/>
  <c r="Z36" i="9" s="1"/>
  <c r="L36" i="9"/>
  <c r="N36" i="9" s="1"/>
  <c r="J36" i="9"/>
  <c r="B36" i="9"/>
  <c r="Z35" i="9"/>
  <c r="X35" i="9"/>
  <c r="L35" i="9"/>
  <c r="N35" i="9" s="1"/>
  <c r="B35" i="9"/>
  <c r="Z34" i="9"/>
  <c r="X34" i="9"/>
  <c r="N34" i="9"/>
  <c r="L34" i="9"/>
  <c r="B34" i="9"/>
  <c r="Z33" i="9"/>
  <c r="X33" i="9"/>
  <c r="N33" i="9"/>
  <c r="L33" i="9"/>
  <c r="J33" i="9"/>
  <c r="B33" i="9"/>
  <c r="X32" i="9"/>
  <c r="Z32" i="9" s="1"/>
  <c r="V32" i="9"/>
  <c r="L32" i="9"/>
  <c r="N32" i="9" s="1"/>
  <c r="B32" i="9"/>
  <c r="X31" i="9"/>
  <c r="T31" i="9"/>
  <c r="Z31" i="9" s="1"/>
  <c r="P31" i="9"/>
  <c r="H31" i="9"/>
  <c r="D31" i="9"/>
  <c r="B31" i="9"/>
  <c r="Z30" i="9"/>
  <c r="X30" i="9"/>
  <c r="N30" i="9"/>
  <c r="L30" i="9"/>
  <c r="B30" i="9"/>
  <c r="X29" i="9"/>
  <c r="Z29" i="9" s="1"/>
  <c r="N29" i="9"/>
  <c r="L29" i="9"/>
  <c r="J29" i="9"/>
  <c r="B29" i="9"/>
  <c r="X28" i="9"/>
  <c r="Z28" i="9" s="1"/>
  <c r="V28" i="9"/>
  <c r="L28" i="9"/>
  <c r="N28" i="9" s="1"/>
  <c r="B28" i="9"/>
  <c r="X27" i="9"/>
  <c r="Z27" i="9" s="1"/>
  <c r="N27" i="9"/>
  <c r="L27" i="9"/>
  <c r="B27" i="9"/>
  <c r="Z26" i="9"/>
  <c r="X26" i="9"/>
  <c r="N26" i="9"/>
  <c r="L26" i="9"/>
  <c r="B26" i="9"/>
  <c r="Z25" i="9"/>
  <c r="X25" i="9"/>
  <c r="V25" i="9"/>
  <c r="N25" i="9"/>
  <c r="L25" i="9"/>
  <c r="J25" i="9"/>
  <c r="B25" i="9"/>
  <c r="X24" i="9"/>
  <c r="Z24" i="9" s="1"/>
  <c r="L24" i="9"/>
  <c r="N24" i="9" s="1"/>
  <c r="J24" i="9"/>
  <c r="B24" i="9"/>
  <c r="Z23" i="9"/>
  <c r="X23" i="9"/>
  <c r="L23" i="9"/>
  <c r="N23" i="9" s="1"/>
  <c r="J23" i="9"/>
  <c r="B23" i="9"/>
  <c r="Z22" i="9"/>
  <c r="X22" i="9"/>
  <c r="N22" i="9"/>
  <c r="L22" i="9"/>
  <c r="J22" i="9"/>
  <c r="B22" i="9"/>
  <c r="X21" i="9"/>
  <c r="Z21" i="9" s="1"/>
  <c r="N21" i="9"/>
  <c r="L21" i="9"/>
  <c r="J21" i="9"/>
  <c r="B21" i="9"/>
  <c r="X20" i="9"/>
  <c r="Z20" i="9" s="1"/>
  <c r="V20" i="9"/>
  <c r="L20" i="9"/>
  <c r="N20" i="9" s="1"/>
  <c r="B20" i="9"/>
  <c r="X19" i="9"/>
  <c r="T19" i="9"/>
  <c r="Z19" i="9" s="1"/>
  <c r="P19" i="9"/>
  <c r="J19" i="9"/>
  <c r="H19" i="9"/>
  <c r="D19" i="9"/>
  <c r="L19" i="9" s="1"/>
  <c r="B19" i="9"/>
  <c r="T18" i="9"/>
  <c r="P18" i="9"/>
  <c r="X18" i="9" s="1"/>
  <c r="J18" i="9"/>
  <c r="H18" i="9"/>
  <c r="D18" i="9"/>
  <c r="L18" i="9" s="1"/>
  <c r="N18" i="9" s="1"/>
  <c r="J16" i="9"/>
  <c r="H16" i="9"/>
  <c r="T14" i="9"/>
  <c r="Z14" i="9" s="1"/>
  <c r="P14" i="9"/>
  <c r="N14" i="9"/>
  <c r="J14" i="9"/>
  <c r="H14" i="9"/>
  <c r="D14" i="9"/>
  <c r="L14" i="9" s="1"/>
  <c r="Z12" i="9"/>
  <c r="T12" i="9"/>
  <c r="V100" i="9" s="1"/>
  <c r="P12" i="9"/>
  <c r="R26" i="9" s="1"/>
  <c r="N12" i="9"/>
  <c r="H12" i="9"/>
  <c r="J98" i="9" s="1"/>
  <c r="D12" i="9"/>
  <c r="D4" i="9"/>
  <c r="B39" i="8"/>
  <c r="B38" i="8"/>
  <c r="T34" i="8"/>
  <c r="P34" i="8"/>
  <c r="H34" i="8"/>
  <c r="N34" i="8" s="1"/>
  <c r="D34" i="8"/>
  <c r="T33" i="8"/>
  <c r="Z33" i="8" s="1"/>
  <c r="P33" i="8"/>
  <c r="H33" i="8"/>
  <c r="N33" i="8" s="1"/>
  <c r="D33" i="8"/>
  <c r="T29" i="8"/>
  <c r="Z29" i="8" s="1"/>
  <c r="P29" i="8"/>
  <c r="H29" i="8"/>
  <c r="N29" i="8" s="1"/>
  <c r="D29" i="8"/>
  <c r="T25" i="8"/>
  <c r="Z25" i="8" s="1"/>
  <c r="P25" i="8"/>
  <c r="H25" i="8"/>
  <c r="N25" i="8" s="1"/>
  <c r="D25" i="8"/>
  <c r="B25" i="8"/>
  <c r="T24" i="8"/>
  <c r="Z24" i="8" s="1"/>
  <c r="P24" i="8"/>
  <c r="H24" i="8"/>
  <c r="N24" i="8" s="1"/>
  <c r="D24" i="8"/>
  <c r="T22" i="8"/>
  <c r="Z22" i="8" s="1"/>
  <c r="P22" i="8"/>
  <c r="H22" i="8"/>
  <c r="N22" i="8" s="1"/>
  <c r="D22" i="8"/>
  <c r="B22" i="8"/>
  <c r="T21" i="8"/>
  <c r="Z21" i="8" s="1"/>
  <c r="P21" i="8"/>
  <c r="H21" i="8"/>
  <c r="N21" i="8" s="1"/>
  <c r="D21" i="8"/>
  <c r="B21" i="8"/>
  <c r="T20" i="8"/>
  <c r="Z20" i="8" s="1"/>
  <c r="P20" i="8"/>
  <c r="H20" i="8"/>
  <c r="N20" i="8" s="1"/>
  <c r="D20" i="8"/>
  <c r="T16" i="8"/>
  <c r="Z16" i="8" s="1"/>
  <c r="P16" i="8"/>
  <c r="H16" i="8"/>
  <c r="N16" i="8" s="1"/>
  <c r="D16" i="8"/>
  <c r="B16" i="8"/>
  <c r="T15" i="8"/>
  <c r="Z15" i="8" s="1"/>
  <c r="P15" i="8"/>
  <c r="H15" i="8"/>
  <c r="N15" i="8" s="1"/>
  <c r="D15" i="8"/>
  <c r="T13" i="8"/>
  <c r="Z13" i="8" s="1"/>
  <c r="P13" i="8"/>
  <c r="H13" i="8"/>
  <c r="N13" i="8" s="1"/>
  <c r="D13" i="8"/>
  <c r="B13" i="8"/>
  <c r="T12" i="8"/>
  <c r="V21" i="8" s="1"/>
  <c r="P12" i="8"/>
  <c r="R24" i="8" s="1"/>
  <c r="H12" i="8"/>
  <c r="J31" i="8" s="1"/>
  <c r="D12" i="8"/>
  <c r="D5" i="8"/>
  <c r="D4" i="8"/>
  <c r="B39" i="7"/>
  <c r="B38" i="7"/>
  <c r="T34" i="7"/>
  <c r="Z34" i="7" s="1"/>
  <c r="P34" i="7"/>
  <c r="H34" i="7"/>
  <c r="N34" i="7" s="1"/>
  <c r="D34" i="7"/>
  <c r="T33" i="7"/>
  <c r="Z33" i="7" s="1"/>
  <c r="P33" i="7"/>
  <c r="H33" i="7"/>
  <c r="N33" i="7" s="1"/>
  <c r="D33" i="7"/>
  <c r="T29" i="7"/>
  <c r="Z29" i="7" s="1"/>
  <c r="P29" i="7"/>
  <c r="H29" i="7"/>
  <c r="N29" i="7" s="1"/>
  <c r="D29" i="7"/>
  <c r="T25" i="7"/>
  <c r="Z25" i="7" s="1"/>
  <c r="P25" i="7"/>
  <c r="H25" i="7"/>
  <c r="N25" i="7" s="1"/>
  <c r="D25" i="7"/>
  <c r="B25" i="7"/>
  <c r="T24" i="7"/>
  <c r="Z24" i="7" s="1"/>
  <c r="P24" i="7"/>
  <c r="H24" i="7"/>
  <c r="N24" i="7" s="1"/>
  <c r="D24" i="7"/>
  <c r="T22" i="7"/>
  <c r="Z22" i="7" s="1"/>
  <c r="P22" i="7"/>
  <c r="H22" i="7"/>
  <c r="N22" i="7" s="1"/>
  <c r="D22" i="7"/>
  <c r="B22" i="7"/>
  <c r="T21" i="7"/>
  <c r="Z21" i="7" s="1"/>
  <c r="P21" i="7"/>
  <c r="H21" i="7"/>
  <c r="N21" i="7" s="1"/>
  <c r="D21" i="7"/>
  <c r="B21" i="7"/>
  <c r="T20" i="7"/>
  <c r="Z20" i="7" s="1"/>
  <c r="P20" i="7"/>
  <c r="H20" i="7"/>
  <c r="N20" i="7" s="1"/>
  <c r="D20" i="7"/>
  <c r="T16" i="7"/>
  <c r="Z16" i="7" s="1"/>
  <c r="P16" i="7"/>
  <c r="H16" i="7"/>
  <c r="N16" i="7" s="1"/>
  <c r="D16" i="7"/>
  <c r="B16" i="7"/>
  <c r="T15" i="7"/>
  <c r="Z15" i="7" s="1"/>
  <c r="P15" i="7"/>
  <c r="H15" i="7"/>
  <c r="N15" i="7" s="1"/>
  <c r="D15" i="7"/>
  <c r="T13" i="7"/>
  <c r="Z13" i="7" s="1"/>
  <c r="P13" i="7"/>
  <c r="H13" i="7"/>
  <c r="N13" i="7" s="1"/>
  <c r="D13" i="7"/>
  <c r="B13" i="7"/>
  <c r="T12" i="7"/>
  <c r="V24" i="7" s="1"/>
  <c r="P12" i="7"/>
  <c r="R20" i="7" s="1"/>
  <c r="H12" i="7"/>
  <c r="D12" i="7"/>
  <c r="F27" i="7" s="1"/>
  <c r="D5" i="7"/>
  <c r="D4" i="7"/>
  <c r="T29" i="6"/>
  <c r="P29" i="6"/>
  <c r="H29" i="6"/>
  <c r="F29" i="6"/>
  <c r="D29" i="6"/>
  <c r="L29" i="6" s="1"/>
  <c r="T28" i="6"/>
  <c r="Z28" i="6" s="1"/>
  <c r="P28" i="6"/>
  <c r="X28" i="6" s="1"/>
  <c r="L28" i="6"/>
  <c r="N28" i="6" s="1"/>
  <c r="H28" i="6"/>
  <c r="D28" i="6"/>
  <c r="J26" i="6"/>
  <c r="F26" i="6"/>
  <c r="Z24" i="6"/>
  <c r="X24" i="6"/>
  <c r="N24" i="6"/>
  <c r="L24" i="6"/>
  <c r="J24" i="6"/>
  <c r="F24" i="6"/>
  <c r="T20" i="6"/>
  <c r="Z20" i="6" s="1"/>
  <c r="P20" i="6"/>
  <c r="J20" i="6"/>
  <c r="H20" i="6"/>
  <c r="N20" i="6" s="1"/>
  <c r="F20" i="6"/>
  <c r="D20" i="6"/>
  <c r="L20" i="6" s="1"/>
  <c r="T18" i="6"/>
  <c r="Z18" i="6" s="1"/>
  <c r="P18" i="6"/>
  <c r="X18" i="6" s="1"/>
  <c r="N18" i="6"/>
  <c r="L18" i="6"/>
  <c r="H18" i="6"/>
  <c r="D18" i="6"/>
  <c r="T16" i="6"/>
  <c r="T22" i="6" s="1"/>
  <c r="J16" i="6"/>
  <c r="H16" i="6"/>
  <c r="H22" i="6" s="1"/>
  <c r="F16" i="6"/>
  <c r="D16" i="6"/>
  <c r="D22" i="6" s="1"/>
  <c r="T14" i="6"/>
  <c r="Z14" i="6" s="1"/>
  <c r="P14" i="6"/>
  <c r="X14" i="6" s="1"/>
  <c r="N14" i="6"/>
  <c r="L14" i="6"/>
  <c r="H14" i="6"/>
  <c r="D14" i="6"/>
  <c r="T12" i="6"/>
  <c r="V31" i="6" s="1"/>
  <c r="P12" i="6"/>
  <c r="R29" i="6" s="1"/>
  <c r="H12" i="6"/>
  <c r="J31" i="6" s="1"/>
  <c r="D12" i="6"/>
  <c r="L12" i="6" s="1"/>
  <c r="D4" i="6"/>
  <c r="B39" i="5"/>
  <c r="B38" i="5"/>
  <c r="T34" i="5"/>
  <c r="Z34" i="5" s="1"/>
  <c r="P34" i="5"/>
  <c r="H34" i="5"/>
  <c r="N34" i="5" s="1"/>
  <c r="D34" i="5"/>
  <c r="T33" i="5"/>
  <c r="Z33" i="5" s="1"/>
  <c r="P33" i="5"/>
  <c r="H33" i="5"/>
  <c r="N33" i="5" s="1"/>
  <c r="D33" i="5"/>
  <c r="T29" i="5"/>
  <c r="Z29" i="5" s="1"/>
  <c r="P29" i="5"/>
  <c r="H29" i="5"/>
  <c r="N29" i="5" s="1"/>
  <c r="D29" i="5"/>
  <c r="T25" i="5"/>
  <c r="Z25" i="5" s="1"/>
  <c r="P25" i="5"/>
  <c r="H25" i="5"/>
  <c r="N25" i="5" s="1"/>
  <c r="D25" i="5"/>
  <c r="B25" i="5"/>
  <c r="T24" i="5"/>
  <c r="Z24" i="5" s="1"/>
  <c r="P24" i="5"/>
  <c r="H24" i="5"/>
  <c r="N24" i="5" s="1"/>
  <c r="D24" i="5"/>
  <c r="T22" i="5"/>
  <c r="Z22" i="5" s="1"/>
  <c r="P22" i="5"/>
  <c r="H22" i="5"/>
  <c r="N22" i="5" s="1"/>
  <c r="D22" i="5"/>
  <c r="B22" i="5"/>
  <c r="T21" i="5"/>
  <c r="Z21" i="5" s="1"/>
  <c r="P21" i="5"/>
  <c r="H21" i="5"/>
  <c r="N21" i="5" s="1"/>
  <c r="D21" i="5"/>
  <c r="B21" i="5"/>
  <c r="T20" i="5"/>
  <c r="Z20" i="5" s="1"/>
  <c r="P20" i="5"/>
  <c r="H20" i="5"/>
  <c r="N20" i="5" s="1"/>
  <c r="D20" i="5"/>
  <c r="T16" i="5"/>
  <c r="Z16" i="5" s="1"/>
  <c r="P16" i="5"/>
  <c r="X16" i="5" s="1"/>
  <c r="H16" i="5"/>
  <c r="N16" i="5" s="1"/>
  <c r="D16" i="5"/>
  <c r="B16" i="5"/>
  <c r="T15" i="5"/>
  <c r="Z15" i="5" s="1"/>
  <c r="P15" i="5"/>
  <c r="H15" i="5"/>
  <c r="N15" i="5" s="1"/>
  <c r="D15" i="5"/>
  <c r="T13" i="5"/>
  <c r="Z13" i="5" s="1"/>
  <c r="P13" i="5"/>
  <c r="H13" i="5"/>
  <c r="N13" i="5" s="1"/>
  <c r="D13" i="5"/>
  <c r="B13" i="5"/>
  <c r="T12" i="5"/>
  <c r="V18" i="5" s="1"/>
  <c r="P12" i="5"/>
  <c r="R34" i="5" s="1"/>
  <c r="H12" i="5"/>
  <c r="J22" i="5" s="1"/>
  <c r="D12" i="5"/>
  <c r="F18" i="5" s="1"/>
  <c r="D5" i="5"/>
  <c r="D4" i="5"/>
  <c r="B39" i="4"/>
  <c r="B38" i="4"/>
  <c r="T34" i="4"/>
  <c r="Z34" i="4" s="1"/>
  <c r="P34" i="4"/>
  <c r="H34" i="4"/>
  <c r="N34" i="4" s="1"/>
  <c r="D34" i="4"/>
  <c r="T33" i="4"/>
  <c r="Z33" i="4" s="1"/>
  <c r="P33" i="4"/>
  <c r="H33" i="4"/>
  <c r="N33" i="4" s="1"/>
  <c r="D33" i="4"/>
  <c r="T29" i="4"/>
  <c r="Z29" i="4" s="1"/>
  <c r="P29" i="4"/>
  <c r="H29" i="4"/>
  <c r="N29" i="4" s="1"/>
  <c r="D29" i="4"/>
  <c r="L29" i="4" s="1"/>
  <c r="T25" i="4"/>
  <c r="Z25" i="4" s="1"/>
  <c r="P25" i="4"/>
  <c r="H25" i="4"/>
  <c r="N25" i="4" s="1"/>
  <c r="D25" i="4"/>
  <c r="B25" i="4"/>
  <c r="T24" i="4"/>
  <c r="Z24" i="4" s="1"/>
  <c r="P24" i="4"/>
  <c r="H24" i="4"/>
  <c r="N24" i="4" s="1"/>
  <c r="D24" i="4"/>
  <c r="T22" i="4"/>
  <c r="Z22" i="4" s="1"/>
  <c r="P22" i="4"/>
  <c r="H22" i="4"/>
  <c r="N22" i="4" s="1"/>
  <c r="D22" i="4"/>
  <c r="B22" i="4"/>
  <c r="T21" i="4"/>
  <c r="Z21" i="4" s="1"/>
  <c r="P21" i="4"/>
  <c r="X21" i="4" s="1"/>
  <c r="H21" i="4"/>
  <c r="N21" i="4" s="1"/>
  <c r="D21" i="4"/>
  <c r="B21" i="4"/>
  <c r="T20" i="4"/>
  <c r="Z20" i="4" s="1"/>
  <c r="P20" i="4"/>
  <c r="H20" i="4"/>
  <c r="N20" i="4" s="1"/>
  <c r="D20" i="4"/>
  <c r="T16" i="4"/>
  <c r="Z16" i="4" s="1"/>
  <c r="P16" i="4"/>
  <c r="H16" i="4"/>
  <c r="N16" i="4" s="1"/>
  <c r="D16" i="4"/>
  <c r="B16" i="4"/>
  <c r="T15" i="4"/>
  <c r="Z15" i="4" s="1"/>
  <c r="P15" i="4"/>
  <c r="H15" i="4"/>
  <c r="N15" i="4" s="1"/>
  <c r="D15" i="4"/>
  <c r="L15" i="4" s="1"/>
  <c r="T13" i="4"/>
  <c r="Z13" i="4" s="1"/>
  <c r="P13" i="4"/>
  <c r="H13" i="4"/>
  <c r="N13" i="4" s="1"/>
  <c r="D13" i="4"/>
  <c r="B13" i="4"/>
  <c r="T12" i="4"/>
  <c r="V24" i="4" s="1"/>
  <c r="P12" i="4"/>
  <c r="R29" i="4" s="1"/>
  <c r="H12" i="4"/>
  <c r="D12" i="4"/>
  <c r="F21" i="4" s="1"/>
  <c r="D5" i="4"/>
  <c r="D4" i="4"/>
  <c r="T182" i="3"/>
  <c r="P182" i="3"/>
  <c r="H182" i="3"/>
  <c r="D182" i="3"/>
  <c r="L182" i="3" s="1"/>
  <c r="T181" i="3"/>
  <c r="P181" i="3"/>
  <c r="X181" i="3" s="1"/>
  <c r="Z181" i="3" s="1"/>
  <c r="L181" i="3"/>
  <c r="N181" i="3" s="1"/>
  <c r="H181" i="3"/>
  <c r="D181" i="3"/>
  <c r="Z177" i="3"/>
  <c r="X177" i="3"/>
  <c r="L177" i="3"/>
  <c r="N177" i="3" s="1"/>
  <c r="Z173" i="3"/>
  <c r="P173" i="3"/>
  <c r="X173" i="3" s="1"/>
  <c r="N173" i="3"/>
  <c r="D173" i="3"/>
  <c r="L173" i="3" s="1"/>
  <c r="B173" i="3"/>
  <c r="Z172" i="3"/>
  <c r="X172" i="3"/>
  <c r="P172" i="3"/>
  <c r="N172" i="3"/>
  <c r="D172" i="3"/>
  <c r="L172" i="3" s="1"/>
  <c r="B172" i="3"/>
  <c r="Z171" i="3"/>
  <c r="P171" i="3"/>
  <c r="X171" i="3" s="1"/>
  <c r="N171" i="3"/>
  <c r="L171" i="3"/>
  <c r="D171" i="3"/>
  <c r="B171" i="3"/>
  <c r="Z170" i="3"/>
  <c r="X170" i="3"/>
  <c r="P170" i="3"/>
  <c r="N170" i="3"/>
  <c r="D170" i="3"/>
  <c r="L170" i="3" s="1"/>
  <c r="B170" i="3"/>
  <c r="P169" i="3"/>
  <c r="X169" i="3" s="1"/>
  <c r="Z169" i="3" s="1"/>
  <c r="N169" i="3"/>
  <c r="L169" i="3"/>
  <c r="D169" i="3"/>
  <c r="B169" i="3"/>
  <c r="P168" i="3"/>
  <c r="X168" i="3" s="1"/>
  <c r="Z168" i="3" s="1"/>
  <c r="D168" i="3"/>
  <c r="L168" i="3" s="1"/>
  <c r="N168" i="3" s="1"/>
  <c r="B168" i="3"/>
  <c r="Z167" i="3"/>
  <c r="X167" i="3"/>
  <c r="P167" i="3"/>
  <c r="N167" i="3"/>
  <c r="D167" i="3"/>
  <c r="L167" i="3" s="1"/>
  <c r="B167" i="3"/>
  <c r="Z166" i="3"/>
  <c r="P166" i="3"/>
  <c r="P165" i="3" s="1"/>
  <c r="X165" i="3" s="1"/>
  <c r="N166" i="3"/>
  <c r="L166" i="3"/>
  <c r="D166" i="3"/>
  <c r="B166" i="3"/>
  <c r="T165" i="3"/>
  <c r="Z165" i="3" s="1"/>
  <c r="H165" i="3"/>
  <c r="Z163" i="3"/>
  <c r="X163" i="3"/>
  <c r="L163" i="3"/>
  <c r="N163" i="3" s="1"/>
  <c r="B163" i="3"/>
  <c r="T162" i="3"/>
  <c r="P162" i="3"/>
  <c r="X162" i="3" s="1"/>
  <c r="L162" i="3"/>
  <c r="N162" i="3" s="1"/>
  <c r="H162" i="3"/>
  <c r="D162" i="3"/>
  <c r="B162" i="3"/>
  <c r="X161" i="3"/>
  <c r="Z161" i="3" s="1"/>
  <c r="L161" i="3"/>
  <c r="N161" i="3" s="1"/>
  <c r="B161" i="3"/>
  <c r="X160" i="3"/>
  <c r="Z160" i="3" s="1"/>
  <c r="L160" i="3"/>
  <c r="N160" i="3" s="1"/>
  <c r="B160" i="3"/>
  <c r="Z159" i="3"/>
  <c r="X159" i="3"/>
  <c r="L159" i="3"/>
  <c r="N159" i="3" s="1"/>
  <c r="B159" i="3"/>
  <c r="T158" i="3"/>
  <c r="P158" i="3"/>
  <c r="X158" i="3" s="1"/>
  <c r="L158" i="3"/>
  <c r="N158" i="3" s="1"/>
  <c r="H158" i="3"/>
  <c r="D158" i="3"/>
  <c r="B158" i="3"/>
  <c r="X157" i="3"/>
  <c r="Z157" i="3" s="1"/>
  <c r="L157" i="3"/>
  <c r="N157" i="3" s="1"/>
  <c r="B157" i="3"/>
  <c r="X156" i="3"/>
  <c r="Z156" i="3" s="1"/>
  <c r="T156" i="3"/>
  <c r="P156" i="3"/>
  <c r="H156" i="3"/>
  <c r="D156" i="3"/>
  <c r="B156" i="3"/>
  <c r="X155" i="3"/>
  <c r="Z155" i="3" s="1"/>
  <c r="N155" i="3"/>
  <c r="L155" i="3"/>
  <c r="B155" i="3"/>
  <c r="Z154" i="3"/>
  <c r="X154" i="3"/>
  <c r="L154" i="3"/>
  <c r="N154" i="3" s="1"/>
  <c r="B154" i="3"/>
  <c r="X153" i="3"/>
  <c r="Z153" i="3" s="1"/>
  <c r="T153" i="3"/>
  <c r="P153" i="3"/>
  <c r="L153" i="3"/>
  <c r="H153" i="3"/>
  <c r="N153" i="3" s="1"/>
  <c r="D153" i="3"/>
  <c r="B153" i="3"/>
  <c r="X152" i="3"/>
  <c r="Z152" i="3" s="1"/>
  <c r="L152" i="3"/>
  <c r="N152" i="3" s="1"/>
  <c r="B152" i="3"/>
  <c r="X151" i="3"/>
  <c r="Z151" i="3" s="1"/>
  <c r="N151" i="3"/>
  <c r="L151" i="3"/>
  <c r="B151" i="3"/>
  <c r="Z150" i="3"/>
  <c r="X150" i="3"/>
  <c r="L150" i="3"/>
  <c r="N150" i="3" s="1"/>
  <c r="B150" i="3"/>
  <c r="X149" i="3"/>
  <c r="Z149" i="3" s="1"/>
  <c r="L149" i="3"/>
  <c r="N149" i="3" s="1"/>
  <c r="B149" i="3"/>
  <c r="X148" i="3"/>
  <c r="Z148" i="3" s="1"/>
  <c r="L148" i="3"/>
  <c r="N148" i="3" s="1"/>
  <c r="B148" i="3"/>
  <c r="Z147" i="3"/>
  <c r="X147" i="3"/>
  <c r="L147" i="3"/>
  <c r="N147" i="3" s="1"/>
  <c r="B147" i="3"/>
  <c r="X146" i="3"/>
  <c r="Z146" i="3" s="1"/>
  <c r="N146" i="3"/>
  <c r="L146" i="3"/>
  <c r="B146" i="3"/>
  <c r="X145" i="3"/>
  <c r="Z145" i="3" s="1"/>
  <c r="L145" i="3"/>
  <c r="N145" i="3" s="1"/>
  <c r="B145" i="3"/>
  <c r="X144" i="3"/>
  <c r="Z144" i="3" s="1"/>
  <c r="L144" i="3"/>
  <c r="N144" i="3" s="1"/>
  <c r="B144" i="3"/>
  <c r="X143" i="3"/>
  <c r="Z143" i="3" s="1"/>
  <c r="N143" i="3"/>
  <c r="L143" i="3"/>
  <c r="B143" i="3"/>
  <c r="T142" i="3"/>
  <c r="P142" i="3"/>
  <c r="H142" i="3"/>
  <c r="N142" i="3" s="1"/>
  <c r="D142" i="3"/>
  <c r="L142" i="3" s="1"/>
  <c r="B142" i="3"/>
  <c r="X141" i="3"/>
  <c r="Z141" i="3" s="1"/>
  <c r="L141" i="3"/>
  <c r="N141" i="3" s="1"/>
  <c r="B141" i="3"/>
  <c r="X140" i="3"/>
  <c r="Z140" i="3" s="1"/>
  <c r="L140" i="3"/>
  <c r="N140" i="3" s="1"/>
  <c r="B140" i="3"/>
  <c r="T139" i="3"/>
  <c r="P139" i="3"/>
  <c r="H139" i="3"/>
  <c r="D139" i="3"/>
  <c r="L139" i="3" s="1"/>
  <c r="B139" i="3"/>
  <c r="X138" i="3"/>
  <c r="Z138" i="3" s="1"/>
  <c r="N138" i="3"/>
  <c r="L138" i="3"/>
  <c r="B138" i="3"/>
  <c r="X137" i="3"/>
  <c r="Z137" i="3" s="1"/>
  <c r="L137" i="3"/>
  <c r="N137" i="3" s="1"/>
  <c r="B137" i="3"/>
  <c r="X136" i="3"/>
  <c r="Z136" i="3" s="1"/>
  <c r="L136" i="3"/>
  <c r="N136" i="3" s="1"/>
  <c r="B136" i="3"/>
  <c r="X135" i="3"/>
  <c r="Z135" i="3" s="1"/>
  <c r="N135" i="3"/>
  <c r="L135" i="3"/>
  <c r="B135" i="3"/>
  <c r="Z134" i="3"/>
  <c r="X134" i="3"/>
  <c r="L134" i="3"/>
  <c r="N134" i="3" s="1"/>
  <c r="B134" i="3"/>
  <c r="X133" i="3"/>
  <c r="Z133" i="3" s="1"/>
  <c r="T133" i="3"/>
  <c r="P133" i="3"/>
  <c r="H133" i="3"/>
  <c r="D133" i="3"/>
  <c r="B133" i="3"/>
  <c r="X132" i="3"/>
  <c r="Z132" i="3" s="1"/>
  <c r="L132" i="3"/>
  <c r="N132" i="3" s="1"/>
  <c r="B132" i="3"/>
  <c r="Z131" i="3"/>
  <c r="X131" i="3"/>
  <c r="N131" i="3"/>
  <c r="L131" i="3"/>
  <c r="B131" i="3"/>
  <c r="Z130" i="3"/>
  <c r="X130" i="3"/>
  <c r="N130" i="3"/>
  <c r="L130" i="3"/>
  <c r="B130" i="3"/>
  <c r="X129" i="3"/>
  <c r="Z129" i="3" s="1"/>
  <c r="L129" i="3"/>
  <c r="N129" i="3" s="1"/>
  <c r="B129" i="3"/>
  <c r="X128" i="3"/>
  <c r="Z128" i="3" s="1"/>
  <c r="T128" i="3"/>
  <c r="P128" i="3"/>
  <c r="H128" i="3"/>
  <c r="D128" i="3"/>
  <c r="B128" i="3"/>
  <c r="X127" i="3"/>
  <c r="Z127" i="3" s="1"/>
  <c r="N127" i="3"/>
  <c r="L127" i="3"/>
  <c r="B127" i="3"/>
  <c r="Z126" i="3"/>
  <c r="X126" i="3"/>
  <c r="L126" i="3"/>
  <c r="N126" i="3" s="1"/>
  <c r="B126" i="3"/>
  <c r="X125" i="3"/>
  <c r="Z125" i="3" s="1"/>
  <c r="L125" i="3"/>
  <c r="N125" i="3" s="1"/>
  <c r="B125" i="3"/>
  <c r="X124" i="3"/>
  <c r="Z124" i="3" s="1"/>
  <c r="L124" i="3"/>
  <c r="N124" i="3" s="1"/>
  <c r="B124" i="3"/>
  <c r="T123" i="3"/>
  <c r="P123" i="3"/>
  <c r="X123" i="3" s="1"/>
  <c r="Z123" i="3" s="1"/>
  <c r="L123" i="3"/>
  <c r="N123" i="3" s="1"/>
  <c r="H123" i="3"/>
  <c r="D123" i="3"/>
  <c r="B123" i="3"/>
  <c r="Z122" i="3"/>
  <c r="X122" i="3"/>
  <c r="N122" i="3"/>
  <c r="L122" i="3"/>
  <c r="B122" i="3"/>
  <c r="X121" i="3"/>
  <c r="Z121" i="3" s="1"/>
  <c r="T121" i="3"/>
  <c r="P121" i="3"/>
  <c r="L121" i="3"/>
  <c r="H121" i="3"/>
  <c r="N121" i="3" s="1"/>
  <c r="D121" i="3"/>
  <c r="B121" i="3"/>
  <c r="X120" i="3"/>
  <c r="Z120" i="3" s="1"/>
  <c r="L120" i="3"/>
  <c r="N120" i="3" s="1"/>
  <c r="B120" i="3"/>
  <c r="X119" i="3"/>
  <c r="T119" i="3"/>
  <c r="Z119" i="3" s="1"/>
  <c r="P119" i="3"/>
  <c r="H119" i="3"/>
  <c r="D119" i="3"/>
  <c r="L119" i="3" s="1"/>
  <c r="B119" i="3"/>
  <c r="Z118" i="3"/>
  <c r="X118" i="3"/>
  <c r="N118" i="3"/>
  <c r="L118" i="3"/>
  <c r="B118" i="3"/>
  <c r="T117" i="3"/>
  <c r="P117" i="3"/>
  <c r="X117" i="3" s="1"/>
  <c r="N117" i="3"/>
  <c r="H117" i="3"/>
  <c r="D117" i="3"/>
  <c r="L117" i="3" s="1"/>
  <c r="B117" i="3"/>
  <c r="X116" i="3"/>
  <c r="Z116" i="3" s="1"/>
  <c r="L116" i="3"/>
  <c r="N116" i="3" s="1"/>
  <c r="B116" i="3"/>
  <c r="T115" i="3"/>
  <c r="P115" i="3"/>
  <c r="X115" i="3" s="1"/>
  <c r="Z115" i="3" s="1"/>
  <c r="L115" i="3"/>
  <c r="N115" i="3" s="1"/>
  <c r="H115" i="3"/>
  <c r="D115" i="3"/>
  <c r="B115" i="3"/>
  <c r="Z114" i="3"/>
  <c r="X114" i="3"/>
  <c r="N114" i="3"/>
  <c r="L114" i="3"/>
  <c r="B114" i="3"/>
  <c r="X113" i="3"/>
  <c r="Z113" i="3" s="1"/>
  <c r="T113" i="3"/>
  <c r="P113" i="3"/>
  <c r="L113" i="3"/>
  <c r="H113" i="3"/>
  <c r="N113" i="3" s="1"/>
  <c r="D113" i="3"/>
  <c r="B113" i="3"/>
  <c r="X112" i="3"/>
  <c r="Z112" i="3" s="1"/>
  <c r="L112" i="3"/>
  <c r="N112" i="3" s="1"/>
  <c r="B112" i="3"/>
  <c r="X111" i="3"/>
  <c r="T111" i="3"/>
  <c r="Z111" i="3" s="1"/>
  <c r="P111" i="3"/>
  <c r="H111" i="3"/>
  <c r="D111" i="3"/>
  <c r="L111" i="3" s="1"/>
  <c r="B111" i="3"/>
  <c r="Z110" i="3"/>
  <c r="X110" i="3"/>
  <c r="N110" i="3"/>
  <c r="L110" i="3"/>
  <c r="B110" i="3"/>
  <c r="X109" i="3"/>
  <c r="Z109" i="3" s="1"/>
  <c r="N109" i="3"/>
  <c r="L109" i="3"/>
  <c r="B109" i="3"/>
  <c r="T108" i="3"/>
  <c r="P108" i="3"/>
  <c r="X108" i="3" s="1"/>
  <c r="Z108" i="3" s="1"/>
  <c r="H108" i="3"/>
  <c r="D108" i="3"/>
  <c r="L108" i="3" s="1"/>
  <c r="B108" i="3"/>
  <c r="Z107" i="3"/>
  <c r="X107" i="3"/>
  <c r="L107" i="3"/>
  <c r="N107" i="3" s="1"/>
  <c r="B107" i="3"/>
  <c r="Z106" i="3"/>
  <c r="X106" i="3"/>
  <c r="N106" i="3"/>
  <c r="L106" i="3"/>
  <c r="B106" i="3"/>
  <c r="T105" i="3"/>
  <c r="P105" i="3"/>
  <c r="X105" i="3" s="1"/>
  <c r="H105" i="3"/>
  <c r="D105" i="3"/>
  <c r="L105" i="3" s="1"/>
  <c r="N105" i="3" s="1"/>
  <c r="B105" i="3"/>
  <c r="X104" i="3"/>
  <c r="Z104" i="3" s="1"/>
  <c r="L104" i="3"/>
  <c r="N104" i="3" s="1"/>
  <c r="B104" i="3"/>
  <c r="T103" i="3"/>
  <c r="P103" i="3"/>
  <c r="X103" i="3" s="1"/>
  <c r="Z103" i="3" s="1"/>
  <c r="L103" i="3"/>
  <c r="N103" i="3" s="1"/>
  <c r="H103" i="3"/>
  <c r="D103" i="3"/>
  <c r="B103" i="3"/>
  <c r="Z102" i="3"/>
  <c r="X102" i="3"/>
  <c r="N102" i="3"/>
  <c r="L102" i="3"/>
  <c r="B102" i="3"/>
  <c r="X101" i="3"/>
  <c r="Z101" i="3" s="1"/>
  <c r="T101" i="3"/>
  <c r="P101" i="3"/>
  <c r="H101" i="3"/>
  <c r="D101" i="3"/>
  <c r="B101" i="3"/>
  <c r="X100" i="3"/>
  <c r="Z100" i="3" s="1"/>
  <c r="L100" i="3"/>
  <c r="N100" i="3" s="1"/>
  <c r="B100" i="3"/>
  <c r="T99" i="3"/>
  <c r="P99" i="3"/>
  <c r="H99" i="3"/>
  <c r="D99" i="3"/>
  <c r="L99" i="3" s="1"/>
  <c r="B99" i="3"/>
  <c r="Z98" i="3"/>
  <c r="X98" i="3"/>
  <c r="N98" i="3"/>
  <c r="L98" i="3"/>
  <c r="B98" i="3"/>
  <c r="Z97" i="3"/>
  <c r="X97" i="3"/>
  <c r="N97" i="3"/>
  <c r="L97" i="3"/>
  <c r="B97" i="3"/>
  <c r="Z96" i="3"/>
  <c r="T96" i="3"/>
  <c r="P96" i="3"/>
  <c r="X96" i="3" s="1"/>
  <c r="H96" i="3"/>
  <c r="N96" i="3" s="1"/>
  <c r="D96" i="3"/>
  <c r="L96" i="3" s="1"/>
  <c r="B96" i="3"/>
  <c r="Z95" i="3"/>
  <c r="X95" i="3"/>
  <c r="L95" i="3"/>
  <c r="N95" i="3" s="1"/>
  <c r="B95" i="3"/>
  <c r="Z94" i="3"/>
  <c r="X94" i="3"/>
  <c r="N94" i="3"/>
  <c r="L94" i="3"/>
  <c r="B94" i="3"/>
  <c r="T93" i="3"/>
  <c r="P93" i="3"/>
  <c r="X93" i="3" s="1"/>
  <c r="H93" i="3"/>
  <c r="D93" i="3"/>
  <c r="L93" i="3" s="1"/>
  <c r="N93" i="3" s="1"/>
  <c r="B93" i="3"/>
  <c r="X92" i="3"/>
  <c r="Z92" i="3" s="1"/>
  <c r="L92" i="3"/>
  <c r="N92" i="3" s="1"/>
  <c r="B92" i="3"/>
  <c r="T91" i="3"/>
  <c r="P91" i="3"/>
  <c r="X91" i="3" s="1"/>
  <c r="Z91" i="3" s="1"/>
  <c r="L91" i="3"/>
  <c r="N91" i="3" s="1"/>
  <c r="H91" i="3"/>
  <c r="D91" i="3"/>
  <c r="B91" i="3"/>
  <c r="Z90" i="3"/>
  <c r="X90" i="3"/>
  <c r="N90" i="3"/>
  <c r="L90" i="3"/>
  <c r="B90" i="3"/>
  <c r="X89" i="3"/>
  <c r="Z89" i="3" s="1"/>
  <c r="T89" i="3"/>
  <c r="P89" i="3"/>
  <c r="H89" i="3"/>
  <c r="D89" i="3"/>
  <c r="B89" i="3"/>
  <c r="X88" i="3"/>
  <c r="Z88" i="3" s="1"/>
  <c r="N88" i="3"/>
  <c r="L88" i="3"/>
  <c r="B88" i="3"/>
  <c r="T87" i="3"/>
  <c r="P87" i="3"/>
  <c r="H87" i="3"/>
  <c r="D87" i="3"/>
  <c r="L87" i="3" s="1"/>
  <c r="B87" i="3"/>
  <c r="Z86" i="3"/>
  <c r="X86" i="3"/>
  <c r="N86" i="3"/>
  <c r="L86" i="3"/>
  <c r="B86" i="3"/>
  <c r="Z85" i="3"/>
  <c r="X85" i="3"/>
  <c r="N85" i="3"/>
  <c r="L85" i="3"/>
  <c r="B85" i="3"/>
  <c r="X84" i="3"/>
  <c r="Z84" i="3" s="1"/>
  <c r="N84" i="3"/>
  <c r="L84" i="3"/>
  <c r="B84" i="3"/>
  <c r="X83" i="3"/>
  <c r="Z83" i="3" s="1"/>
  <c r="N83" i="3"/>
  <c r="L83" i="3"/>
  <c r="B83" i="3"/>
  <c r="Z82" i="3"/>
  <c r="X82" i="3"/>
  <c r="N82" i="3"/>
  <c r="L82" i="3"/>
  <c r="B82" i="3"/>
  <c r="X81" i="3"/>
  <c r="Z81" i="3" s="1"/>
  <c r="L81" i="3"/>
  <c r="N81" i="3" s="1"/>
  <c r="B81" i="3"/>
  <c r="Z80" i="3"/>
  <c r="X80" i="3"/>
  <c r="L80" i="3"/>
  <c r="N80" i="3" s="1"/>
  <c r="B80" i="3"/>
  <c r="Z79" i="3"/>
  <c r="X79" i="3"/>
  <c r="N79" i="3"/>
  <c r="L79" i="3"/>
  <c r="B79" i="3"/>
  <c r="Z78" i="3"/>
  <c r="X78" i="3"/>
  <c r="N78" i="3"/>
  <c r="L78" i="3"/>
  <c r="B78" i="3"/>
  <c r="X77" i="3"/>
  <c r="Z77" i="3" s="1"/>
  <c r="L77" i="3"/>
  <c r="N77" i="3" s="1"/>
  <c r="B77" i="3"/>
  <c r="T76" i="3"/>
  <c r="P76" i="3"/>
  <c r="X76" i="3" s="1"/>
  <c r="Z76" i="3" s="1"/>
  <c r="H76" i="3"/>
  <c r="D76" i="3"/>
  <c r="L76" i="3" s="1"/>
  <c r="B76" i="3"/>
  <c r="Z75" i="3"/>
  <c r="X75" i="3"/>
  <c r="L75" i="3"/>
  <c r="N75" i="3" s="1"/>
  <c r="B75" i="3"/>
  <c r="Z74" i="3"/>
  <c r="X74" i="3"/>
  <c r="N74" i="3"/>
  <c r="L74" i="3"/>
  <c r="B74" i="3"/>
  <c r="X73" i="3"/>
  <c r="Z73" i="3" s="1"/>
  <c r="L73" i="3"/>
  <c r="N73" i="3" s="1"/>
  <c r="B73" i="3"/>
  <c r="Z72" i="3"/>
  <c r="X72" i="3"/>
  <c r="N72" i="3"/>
  <c r="L72" i="3"/>
  <c r="B72" i="3"/>
  <c r="Z71" i="3"/>
  <c r="X71" i="3"/>
  <c r="N71" i="3"/>
  <c r="L71" i="3"/>
  <c r="B71" i="3"/>
  <c r="Z70" i="3"/>
  <c r="X70" i="3"/>
  <c r="N70" i="3"/>
  <c r="L70" i="3"/>
  <c r="B70" i="3"/>
  <c r="X69" i="3"/>
  <c r="Z69" i="3" s="1"/>
  <c r="L69" i="3"/>
  <c r="N69" i="3" s="1"/>
  <c r="B69" i="3"/>
  <c r="X68" i="3"/>
  <c r="Z68" i="3" s="1"/>
  <c r="L68" i="3"/>
  <c r="N68" i="3" s="1"/>
  <c r="B68" i="3"/>
  <c r="Z67" i="3"/>
  <c r="X67" i="3"/>
  <c r="L67" i="3"/>
  <c r="N67" i="3" s="1"/>
  <c r="B67" i="3"/>
  <c r="Z66" i="3"/>
  <c r="X66" i="3"/>
  <c r="N66" i="3"/>
  <c r="L66" i="3"/>
  <c r="B66" i="3"/>
  <c r="T65" i="3"/>
  <c r="P65" i="3"/>
  <c r="X65" i="3" s="1"/>
  <c r="H65" i="3"/>
  <c r="D65" i="3"/>
  <c r="L65" i="3" s="1"/>
  <c r="N65" i="3" s="1"/>
  <c r="B65" i="3"/>
  <c r="T64" i="3"/>
  <c r="X64" i="3" s="1"/>
  <c r="Z64" i="3" s="1"/>
  <c r="P64" i="3"/>
  <c r="H64" i="3"/>
  <c r="D64" i="3"/>
  <c r="L64" i="3" s="1"/>
  <c r="Z60" i="3"/>
  <c r="X60" i="3"/>
  <c r="N60" i="3"/>
  <c r="L60" i="3"/>
  <c r="B60" i="3"/>
  <c r="Z59" i="3"/>
  <c r="X59" i="3"/>
  <c r="N59" i="3"/>
  <c r="L59" i="3"/>
  <c r="B59" i="3"/>
  <c r="Z58" i="3"/>
  <c r="X58" i="3"/>
  <c r="N58" i="3"/>
  <c r="L58" i="3"/>
  <c r="B58" i="3"/>
  <c r="Z57" i="3"/>
  <c r="X57" i="3"/>
  <c r="N57" i="3"/>
  <c r="L57" i="3"/>
  <c r="J57" i="3"/>
  <c r="B57" i="3"/>
  <c r="Z56" i="3"/>
  <c r="X56" i="3"/>
  <c r="N56" i="3"/>
  <c r="L56" i="3"/>
  <c r="B56" i="3"/>
  <c r="Z55" i="3"/>
  <c r="X55" i="3"/>
  <c r="N55" i="3"/>
  <c r="L55" i="3"/>
  <c r="B55" i="3"/>
  <c r="Z54" i="3"/>
  <c r="X54" i="3"/>
  <c r="N54" i="3"/>
  <c r="L54" i="3"/>
  <c r="B54" i="3"/>
  <c r="Z53" i="3"/>
  <c r="X53" i="3"/>
  <c r="V53" i="3"/>
  <c r="N53" i="3"/>
  <c r="L53" i="3"/>
  <c r="B53" i="3"/>
  <c r="Z52" i="3"/>
  <c r="X52" i="3"/>
  <c r="N52" i="3"/>
  <c r="L52" i="3"/>
  <c r="B52" i="3"/>
  <c r="Z51" i="3"/>
  <c r="X51" i="3"/>
  <c r="N51" i="3"/>
  <c r="L51" i="3"/>
  <c r="B51" i="3"/>
  <c r="Z50" i="3"/>
  <c r="X50" i="3"/>
  <c r="N50" i="3"/>
  <c r="L50" i="3"/>
  <c r="J50" i="3"/>
  <c r="B50" i="3"/>
  <c r="Z49" i="3"/>
  <c r="X49" i="3"/>
  <c r="N49" i="3"/>
  <c r="L49" i="3"/>
  <c r="J49" i="3"/>
  <c r="B49" i="3"/>
  <c r="Z48" i="3"/>
  <c r="X48" i="3"/>
  <c r="N48" i="3"/>
  <c r="L48" i="3"/>
  <c r="B48" i="3"/>
  <c r="Z47" i="3"/>
  <c r="X47" i="3"/>
  <c r="N47" i="3"/>
  <c r="L47" i="3"/>
  <c r="B47" i="3"/>
  <c r="Z46" i="3"/>
  <c r="X46" i="3"/>
  <c r="N46" i="3"/>
  <c r="L46" i="3"/>
  <c r="B46" i="3"/>
  <c r="Z45" i="3"/>
  <c r="X45" i="3"/>
  <c r="V45" i="3"/>
  <c r="N45" i="3"/>
  <c r="L45" i="3"/>
  <c r="B45" i="3"/>
  <c r="Z44" i="3"/>
  <c r="X44" i="3"/>
  <c r="N44" i="3"/>
  <c r="L44" i="3"/>
  <c r="J44" i="3"/>
  <c r="B44" i="3"/>
  <c r="Z43" i="3"/>
  <c r="X43" i="3"/>
  <c r="N43" i="3"/>
  <c r="L43" i="3"/>
  <c r="B43" i="3"/>
  <c r="Z42" i="3"/>
  <c r="X42" i="3"/>
  <c r="N42" i="3"/>
  <c r="L42" i="3"/>
  <c r="J42" i="3"/>
  <c r="B42" i="3"/>
  <c r="Z41" i="3"/>
  <c r="X41" i="3"/>
  <c r="N41" i="3"/>
  <c r="L41" i="3"/>
  <c r="J41" i="3"/>
  <c r="B41" i="3"/>
  <c r="Z40" i="3"/>
  <c r="X40" i="3"/>
  <c r="N40" i="3"/>
  <c r="L40" i="3"/>
  <c r="B40" i="3"/>
  <c r="Z39" i="3"/>
  <c r="X39" i="3"/>
  <c r="N39" i="3"/>
  <c r="L39" i="3"/>
  <c r="B39" i="3"/>
  <c r="Z38" i="3"/>
  <c r="X38" i="3"/>
  <c r="N38" i="3"/>
  <c r="L38" i="3"/>
  <c r="B38" i="3"/>
  <c r="Z37" i="3"/>
  <c r="X37" i="3"/>
  <c r="V37" i="3"/>
  <c r="N37" i="3"/>
  <c r="L37" i="3"/>
  <c r="B37" i="3"/>
  <c r="Z36" i="3"/>
  <c r="X36" i="3"/>
  <c r="N36" i="3"/>
  <c r="L36" i="3"/>
  <c r="J36" i="3"/>
  <c r="B36" i="3"/>
  <c r="Z35" i="3"/>
  <c r="X35" i="3"/>
  <c r="N35" i="3"/>
  <c r="L35" i="3"/>
  <c r="B35" i="3"/>
  <c r="Z34" i="3"/>
  <c r="X34" i="3"/>
  <c r="N34" i="3"/>
  <c r="L34" i="3"/>
  <c r="J34" i="3"/>
  <c r="B34" i="3"/>
  <c r="Z33" i="3"/>
  <c r="X33" i="3"/>
  <c r="N33" i="3"/>
  <c r="L33" i="3"/>
  <c r="J33" i="3"/>
  <c r="B33" i="3"/>
  <c r="Z32" i="3"/>
  <c r="X32" i="3"/>
  <c r="N32" i="3"/>
  <c r="L32" i="3"/>
  <c r="B32" i="3"/>
  <c r="Z31" i="3"/>
  <c r="X31" i="3"/>
  <c r="N31" i="3"/>
  <c r="L31" i="3"/>
  <c r="B31" i="3"/>
  <c r="Z30" i="3"/>
  <c r="X30" i="3"/>
  <c r="N30" i="3"/>
  <c r="L30" i="3"/>
  <c r="B30" i="3"/>
  <c r="Z29" i="3"/>
  <c r="X29" i="3"/>
  <c r="V29" i="3"/>
  <c r="N29" i="3"/>
  <c r="L29" i="3"/>
  <c r="J29" i="3"/>
  <c r="B29" i="3"/>
  <c r="Z28" i="3"/>
  <c r="X28" i="3"/>
  <c r="N28" i="3"/>
  <c r="L28" i="3"/>
  <c r="J28" i="3"/>
  <c r="B28" i="3"/>
  <c r="Z27" i="3"/>
  <c r="X27" i="3"/>
  <c r="N27" i="3"/>
  <c r="L27" i="3"/>
  <c r="B27" i="3"/>
  <c r="X26" i="3"/>
  <c r="Z26" i="3" s="1"/>
  <c r="N26" i="3"/>
  <c r="L26" i="3"/>
  <c r="J26" i="3"/>
  <c r="B26" i="3"/>
  <c r="T25" i="3"/>
  <c r="P25" i="3"/>
  <c r="X25" i="3" s="1"/>
  <c r="H25" i="3"/>
  <c r="D25" i="3"/>
  <c r="L25" i="3" s="1"/>
  <c r="N25" i="3" s="1"/>
  <c r="Z23" i="3"/>
  <c r="P23" i="3"/>
  <c r="X23" i="3" s="1"/>
  <c r="N23" i="3"/>
  <c r="D23" i="3"/>
  <c r="L23" i="3" s="1"/>
  <c r="B23" i="3"/>
  <c r="Z22" i="3"/>
  <c r="P22" i="3"/>
  <c r="X22" i="3" s="1"/>
  <c r="N22" i="3"/>
  <c r="D22" i="3"/>
  <c r="L22" i="3" s="1"/>
  <c r="B22" i="3"/>
  <c r="Z21" i="3"/>
  <c r="X21" i="3"/>
  <c r="P21" i="3"/>
  <c r="N21" i="3"/>
  <c r="L21" i="3"/>
  <c r="D21" i="3"/>
  <c r="B21" i="3"/>
  <c r="Z20" i="3"/>
  <c r="P20" i="3"/>
  <c r="X20" i="3" s="1"/>
  <c r="N20" i="3"/>
  <c r="D20" i="3"/>
  <c r="L20" i="3" s="1"/>
  <c r="B20" i="3"/>
  <c r="Z19" i="3"/>
  <c r="P19" i="3"/>
  <c r="X19" i="3" s="1"/>
  <c r="N19" i="3"/>
  <c r="D19" i="3"/>
  <c r="L19" i="3" s="1"/>
  <c r="B19" i="3"/>
  <c r="Z18" i="3"/>
  <c r="P18" i="3"/>
  <c r="X18" i="3" s="1"/>
  <c r="N18" i="3"/>
  <c r="L18" i="3"/>
  <c r="D18" i="3"/>
  <c r="B18" i="3"/>
  <c r="Z17" i="3"/>
  <c r="P17" i="3"/>
  <c r="X17" i="3" s="1"/>
  <c r="N17" i="3"/>
  <c r="D17" i="3"/>
  <c r="L17" i="3" s="1"/>
  <c r="B17" i="3"/>
  <c r="X16" i="3"/>
  <c r="Z16" i="3" s="1"/>
  <c r="P16" i="3"/>
  <c r="D16" i="3"/>
  <c r="D12" i="3" s="1"/>
  <c r="B16" i="3"/>
  <c r="Z15" i="3"/>
  <c r="P15" i="3"/>
  <c r="X15" i="3" s="1"/>
  <c r="N15" i="3"/>
  <c r="D15" i="3"/>
  <c r="L15" i="3" s="1"/>
  <c r="B15" i="3"/>
  <c r="Z14" i="3"/>
  <c r="P14" i="3"/>
  <c r="X14" i="3" s="1"/>
  <c r="N14" i="3"/>
  <c r="D14" i="3"/>
  <c r="L14" i="3" s="1"/>
  <c r="B14" i="3"/>
  <c r="X13" i="3"/>
  <c r="Z13" i="3" s="1"/>
  <c r="P13" i="3"/>
  <c r="L13" i="3"/>
  <c r="N13" i="3" s="1"/>
  <c r="D13" i="3"/>
  <c r="B13" i="3"/>
  <c r="T12" i="3"/>
  <c r="V167" i="3" s="1"/>
  <c r="H12" i="3"/>
  <c r="D4" i="3"/>
  <c r="N33" i="51" l="1"/>
  <c r="N18" i="64"/>
  <c r="J33" i="51"/>
  <c r="X18" i="56"/>
  <c r="L42" i="67"/>
  <c r="Z25" i="68"/>
  <c r="X25" i="76"/>
  <c r="Z25" i="76" s="1"/>
  <c r="L18" i="78"/>
  <c r="N18" i="78" s="1"/>
  <c r="L25" i="82"/>
  <c r="N25" i="82" s="1"/>
  <c r="X18" i="85"/>
  <c r="Z18" i="85" s="1"/>
  <c r="X20" i="86"/>
  <c r="Z20" i="86" s="1"/>
  <c r="N19" i="62"/>
  <c r="Z22" i="71"/>
  <c r="Z56" i="12"/>
  <c r="X34" i="29"/>
  <c r="H75" i="33"/>
  <c r="H79" i="33" s="1"/>
  <c r="X33" i="34"/>
  <c r="X22" i="35"/>
  <c r="L19" i="48"/>
  <c r="D71" i="56"/>
  <c r="X18" i="57"/>
  <c r="L22" i="83"/>
  <c r="N22" i="83" s="1"/>
  <c r="R20" i="86"/>
  <c r="L25" i="89"/>
  <c r="L16" i="26"/>
  <c r="L18" i="60"/>
  <c r="N18" i="60" s="1"/>
  <c r="X19" i="62"/>
  <c r="Z19" i="62" s="1"/>
  <c r="L18" i="77"/>
  <c r="X25" i="88"/>
  <c r="Z25" i="88" s="1"/>
  <c r="Z18" i="64"/>
  <c r="N25" i="21"/>
  <c r="N33" i="27"/>
  <c r="N25" i="45"/>
  <c r="L18" i="55"/>
  <c r="N18" i="55" s="1"/>
  <c r="T71" i="56"/>
  <c r="T76" i="58"/>
  <c r="T80" i="58" s="1"/>
  <c r="N32" i="63"/>
  <c r="L22" i="71"/>
  <c r="N26" i="74"/>
  <c r="Z18" i="80"/>
  <c r="L22" i="13"/>
  <c r="L29" i="16"/>
  <c r="Z58" i="18"/>
  <c r="X33" i="27"/>
  <c r="N27" i="39"/>
  <c r="J25" i="45"/>
  <c r="L34" i="46"/>
  <c r="X16" i="47"/>
  <c r="L24" i="47"/>
  <c r="Z42" i="67"/>
  <c r="L25" i="68"/>
  <c r="N25" i="68" s="1"/>
  <c r="L23" i="73"/>
  <c r="X26" i="74"/>
  <c r="L56" i="12"/>
  <c r="N56" i="12" s="1"/>
  <c r="L52" i="15"/>
  <c r="N52" i="15" s="1"/>
  <c r="X25" i="21"/>
  <c r="Z25" i="21" s="1"/>
  <c r="X32" i="24"/>
  <c r="Z32" i="24" s="1"/>
  <c r="Z33" i="27"/>
  <c r="L42" i="30"/>
  <c r="N42" i="30" s="1"/>
  <c r="X27" i="39"/>
  <c r="Z26" i="74"/>
  <c r="L25" i="76"/>
  <c r="N25" i="76" s="1"/>
  <c r="P75" i="78"/>
  <c r="N20" i="86"/>
  <c r="T89" i="88"/>
  <c r="T93" i="88" s="1"/>
  <c r="H75" i="91"/>
  <c r="L25" i="37"/>
  <c r="L22" i="49"/>
  <c r="X13" i="20"/>
  <c r="X21" i="22"/>
  <c r="L34" i="22"/>
  <c r="X16" i="23"/>
  <c r="X13" i="29"/>
  <c r="L13" i="32"/>
  <c r="L20" i="35"/>
  <c r="X16" i="49"/>
  <c r="X33" i="50"/>
  <c r="X25" i="5"/>
  <c r="X33" i="5"/>
  <c r="X13" i="8"/>
  <c r="X29" i="25"/>
  <c r="L24" i="29"/>
  <c r="X13" i="31"/>
  <c r="X25" i="40"/>
  <c r="X22" i="41"/>
  <c r="X34" i="44"/>
  <c r="L13" i="4"/>
  <c r="L15" i="10"/>
  <c r="X22" i="17"/>
  <c r="X33" i="22"/>
  <c r="L16" i="23"/>
  <c r="X16" i="34"/>
  <c r="L24" i="34"/>
  <c r="L21" i="35"/>
  <c r="X25" i="44"/>
  <c r="X33" i="44"/>
  <c r="X22" i="46"/>
  <c r="L25" i="47"/>
  <c r="L25" i="8"/>
  <c r="L34" i="70"/>
  <c r="X24" i="34"/>
  <c r="L33" i="47"/>
  <c r="L29" i="19"/>
  <c r="L34" i="5"/>
  <c r="X24" i="7"/>
  <c r="L20" i="20"/>
  <c r="X24" i="20"/>
  <c r="L22" i="26"/>
  <c r="X16" i="37"/>
  <c r="X24" i="47"/>
  <c r="L34" i="50"/>
  <c r="X29" i="37"/>
  <c r="L21" i="44"/>
  <c r="X13" i="70"/>
  <c r="X25" i="70"/>
  <c r="X33" i="70"/>
  <c r="N12" i="70"/>
  <c r="X21" i="53"/>
  <c r="X25" i="4"/>
  <c r="L21" i="7"/>
  <c r="L16" i="8"/>
  <c r="L34" i="11"/>
  <c r="L16" i="20"/>
  <c r="X22" i="20"/>
  <c r="X21" i="25"/>
  <c r="L34" i="25"/>
  <c r="L22" i="31"/>
  <c r="X29" i="38"/>
  <c r="L22" i="40"/>
  <c r="X29" i="41"/>
  <c r="H18" i="49"/>
  <c r="H27" i="49" s="1"/>
  <c r="X25" i="92"/>
  <c r="L16" i="11"/>
  <c r="X13" i="14"/>
  <c r="X25" i="14"/>
  <c r="L25" i="16"/>
  <c r="L33" i="16"/>
  <c r="X20" i="17"/>
  <c r="X20" i="19"/>
  <c r="L13" i="35"/>
  <c r="L24" i="38"/>
  <c r="L16" i="43"/>
  <c r="L29" i="92"/>
  <c r="X25" i="93"/>
  <c r="L25" i="94"/>
  <c r="X13" i="5"/>
  <c r="X16" i="25"/>
  <c r="X22" i="28"/>
  <c r="X24" i="31"/>
  <c r="X21" i="37"/>
  <c r="L24" i="52"/>
  <c r="X29" i="10"/>
  <c r="X34" i="37"/>
  <c r="L21" i="92"/>
  <c r="X29" i="70"/>
  <c r="L13" i="93"/>
  <c r="X15" i="22"/>
  <c r="X21" i="35"/>
  <c r="L29" i="35"/>
  <c r="L13" i="5"/>
  <c r="L13" i="17"/>
  <c r="L13" i="19"/>
  <c r="L25" i="19"/>
  <c r="L25" i="22"/>
  <c r="L33" i="22"/>
  <c r="L25" i="26"/>
  <c r="X29" i="35"/>
  <c r="X34" i="35"/>
  <c r="L13" i="38"/>
  <c r="L25" i="38"/>
  <c r="L16" i="40"/>
  <c r="L13" i="41"/>
  <c r="X21" i="44"/>
  <c r="L34" i="44"/>
  <c r="X16" i="46"/>
  <c r="X25" i="47"/>
  <c r="X25" i="49"/>
  <c r="L25" i="50"/>
  <c r="L33" i="50"/>
  <c r="L22" i="53"/>
  <c r="R20" i="25"/>
  <c r="L29" i="26"/>
  <c r="X15" i="29"/>
  <c r="L21" i="32"/>
  <c r="L25" i="34"/>
  <c r="L34" i="49"/>
  <c r="L16" i="70"/>
  <c r="L16" i="92"/>
  <c r="X22" i="92"/>
  <c r="L33" i="92"/>
  <c r="L20" i="93"/>
  <c r="X24" i="93"/>
  <c r="X16" i="94"/>
  <c r="R21" i="7"/>
  <c r="N34" i="49"/>
  <c r="L25" i="5"/>
  <c r="X21" i="8"/>
  <c r="X15" i="11"/>
  <c r="X16" i="16"/>
  <c r="X13" i="17"/>
  <c r="L21" i="17"/>
  <c r="L25" i="23"/>
  <c r="X13" i="25"/>
  <c r="X29" i="26"/>
  <c r="L20" i="28"/>
  <c r="V18" i="32"/>
  <c r="L29" i="32"/>
  <c r="X13" i="34"/>
  <c r="L33" i="41"/>
  <c r="L29" i="43"/>
  <c r="L34" i="52"/>
  <c r="X16" i="70"/>
  <c r="R16" i="92"/>
  <c r="X24" i="94"/>
  <c r="V20" i="7"/>
  <c r="R20" i="13"/>
  <c r="L29" i="37"/>
  <c r="X29" i="50"/>
  <c r="L25" i="13"/>
  <c r="L13" i="26"/>
  <c r="L29" i="28"/>
  <c r="X29" i="32"/>
  <c r="L20" i="37"/>
  <c r="L16" i="52"/>
  <c r="R20" i="52"/>
  <c r="L34" i="92"/>
  <c r="X21" i="38"/>
  <c r="L20" i="4"/>
  <c r="L15" i="5"/>
  <c r="X21" i="5"/>
  <c r="L15" i="7"/>
  <c r="L13" i="8"/>
  <c r="X16" i="10"/>
  <c r="L15" i="13"/>
  <c r="X16" i="13"/>
  <c r="X25" i="13"/>
  <c r="X22" i="14"/>
  <c r="X24" i="22"/>
  <c r="L15" i="23"/>
  <c r="L34" i="23"/>
  <c r="X15" i="25"/>
  <c r="X25" i="26"/>
  <c r="L15" i="29"/>
  <c r="X25" i="31"/>
  <c r="L22" i="37"/>
  <c r="L29" i="41"/>
  <c r="L34" i="41"/>
  <c r="L25" i="43"/>
  <c r="L22" i="44"/>
  <c r="X24" i="46"/>
  <c r="X21" i="49"/>
  <c r="L16" i="50"/>
  <c r="X24" i="70"/>
  <c r="X13" i="92"/>
  <c r="X29" i="92"/>
  <c r="X16" i="93"/>
  <c r="L33" i="5"/>
  <c r="L13" i="10"/>
  <c r="L22" i="10"/>
  <c r="X34" i="10"/>
  <c r="L24" i="11"/>
  <c r="L13" i="14"/>
  <c r="X20" i="14"/>
  <c r="L22" i="14"/>
  <c r="X34" i="14"/>
  <c r="X21" i="16"/>
  <c r="L24" i="16"/>
  <c r="L16" i="17"/>
  <c r="L20" i="17"/>
  <c r="X34" i="17"/>
  <c r="X15" i="19"/>
  <c r="X25" i="20"/>
  <c r="X33" i="20"/>
  <c r="L15" i="22"/>
  <c r="L24" i="22"/>
  <c r="L21" i="23"/>
  <c r="X22" i="23"/>
  <c r="J31" i="23"/>
  <c r="X34" i="23"/>
  <c r="X33" i="26"/>
  <c r="X20" i="28"/>
  <c r="L22" i="28"/>
  <c r="L21" i="29"/>
  <c r="X25" i="29"/>
  <c r="X33" i="29"/>
  <c r="L25" i="31"/>
  <c r="L33" i="31"/>
  <c r="X15" i="32"/>
  <c r="X33" i="32"/>
  <c r="L13" i="34"/>
  <c r="X20" i="34"/>
  <c r="X29" i="34"/>
  <c r="X34" i="34"/>
  <c r="X33" i="35"/>
  <c r="L20" i="38"/>
  <c r="L34" i="38"/>
  <c r="X24" i="40"/>
  <c r="X22" i="43"/>
  <c r="L15" i="46"/>
  <c r="X13" i="47"/>
  <c r="X16" i="52"/>
  <c r="X33" i="52"/>
  <c r="R15" i="53"/>
  <c r="L25" i="92"/>
  <c r="X22" i="93"/>
  <c r="X21" i="94"/>
  <c r="J15" i="16"/>
  <c r="R15" i="32"/>
  <c r="X34" i="8"/>
  <c r="L25" i="10"/>
  <c r="X21" i="26"/>
  <c r="R16" i="41"/>
  <c r="V16" i="43"/>
  <c r="V22" i="43"/>
  <c r="Z34" i="8"/>
  <c r="L21" i="10"/>
  <c r="L13" i="11"/>
  <c r="L22" i="11"/>
  <c r="X29" i="11"/>
  <c r="X24" i="13"/>
  <c r="L13" i="16"/>
  <c r="X34" i="16"/>
  <c r="R15" i="22"/>
  <c r="J27" i="23"/>
  <c r="X25" i="25"/>
  <c r="X33" i="25"/>
  <c r="X16" i="28"/>
  <c r="L21" i="28"/>
  <c r="V29" i="28"/>
  <c r="L15" i="31"/>
  <c r="X16" i="31"/>
  <c r="L24" i="31"/>
  <c r="R24" i="32"/>
  <c r="L21" i="34"/>
  <c r="X24" i="35"/>
  <c r="L16" i="38"/>
  <c r="L25" i="40"/>
  <c r="L33" i="40"/>
  <c r="V34" i="40"/>
  <c r="L13" i="43"/>
  <c r="L33" i="44"/>
  <c r="X21" i="47"/>
  <c r="L13" i="50"/>
  <c r="L13" i="52"/>
  <c r="X21" i="92"/>
  <c r="L24" i="92"/>
  <c r="L22" i="94"/>
  <c r="X29" i="94"/>
  <c r="X34" i="94"/>
  <c r="R36" i="8"/>
  <c r="L15" i="14"/>
  <c r="X16" i="14"/>
  <c r="R15" i="20"/>
  <c r="X34" i="20"/>
  <c r="L13" i="22"/>
  <c r="X20" i="22"/>
  <c r="L29" i="23"/>
  <c r="X34" i="7"/>
  <c r="R18" i="8"/>
  <c r="Z12" i="17"/>
  <c r="V16" i="17"/>
  <c r="L25" i="46"/>
  <c r="L29" i="49"/>
  <c r="X16" i="53"/>
  <c r="X25" i="53"/>
  <c r="X22" i="4"/>
  <c r="L33" i="4"/>
  <c r="X29" i="5"/>
  <c r="V22" i="7"/>
  <c r="X25" i="7"/>
  <c r="L29" i="10"/>
  <c r="L21" i="16"/>
  <c r="X22" i="16"/>
  <c r="L15" i="19"/>
  <c r="X13" i="22"/>
  <c r="X22" i="22"/>
  <c r="X24" i="25"/>
  <c r="X13" i="26"/>
  <c r="X22" i="26"/>
  <c r="L33" i="26"/>
  <c r="L24" i="28"/>
  <c r="L25" i="29"/>
  <c r="L33" i="29"/>
  <c r="L25" i="35"/>
  <c r="L33" i="35"/>
  <c r="L15" i="38"/>
  <c r="X16" i="38"/>
  <c r="X33" i="38"/>
  <c r="L22" i="41"/>
  <c r="X24" i="41"/>
  <c r="L15" i="44"/>
  <c r="L21" i="46"/>
  <c r="X16" i="50"/>
  <c r="X25" i="50"/>
  <c r="L33" i="52"/>
  <c r="V34" i="52"/>
  <c r="L24" i="53"/>
  <c r="X33" i="53"/>
  <c r="L22" i="92"/>
  <c r="X20" i="93"/>
  <c r="R16" i="94"/>
  <c r="V21" i="5"/>
  <c r="R18" i="7"/>
  <c r="V25" i="7"/>
  <c r="L15" i="8"/>
  <c r="N25" i="10"/>
  <c r="L12" i="11"/>
  <c r="N34" i="16"/>
  <c r="L34" i="16"/>
  <c r="R16" i="20"/>
  <c r="Z34" i="23"/>
  <c r="L29" i="53"/>
  <c r="L25" i="4"/>
  <c r="X29" i="4"/>
  <c r="L34" i="4"/>
  <c r="X20" i="5"/>
  <c r="L24" i="5"/>
  <c r="V15" i="7"/>
  <c r="V34" i="7"/>
  <c r="L33" i="8"/>
  <c r="X15" i="10"/>
  <c r="X21" i="10"/>
  <c r="L24" i="10"/>
  <c r="X25" i="10"/>
  <c r="L33" i="10"/>
  <c r="X13" i="11"/>
  <c r="V34" i="94"/>
  <c r="V16" i="94"/>
  <c r="Z12" i="94"/>
  <c r="R20" i="11"/>
  <c r="R24" i="11"/>
  <c r="Z16" i="17"/>
  <c r="X16" i="17"/>
  <c r="V36" i="35"/>
  <c r="V33" i="35"/>
  <c r="V16" i="35"/>
  <c r="V27" i="35"/>
  <c r="Z12" i="35"/>
  <c r="X22" i="49"/>
  <c r="R21" i="93"/>
  <c r="R22" i="93"/>
  <c r="L29" i="5"/>
  <c r="L25" i="7"/>
  <c r="R33" i="7"/>
  <c r="L20" i="8"/>
  <c r="X25" i="8"/>
  <c r="X33" i="8"/>
  <c r="X13" i="10"/>
  <c r="X20" i="10"/>
  <c r="X33" i="10"/>
  <c r="X16" i="11"/>
  <c r="N21" i="31"/>
  <c r="L21" i="31"/>
  <c r="X24" i="37"/>
  <c r="J15" i="5"/>
  <c r="J21" i="13"/>
  <c r="J34" i="13"/>
  <c r="L22" i="5"/>
  <c r="N29" i="10"/>
  <c r="V34" i="47"/>
  <c r="V36" i="47"/>
  <c r="V29" i="47"/>
  <c r="V20" i="47"/>
  <c r="Z12" i="47"/>
  <c r="X24" i="4"/>
  <c r="F20" i="11"/>
  <c r="R34" i="16"/>
  <c r="R33" i="16"/>
  <c r="V31" i="35"/>
  <c r="L15" i="53"/>
  <c r="X15" i="5"/>
  <c r="F20" i="5"/>
  <c r="V16" i="7"/>
  <c r="V29" i="7"/>
  <c r="J36" i="11"/>
  <c r="J21" i="11"/>
  <c r="F34" i="50"/>
  <c r="D18" i="50"/>
  <c r="D27" i="50" s="1"/>
  <c r="F31" i="50"/>
  <c r="L29" i="13"/>
  <c r="L34" i="13"/>
  <c r="L25" i="14"/>
  <c r="L22" i="16"/>
  <c r="J24" i="17"/>
  <c r="L21" i="19"/>
  <c r="L33" i="19"/>
  <c r="X21" i="20"/>
  <c r="L25" i="20"/>
  <c r="L20" i="22"/>
  <c r="L29" i="22"/>
  <c r="X13" i="23"/>
  <c r="X20" i="23"/>
  <c r="X21" i="23"/>
  <c r="L33" i="23"/>
  <c r="H18" i="26"/>
  <c r="H27" i="26" s="1"/>
  <c r="J25" i="26"/>
  <c r="L33" i="28"/>
  <c r="L20" i="32"/>
  <c r="X12" i="35"/>
  <c r="R20" i="35"/>
  <c r="J15" i="37"/>
  <c r="V24" i="37"/>
  <c r="X13" i="38"/>
  <c r="F20" i="38"/>
  <c r="R22" i="38"/>
  <c r="R24" i="41"/>
  <c r="R21" i="44"/>
  <c r="L24" i="44"/>
  <c r="R25" i="44"/>
  <c r="R29" i="44"/>
  <c r="J18" i="49"/>
  <c r="L33" i="49"/>
  <c r="X20" i="50"/>
  <c r="L22" i="50"/>
  <c r="R33" i="52"/>
  <c r="F22" i="92"/>
  <c r="F22" i="94"/>
  <c r="L13" i="25"/>
  <c r="L24" i="26"/>
  <c r="X16" i="29"/>
  <c r="L22" i="29"/>
  <c r="X12" i="31"/>
  <c r="V22" i="31"/>
  <c r="R29" i="31"/>
  <c r="V33" i="31"/>
  <c r="R22" i="32"/>
  <c r="R22" i="34"/>
  <c r="X15" i="35"/>
  <c r="J24" i="35"/>
  <c r="X15" i="37"/>
  <c r="L21" i="37"/>
  <c r="X22" i="37"/>
  <c r="J33" i="37"/>
  <c r="X15" i="40"/>
  <c r="X21" i="40"/>
  <c r="X33" i="40"/>
  <c r="R15" i="41"/>
  <c r="R18" i="41"/>
  <c r="J21" i="41"/>
  <c r="R22" i="41"/>
  <c r="L24" i="43"/>
  <c r="R15" i="44"/>
  <c r="J34" i="44"/>
  <c r="X13" i="46"/>
  <c r="X20" i="46"/>
  <c r="L29" i="46"/>
  <c r="L24" i="49"/>
  <c r="R16" i="52"/>
  <c r="V24" i="52"/>
  <c r="X20" i="70"/>
  <c r="R15" i="94"/>
  <c r="L21" i="94"/>
  <c r="R16" i="13"/>
  <c r="X25" i="19"/>
  <c r="X33" i="19"/>
  <c r="L16" i="22"/>
  <c r="R20" i="22"/>
  <c r="L22" i="22"/>
  <c r="X29" i="22"/>
  <c r="V20" i="23"/>
  <c r="R27" i="23"/>
  <c r="J36" i="23"/>
  <c r="V25" i="28"/>
  <c r="R36" i="28"/>
  <c r="L13" i="37"/>
  <c r="J18" i="37"/>
  <c r="L13" i="40"/>
  <c r="X21" i="41"/>
  <c r="X13" i="44"/>
  <c r="X20" i="44"/>
  <c r="V25" i="44"/>
  <c r="V33" i="46"/>
  <c r="L13" i="47"/>
  <c r="R18" i="47"/>
  <c r="L16" i="49"/>
  <c r="V25" i="49"/>
  <c r="J33" i="49"/>
  <c r="F36" i="49"/>
  <c r="L21" i="50"/>
  <c r="X22" i="50"/>
  <c r="R15" i="52"/>
  <c r="X22" i="52"/>
  <c r="F18" i="92"/>
  <c r="R29" i="94"/>
  <c r="X24" i="11"/>
  <c r="J22" i="17"/>
  <c r="J24" i="20"/>
  <c r="P18" i="28"/>
  <c r="P27" i="28" s="1"/>
  <c r="V36" i="28"/>
  <c r="Z12" i="31"/>
  <c r="X20" i="31"/>
  <c r="V21" i="31"/>
  <c r="V29" i="31"/>
  <c r="L15" i="32"/>
  <c r="R21" i="32"/>
  <c r="V22" i="32"/>
  <c r="R29" i="32"/>
  <c r="R29" i="34"/>
  <c r="F18" i="35"/>
  <c r="R36" i="35"/>
  <c r="J36" i="37"/>
  <c r="R16" i="38"/>
  <c r="R20" i="38"/>
  <c r="F24" i="38"/>
  <c r="L16" i="46"/>
  <c r="L22" i="46"/>
  <c r="L20" i="47"/>
  <c r="R22" i="47"/>
  <c r="L12" i="49"/>
  <c r="X24" i="49"/>
  <c r="X15" i="70"/>
  <c r="V20" i="70"/>
  <c r="D18" i="92"/>
  <c r="D27" i="92" s="1"/>
  <c r="D31" i="92" s="1"/>
  <c r="F25" i="92"/>
  <c r="F18" i="93"/>
  <c r="J22" i="93"/>
  <c r="X29" i="93"/>
  <c r="X22" i="94"/>
  <c r="P18" i="13"/>
  <c r="P27" i="13" s="1"/>
  <c r="L24" i="13"/>
  <c r="L33" i="13"/>
  <c r="X21" i="14"/>
  <c r="X33" i="14"/>
  <c r="X25" i="16"/>
  <c r="N12" i="17"/>
  <c r="X20" i="20"/>
  <c r="N12" i="26"/>
  <c r="J33" i="26"/>
  <c r="R18" i="28"/>
  <c r="V25" i="31"/>
  <c r="J34" i="34"/>
  <c r="L16" i="35"/>
  <c r="R18" i="35"/>
  <c r="J22" i="35"/>
  <c r="V20" i="40"/>
  <c r="R36" i="41"/>
  <c r="L29" i="44"/>
  <c r="X34" i="47"/>
  <c r="T18" i="50"/>
  <c r="T27" i="50" s="1"/>
  <c r="R36" i="50"/>
  <c r="X21" i="52"/>
  <c r="F15" i="92"/>
  <c r="Z25" i="16"/>
  <c r="V15" i="19"/>
  <c r="L34" i="19"/>
  <c r="J22" i="20"/>
  <c r="R16" i="22"/>
  <c r="J15" i="23"/>
  <c r="R16" i="25"/>
  <c r="L22" i="25"/>
  <c r="V22" i="28"/>
  <c r="V33" i="28"/>
  <c r="R25" i="32"/>
  <c r="X25" i="34"/>
  <c r="F16" i="35"/>
  <c r="J24" i="37"/>
  <c r="F22" i="38"/>
  <c r="X24" i="38"/>
  <c r="V36" i="44"/>
  <c r="L16" i="47"/>
  <c r="R21" i="47"/>
  <c r="F15" i="49"/>
  <c r="V15" i="50"/>
  <c r="V25" i="50"/>
  <c r="J27" i="53"/>
  <c r="L33" i="53"/>
  <c r="V15" i="70"/>
  <c r="V18" i="70"/>
  <c r="J22" i="70"/>
  <c r="F16" i="93"/>
  <c r="R25" i="94"/>
  <c r="X22" i="11"/>
  <c r="X33" i="13"/>
  <c r="X15" i="14"/>
  <c r="X20" i="16"/>
  <c r="J27" i="16"/>
  <c r="X25" i="17"/>
  <c r="X33" i="17"/>
  <c r="L22" i="19"/>
  <c r="X29" i="19"/>
  <c r="L15" i="20"/>
  <c r="L21" i="20"/>
  <c r="L13" i="23"/>
  <c r="X15" i="23"/>
  <c r="L20" i="23"/>
  <c r="X25" i="23"/>
  <c r="X22" i="25"/>
  <c r="L15" i="26"/>
  <c r="X16" i="26"/>
  <c r="L34" i="28"/>
  <c r="X20" i="29"/>
  <c r="R15" i="31"/>
  <c r="V18" i="31"/>
  <c r="V20" i="32"/>
  <c r="L22" i="32"/>
  <c r="L15" i="34"/>
  <c r="R25" i="34"/>
  <c r="L33" i="34"/>
  <c r="F31" i="35"/>
  <c r="F34" i="35"/>
  <c r="N12" i="37"/>
  <c r="X25" i="37"/>
  <c r="J34" i="37"/>
  <c r="R18" i="38"/>
  <c r="R24" i="38"/>
  <c r="L21" i="40"/>
  <c r="L15" i="41"/>
  <c r="J24" i="41"/>
  <c r="X25" i="41"/>
  <c r="X33" i="41"/>
  <c r="L21" i="43"/>
  <c r="F18" i="46"/>
  <c r="L33" i="46"/>
  <c r="X34" i="46"/>
  <c r="X20" i="47"/>
  <c r="L21" i="49"/>
  <c r="L25" i="49"/>
  <c r="X29" i="49"/>
  <c r="V21" i="50"/>
  <c r="X24" i="50"/>
  <c r="N24" i="52"/>
  <c r="X25" i="52"/>
  <c r="L20" i="70"/>
  <c r="L13" i="92"/>
  <c r="X15" i="92"/>
  <c r="R20" i="92"/>
  <c r="X33" i="92"/>
  <c r="F36" i="92"/>
  <c r="L12" i="93"/>
  <c r="F33" i="93"/>
  <c r="R20" i="94"/>
  <c r="F22" i="19"/>
  <c r="F21" i="19"/>
  <c r="Z29" i="20"/>
  <c r="X29" i="20"/>
  <c r="L25" i="25"/>
  <c r="N25" i="25"/>
  <c r="L33" i="25"/>
  <c r="N33" i="25"/>
  <c r="L16" i="4"/>
  <c r="X24" i="8"/>
  <c r="N12" i="10"/>
  <c r="X25" i="11"/>
  <c r="X33" i="11"/>
  <c r="J21" i="14"/>
  <c r="X34" i="19"/>
  <c r="Z34" i="19"/>
  <c r="Z24" i="29"/>
  <c r="X24" i="29"/>
  <c r="J25" i="50"/>
  <c r="J16" i="50"/>
  <c r="H18" i="50"/>
  <c r="H27" i="50" s="1"/>
  <c r="J33" i="50"/>
  <c r="J29" i="50"/>
  <c r="J22" i="50"/>
  <c r="N12" i="50"/>
  <c r="J18" i="7"/>
  <c r="J21" i="7"/>
  <c r="J24" i="10"/>
  <c r="N20" i="43"/>
  <c r="L20" i="43"/>
  <c r="R33" i="4"/>
  <c r="X22" i="5"/>
  <c r="F29" i="8"/>
  <c r="F24" i="8"/>
  <c r="F27" i="8"/>
  <c r="F34" i="8"/>
  <c r="L29" i="8"/>
  <c r="F24" i="14"/>
  <c r="F34" i="14"/>
  <c r="F21" i="14"/>
  <c r="F20" i="14"/>
  <c r="F16" i="14"/>
  <c r="F31" i="14"/>
  <c r="F27" i="14"/>
  <c r="X29" i="16"/>
  <c r="Z29" i="16"/>
  <c r="J36" i="4"/>
  <c r="J18" i="4"/>
  <c r="J21" i="4"/>
  <c r="J18" i="14"/>
  <c r="J25" i="14"/>
  <c r="J36" i="14"/>
  <c r="H18" i="14"/>
  <c r="H27" i="14" s="1"/>
  <c r="N27" i="14" s="1"/>
  <c r="N12" i="14"/>
  <c r="J33" i="14"/>
  <c r="N13" i="20"/>
  <c r="L13" i="20"/>
  <c r="L29" i="25"/>
  <c r="N29" i="25"/>
  <c r="R34" i="4"/>
  <c r="R18" i="4"/>
  <c r="R36" i="4"/>
  <c r="P18" i="4"/>
  <c r="P27" i="4" s="1"/>
  <c r="R15" i="4"/>
  <c r="R22" i="4"/>
  <c r="R20" i="4"/>
  <c r="R16" i="4"/>
  <c r="R25" i="4"/>
  <c r="R21" i="4"/>
  <c r="N22" i="23"/>
  <c r="L22" i="23"/>
  <c r="J29" i="14"/>
  <c r="F34" i="20"/>
  <c r="F18" i="20"/>
  <c r="F16" i="20"/>
  <c r="F20" i="20"/>
  <c r="J22" i="10"/>
  <c r="J15" i="10"/>
  <c r="J33" i="10"/>
  <c r="J29" i="10"/>
  <c r="J25" i="10"/>
  <c r="J18" i="10"/>
  <c r="H18" i="10"/>
  <c r="H27" i="10" s="1"/>
  <c r="H31" i="10" s="1"/>
  <c r="J36" i="10"/>
  <c r="F24" i="7"/>
  <c r="F34" i="7"/>
  <c r="F20" i="7"/>
  <c r="F16" i="7"/>
  <c r="F31" i="7"/>
  <c r="X20" i="13"/>
  <c r="X21" i="13"/>
  <c r="J15" i="14"/>
  <c r="L21" i="14"/>
  <c r="L15" i="25"/>
  <c r="N15" i="25"/>
  <c r="N22" i="38"/>
  <c r="L22" i="38"/>
  <c r="J18" i="40"/>
  <c r="J34" i="40"/>
  <c r="J21" i="40"/>
  <c r="J15" i="40"/>
  <c r="J31" i="40"/>
  <c r="J25" i="40"/>
  <c r="H18" i="40"/>
  <c r="H27" i="40" s="1"/>
  <c r="N27" i="40" s="1"/>
  <c r="J27" i="40"/>
  <c r="V18" i="7"/>
  <c r="V27" i="7"/>
  <c r="V33" i="7"/>
  <c r="R21" i="8"/>
  <c r="X22" i="8"/>
  <c r="R25" i="8"/>
  <c r="J33" i="8"/>
  <c r="X13" i="13"/>
  <c r="R15" i="13"/>
  <c r="X29" i="14"/>
  <c r="R27" i="16"/>
  <c r="X33" i="16"/>
  <c r="F16" i="17"/>
  <c r="X13" i="19"/>
  <c r="T18" i="19"/>
  <c r="T27" i="19" s="1"/>
  <c r="Z27" i="19" s="1"/>
  <c r="N12" i="20"/>
  <c r="X15" i="20"/>
  <c r="X16" i="20"/>
  <c r="X16" i="22"/>
  <c r="N22" i="25"/>
  <c r="V33" i="29"/>
  <c r="V36" i="29"/>
  <c r="V27" i="29"/>
  <c r="F34" i="31"/>
  <c r="F20" i="31"/>
  <c r="N33" i="37"/>
  <c r="L33" i="37"/>
  <c r="Z13" i="43"/>
  <c r="X13" i="43"/>
  <c r="H18" i="19"/>
  <c r="H27" i="19" s="1"/>
  <c r="R33" i="29"/>
  <c r="R18" i="29"/>
  <c r="P18" i="29"/>
  <c r="P27" i="29" s="1"/>
  <c r="R15" i="29"/>
  <c r="R21" i="29"/>
  <c r="R20" i="40"/>
  <c r="R25" i="40"/>
  <c r="R36" i="40"/>
  <c r="P18" i="40"/>
  <c r="X12" i="40"/>
  <c r="R29" i="40"/>
  <c r="F34" i="43"/>
  <c r="F15" i="43"/>
  <c r="F18" i="43"/>
  <c r="F16" i="43"/>
  <c r="F25" i="43"/>
  <c r="F29" i="43"/>
  <c r="F20" i="43"/>
  <c r="F21" i="43"/>
  <c r="F22" i="43"/>
  <c r="V34" i="93"/>
  <c r="V36" i="93"/>
  <c r="V29" i="93"/>
  <c r="V25" i="93"/>
  <c r="V16" i="93"/>
  <c r="V33" i="93"/>
  <c r="V22" i="93"/>
  <c r="Z12" i="93"/>
  <c r="V18" i="93"/>
  <c r="V20" i="93"/>
  <c r="V15" i="93"/>
  <c r="H18" i="5"/>
  <c r="H27" i="5" s="1"/>
  <c r="N27" i="5" s="1"/>
  <c r="F24" i="5"/>
  <c r="J25" i="5"/>
  <c r="J29" i="5"/>
  <c r="J33" i="5"/>
  <c r="L16" i="7"/>
  <c r="L20" i="7"/>
  <c r="L29" i="7"/>
  <c r="V31" i="7"/>
  <c r="R36" i="7"/>
  <c r="R22" i="8"/>
  <c r="X29" i="8"/>
  <c r="V16" i="10"/>
  <c r="V20" i="10"/>
  <c r="D18" i="11"/>
  <c r="D27" i="11" s="1"/>
  <c r="D31" i="11" s="1"/>
  <c r="X20" i="11"/>
  <c r="J24" i="13"/>
  <c r="R36" i="13"/>
  <c r="V34" i="14"/>
  <c r="R15" i="16"/>
  <c r="V21" i="16"/>
  <c r="J25" i="16"/>
  <c r="J31" i="16"/>
  <c r="Z33" i="16"/>
  <c r="J15" i="17"/>
  <c r="F18" i="17"/>
  <c r="R22" i="17"/>
  <c r="Z13" i="19"/>
  <c r="J27" i="19"/>
  <c r="J31" i="19"/>
  <c r="J36" i="19"/>
  <c r="V16" i="20"/>
  <c r="R22" i="20"/>
  <c r="R24" i="20"/>
  <c r="F18" i="25"/>
  <c r="F34" i="25"/>
  <c r="F36" i="25"/>
  <c r="R22" i="29"/>
  <c r="R29" i="29"/>
  <c r="J21" i="31"/>
  <c r="H18" i="31"/>
  <c r="J34" i="31"/>
  <c r="J29" i="31"/>
  <c r="J31" i="31"/>
  <c r="J25" i="31"/>
  <c r="J27" i="31"/>
  <c r="J24" i="31"/>
  <c r="F24" i="32"/>
  <c r="F34" i="32"/>
  <c r="F16" i="32"/>
  <c r="F18" i="32"/>
  <c r="F31" i="32"/>
  <c r="F27" i="32"/>
  <c r="X24" i="32"/>
  <c r="Z34" i="40"/>
  <c r="X34" i="40"/>
  <c r="J24" i="46"/>
  <c r="J34" i="46"/>
  <c r="J22" i="46"/>
  <c r="J31" i="46"/>
  <c r="N12" i="46"/>
  <c r="J27" i="46"/>
  <c r="R36" i="70"/>
  <c r="R18" i="70"/>
  <c r="R24" i="70"/>
  <c r="R21" i="70"/>
  <c r="F21" i="41"/>
  <c r="F20" i="41"/>
  <c r="F24" i="41"/>
  <c r="F16" i="41"/>
  <c r="F18" i="41"/>
  <c r="X15" i="4"/>
  <c r="J18" i="5"/>
  <c r="F21" i="5"/>
  <c r="X12" i="7"/>
  <c r="L22" i="7"/>
  <c r="L33" i="7"/>
  <c r="V36" i="7"/>
  <c r="R20" i="8"/>
  <c r="R29" i="8"/>
  <c r="Z12" i="10"/>
  <c r="V21" i="10"/>
  <c r="X22" i="10"/>
  <c r="L34" i="10"/>
  <c r="X12" i="11"/>
  <c r="F18" i="11"/>
  <c r="F27" i="11"/>
  <c r="F31" i="11"/>
  <c r="J18" i="13"/>
  <c r="X29" i="13"/>
  <c r="R33" i="13"/>
  <c r="V16" i="14"/>
  <c r="V20" i="14"/>
  <c r="N12" i="16"/>
  <c r="X13" i="16"/>
  <c r="R31" i="16"/>
  <c r="J36" i="16"/>
  <c r="L12" i="17"/>
  <c r="X15" i="17"/>
  <c r="V18" i="17"/>
  <c r="V20" i="17"/>
  <c r="R24" i="17"/>
  <c r="Z12" i="19"/>
  <c r="Z16" i="20"/>
  <c r="J18" i="22"/>
  <c r="F24" i="22"/>
  <c r="V16" i="23"/>
  <c r="V21" i="23"/>
  <c r="L24" i="23"/>
  <c r="J25" i="23"/>
  <c r="J34" i="23"/>
  <c r="L12" i="25"/>
  <c r="X15" i="26"/>
  <c r="L16" i="28"/>
  <c r="J18" i="32"/>
  <c r="J24" i="32"/>
  <c r="J22" i="32"/>
  <c r="J21" i="32"/>
  <c r="N12" i="32"/>
  <c r="F22" i="37"/>
  <c r="F36" i="37"/>
  <c r="F29" i="37"/>
  <c r="F18" i="37"/>
  <c r="R15" i="40"/>
  <c r="L25" i="41"/>
  <c r="L20" i="92"/>
  <c r="V34" i="34"/>
  <c r="V36" i="34"/>
  <c r="V33" i="34"/>
  <c r="V21" i="34"/>
  <c r="V18" i="34"/>
  <c r="V29" i="34"/>
  <c r="V22" i="34"/>
  <c r="V25" i="34"/>
  <c r="V20" i="34"/>
  <c r="L20" i="5"/>
  <c r="J24" i="5"/>
  <c r="J36" i="5"/>
  <c r="Z12" i="7"/>
  <c r="R24" i="7"/>
  <c r="R16" i="8"/>
  <c r="R34" i="8"/>
  <c r="F15" i="11"/>
  <c r="J18" i="11"/>
  <c r="F34" i="11"/>
  <c r="L16" i="13"/>
  <c r="L20" i="13"/>
  <c r="R29" i="13"/>
  <c r="Z12" i="14"/>
  <c r="V27" i="14"/>
  <c r="R25" i="16"/>
  <c r="J29" i="16"/>
  <c r="R36" i="16"/>
  <c r="X21" i="19"/>
  <c r="J34" i="19"/>
  <c r="Z12" i="20"/>
  <c r="P18" i="22"/>
  <c r="P27" i="22" s="1"/>
  <c r="H18" i="23"/>
  <c r="H27" i="23" s="1"/>
  <c r="J29" i="23"/>
  <c r="J33" i="23"/>
  <c r="J18" i="25"/>
  <c r="F27" i="25"/>
  <c r="F31" i="25"/>
  <c r="F22" i="26"/>
  <c r="F21" i="26"/>
  <c r="F24" i="26"/>
  <c r="F34" i="28"/>
  <c r="F36" i="28"/>
  <c r="F25" i="28"/>
  <c r="F29" i="28"/>
  <c r="F22" i="28"/>
  <c r="X34" i="31"/>
  <c r="V24" i="38"/>
  <c r="V18" i="38"/>
  <c r="X13" i="4"/>
  <c r="F24" i="4"/>
  <c r="L16" i="5"/>
  <c r="X15" i="7"/>
  <c r="X22" i="7"/>
  <c r="R25" i="7"/>
  <c r="X29" i="7"/>
  <c r="X15" i="8"/>
  <c r="R27" i="8"/>
  <c r="R33" i="8"/>
  <c r="L16" i="10"/>
  <c r="L20" i="10"/>
  <c r="F21" i="10"/>
  <c r="F16" i="11"/>
  <c r="V18" i="11"/>
  <c r="L21" i="11"/>
  <c r="F24" i="11"/>
  <c r="X22" i="13"/>
  <c r="R25" i="13"/>
  <c r="L16" i="14"/>
  <c r="L20" i="14"/>
  <c r="V21" i="14"/>
  <c r="L29" i="14"/>
  <c r="V31" i="14"/>
  <c r="L34" i="14"/>
  <c r="H18" i="16"/>
  <c r="N18" i="16" s="1"/>
  <c r="J34" i="16"/>
  <c r="V15" i="17"/>
  <c r="F20" i="17"/>
  <c r="J15" i="19"/>
  <c r="J25" i="19"/>
  <c r="J29" i="19"/>
  <c r="J33" i="19"/>
  <c r="R18" i="20"/>
  <c r="V20" i="20"/>
  <c r="R18" i="22"/>
  <c r="F22" i="22"/>
  <c r="F21" i="23"/>
  <c r="D18" i="25"/>
  <c r="D27" i="25" s="1"/>
  <c r="L16" i="25"/>
  <c r="L20" i="25"/>
  <c r="J20" i="26"/>
  <c r="J15" i="26"/>
  <c r="J36" i="26"/>
  <c r="J18" i="26"/>
  <c r="J16" i="28"/>
  <c r="J20" i="28"/>
  <c r="V16" i="34"/>
  <c r="V24" i="35"/>
  <c r="V29" i="35"/>
  <c r="V15" i="35"/>
  <c r="V34" i="35"/>
  <c r="V25" i="35"/>
  <c r="V22" i="35"/>
  <c r="V20" i="35"/>
  <c r="V18" i="35"/>
  <c r="L15" i="35"/>
  <c r="Z20" i="40"/>
  <c r="X20" i="40"/>
  <c r="R33" i="40"/>
  <c r="X20" i="53"/>
  <c r="N15" i="92"/>
  <c r="L15" i="92"/>
  <c r="L22" i="4"/>
  <c r="X33" i="4"/>
  <c r="F16" i="5"/>
  <c r="L13" i="7"/>
  <c r="R15" i="7"/>
  <c r="X21" i="7"/>
  <c r="R22" i="7"/>
  <c r="R29" i="7"/>
  <c r="X33" i="7"/>
  <c r="R15" i="8"/>
  <c r="J18" i="8"/>
  <c r="L22" i="8"/>
  <c r="R31" i="8"/>
  <c r="F16" i="10"/>
  <c r="F20" i="10"/>
  <c r="J15" i="11"/>
  <c r="F21" i="11"/>
  <c r="J22" i="11"/>
  <c r="J25" i="11"/>
  <c r="J29" i="11"/>
  <c r="J33" i="11"/>
  <c r="X34" i="11"/>
  <c r="L13" i="13"/>
  <c r="R22" i="13"/>
  <c r="J31" i="13"/>
  <c r="L24" i="14"/>
  <c r="L33" i="14"/>
  <c r="L15" i="16"/>
  <c r="P18" i="16"/>
  <c r="P27" i="16" s="1"/>
  <c r="P31" i="16" s="1"/>
  <c r="R29" i="16"/>
  <c r="J33" i="16"/>
  <c r="L22" i="17"/>
  <c r="L24" i="17"/>
  <c r="X29" i="17"/>
  <c r="L34" i="17"/>
  <c r="X16" i="19"/>
  <c r="V21" i="19"/>
  <c r="L24" i="19"/>
  <c r="V18" i="20"/>
  <c r="Z20" i="20"/>
  <c r="L24" i="20"/>
  <c r="X25" i="22"/>
  <c r="Z12" i="23"/>
  <c r="X29" i="23"/>
  <c r="X33" i="23"/>
  <c r="X12" i="25"/>
  <c r="F15" i="25"/>
  <c r="F16" i="25"/>
  <c r="F20" i="25"/>
  <c r="F21" i="25"/>
  <c r="F24" i="25"/>
  <c r="F25" i="25"/>
  <c r="F29" i="25"/>
  <c r="F33" i="25"/>
  <c r="X34" i="26"/>
  <c r="R34" i="28"/>
  <c r="R25" i="28"/>
  <c r="R24" i="28"/>
  <c r="R21" i="28"/>
  <c r="R33" i="28"/>
  <c r="R29" i="28"/>
  <c r="R22" i="28"/>
  <c r="R16" i="28"/>
  <c r="R15" i="28"/>
  <c r="F15" i="28"/>
  <c r="V25" i="29"/>
  <c r="F16" i="31"/>
  <c r="X25" i="32"/>
  <c r="X34" i="32"/>
  <c r="V15" i="34"/>
  <c r="X13" i="40"/>
  <c r="T18" i="40"/>
  <c r="T27" i="40" s="1"/>
  <c r="V16" i="40"/>
  <c r="V22" i="40"/>
  <c r="R36" i="43"/>
  <c r="R24" i="43"/>
  <c r="R22" i="43"/>
  <c r="R18" i="43"/>
  <c r="R22" i="46"/>
  <c r="R25" i="46"/>
  <c r="R15" i="46"/>
  <c r="R36" i="46"/>
  <c r="R18" i="46"/>
  <c r="P18" i="46"/>
  <c r="X12" i="46"/>
  <c r="R33" i="46"/>
  <c r="R29" i="46"/>
  <c r="Z22" i="70"/>
  <c r="X22" i="70"/>
  <c r="P18" i="93"/>
  <c r="P27" i="93" s="1"/>
  <c r="P31" i="93" s="1"/>
  <c r="X15" i="93"/>
  <c r="L25" i="28"/>
  <c r="L13" i="29"/>
  <c r="T18" i="31"/>
  <c r="T27" i="31" s="1"/>
  <c r="R36" i="31"/>
  <c r="R16" i="32"/>
  <c r="V25" i="32"/>
  <c r="R33" i="32"/>
  <c r="V34" i="32"/>
  <c r="H18" i="34"/>
  <c r="X21" i="34"/>
  <c r="R33" i="34"/>
  <c r="R21" i="35"/>
  <c r="R22" i="35"/>
  <c r="R24" i="35"/>
  <c r="X25" i="35"/>
  <c r="V20" i="37"/>
  <c r="L24" i="37"/>
  <c r="J27" i="37"/>
  <c r="Z13" i="40"/>
  <c r="V15" i="40"/>
  <c r="V21" i="40"/>
  <c r="V27" i="40"/>
  <c r="N12" i="41"/>
  <c r="X13" i="41"/>
  <c r="R20" i="41"/>
  <c r="V34" i="43"/>
  <c r="V21" i="43"/>
  <c r="V20" i="43"/>
  <c r="V18" i="43"/>
  <c r="Z12" i="43"/>
  <c r="X15" i="44"/>
  <c r="X16" i="44"/>
  <c r="V20" i="46"/>
  <c r="V36" i="46"/>
  <c r="V18" i="46"/>
  <c r="T18" i="46"/>
  <c r="T27" i="46" s="1"/>
  <c r="V27" i="46"/>
  <c r="V25" i="46"/>
  <c r="V15" i="46"/>
  <c r="X25" i="46"/>
  <c r="V29" i="49"/>
  <c r="V20" i="49"/>
  <c r="Z20" i="50"/>
  <c r="L25" i="52"/>
  <c r="L20" i="26"/>
  <c r="V15" i="31"/>
  <c r="V16" i="31"/>
  <c r="L29" i="31"/>
  <c r="V36" i="31"/>
  <c r="V15" i="32"/>
  <c r="V29" i="32"/>
  <c r="J15" i="34"/>
  <c r="F16" i="34"/>
  <c r="R25" i="35"/>
  <c r="X13" i="37"/>
  <c r="V29" i="37"/>
  <c r="X33" i="37"/>
  <c r="X20" i="38"/>
  <c r="X22" i="38"/>
  <c r="Z12" i="40"/>
  <c r="L15" i="40"/>
  <c r="Z15" i="40"/>
  <c r="L29" i="40"/>
  <c r="V31" i="40"/>
  <c r="R34" i="41"/>
  <c r="R29" i="41"/>
  <c r="R33" i="41"/>
  <c r="L16" i="41"/>
  <c r="J18" i="41"/>
  <c r="L22" i="43"/>
  <c r="R24" i="46"/>
  <c r="X33" i="46"/>
  <c r="Z12" i="49"/>
  <c r="H18" i="53"/>
  <c r="H27" i="53" s="1"/>
  <c r="L25" i="53"/>
  <c r="L13" i="70"/>
  <c r="L12" i="92"/>
  <c r="J18" i="92"/>
  <c r="J15" i="92"/>
  <c r="X34" i="93"/>
  <c r="X20" i="94"/>
  <c r="L13" i="28"/>
  <c r="X34" i="28"/>
  <c r="V16" i="32"/>
  <c r="L25" i="32"/>
  <c r="V27" i="32"/>
  <c r="V33" i="32"/>
  <c r="R15" i="35"/>
  <c r="F20" i="35"/>
  <c r="R29" i="35"/>
  <c r="F18" i="38"/>
  <c r="D18" i="46"/>
  <c r="D27" i="46" s="1"/>
  <c r="N15" i="49"/>
  <c r="L15" i="49"/>
  <c r="L24" i="93"/>
  <c r="L24" i="94"/>
  <c r="L33" i="94"/>
  <c r="X21" i="28"/>
  <c r="X24" i="28"/>
  <c r="J24" i="29"/>
  <c r="R22" i="31"/>
  <c r="R25" i="31"/>
  <c r="X12" i="32"/>
  <c r="L16" i="32"/>
  <c r="R20" i="32"/>
  <c r="V31" i="32"/>
  <c r="R36" i="32"/>
  <c r="R15" i="34"/>
  <c r="J27" i="34"/>
  <c r="N12" i="35"/>
  <c r="R16" i="35"/>
  <c r="R33" i="35"/>
  <c r="J31" i="37"/>
  <c r="F16" i="38"/>
  <c r="X25" i="38"/>
  <c r="L20" i="41"/>
  <c r="Z29" i="44"/>
  <c r="X29" i="44"/>
  <c r="X15" i="46"/>
  <c r="J22" i="53"/>
  <c r="J36" i="53"/>
  <c r="J21" i="53"/>
  <c r="J29" i="53"/>
  <c r="J24" i="53"/>
  <c r="J15" i="53"/>
  <c r="J31" i="53"/>
  <c r="J25" i="53"/>
  <c r="J18" i="53"/>
  <c r="J34" i="53"/>
  <c r="F34" i="70"/>
  <c r="F16" i="70"/>
  <c r="F15" i="70"/>
  <c r="F22" i="70"/>
  <c r="F20" i="70"/>
  <c r="L16" i="93"/>
  <c r="X20" i="26"/>
  <c r="L34" i="26"/>
  <c r="X13" i="28"/>
  <c r="V15" i="28"/>
  <c r="Z16" i="28"/>
  <c r="X29" i="29"/>
  <c r="L13" i="31"/>
  <c r="V20" i="31"/>
  <c r="X21" i="31"/>
  <c r="X29" i="31"/>
  <c r="X33" i="31"/>
  <c r="Z12" i="32"/>
  <c r="R18" i="32"/>
  <c r="X21" i="32"/>
  <c r="X22" i="32"/>
  <c r="L33" i="32"/>
  <c r="V36" i="32"/>
  <c r="X12" i="34"/>
  <c r="T18" i="34"/>
  <c r="Z18" i="34" s="1"/>
  <c r="F20" i="34"/>
  <c r="L22" i="34"/>
  <c r="J24" i="34"/>
  <c r="L29" i="34"/>
  <c r="J31" i="34"/>
  <c r="J21" i="35"/>
  <c r="L22" i="35"/>
  <c r="F27" i="35"/>
  <c r="L16" i="37"/>
  <c r="L34" i="37"/>
  <c r="L29" i="38"/>
  <c r="X29" i="40"/>
  <c r="J22" i="41"/>
  <c r="L34" i="43"/>
  <c r="J24" i="44"/>
  <c r="J31" i="44"/>
  <c r="J27" i="44"/>
  <c r="N12" i="44"/>
  <c r="X24" i="44"/>
  <c r="V22" i="46"/>
  <c r="X29" i="46"/>
  <c r="L21" i="47"/>
  <c r="X22" i="47"/>
  <c r="V22" i="49"/>
  <c r="R34" i="52"/>
  <c r="R36" i="52"/>
  <c r="R25" i="52"/>
  <c r="R18" i="52"/>
  <c r="R24" i="52"/>
  <c r="R22" i="52"/>
  <c r="X20" i="52"/>
  <c r="Z20" i="52"/>
  <c r="X24" i="52"/>
  <c r="R36" i="53"/>
  <c r="P18" i="53"/>
  <c r="P27" i="53" s="1"/>
  <c r="R34" i="53"/>
  <c r="R33" i="53"/>
  <c r="R20" i="53"/>
  <c r="R16" i="53"/>
  <c r="R25" i="53"/>
  <c r="R36" i="93"/>
  <c r="R24" i="93"/>
  <c r="R18" i="93"/>
  <c r="R15" i="93"/>
  <c r="X13" i="93"/>
  <c r="X33" i="93"/>
  <c r="X16" i="43"/>
  <c r="R24" i="44"/>
  <c r="R36" i="44"/>
  <c r="F15" i="47"/>
  <c r="F16" i="47"/>
  <c r="R20" i="47"/>
  <c r="F25" i="47"/>
  <c r="V33" i="47"/>
  <c r="X12" i="49"/>
  <c r="D18" i="49"/>
  <c r="L18" i="49" s="1"/>
  <c r="X34" i="49"/>
  <c r="R15" i="50"/>
  <c r="R21" i="50"/>
  <c r="R25" i="50"/>
  <c r="V31" i="50"/>
  <c r="V34" i="50"/>
  <c r="X13" i="53"/>
  <c r="X15" i="53"/>
  <c r="X29" i="53"/>
  <c r="X21" i="70"/>
  <c r="L33" i="70"/>
  <c r="X34" i="70"/>
  <c r="N12" i="93"/>
  <c r="F25" i="93"/>
  <c r="F29" i="93"/>
  <c r="L13" i="94"/>
  <c r="X34" i="43"/>
  <c r="V15" i="44"/>
  <c r="P18" i="44"/>
  <c r="P27" i="44" s="1"/>
  <c r="V22" i="44"/>
  <c r="L25" i="44"/>
  <c r="V29" i="44"/>
  <c r="R33" i="44"/>
  <c r="F15" i="46"/>
  <c r="F25" i="46"/>
  <c r="R15" i="47"/>
  <c r="F20" i="47"/>
  <c r="V22" i="47"/>
  <c r="R24" i="47"/>
  <c r="L13" i="49"/>
  <c r="J15" i="49"/>
  <c r="F16" i="49"/>
  <c r="F21" i="49"/>
  <c r="F25" i="49"/>
  <c r="X33" i="49"/>
  <c r="J36" i="49"/>
  <c r="F18" i="50"/>
  <c r="V22" i="50"/>
  <c r="R29" i="50"/>
  <c r="V36" i="50"/>
  <c r="L22" i="52"/>
  <c r="V22" i="70"/>
  <c r="X16" i="92"/>
  <c r="F21" i="92"/>
  <c r="F24" i="92"/>
  <c r="F29" i="92"/>
  <c r="F33" i="92"/>
  <c r="F20" i="93"/>
  <c r="F36" i="93"/>
  <c r="V20" i="94"/>
  <c r="R22" i="94"/>
  <c r="X33" i="94"/>
  <c r="X20" i="43"/>
  <c r="X21" i="43"/>
  <c r="L33" i="43"/>
  <c r="R18" i="44"/>
  <c r="V21" i="44"/>
  <c r="V27" i="44"/>
  <c r="F36" i="46"/>
  <c r="R16" i="47"/>
  <c r="V25" i="47"/>
  <c r="F33" i="47"/>
  <c r="F20" i="49"/>
  <c r="F25" i="50"/>
  <c r="R27" i="50"/>
  <c r="X13" i="52"/>
  <c r="L20" i="52"/>
  <c r="F22" i="52"/>
  <c r="F24" i="52"/>
  <c r="F31" i="52"/>
  <c r="X34" i="53"/>
  <c r="Z12" i="70"/>
  <c r="V16" i="70"/>
  <c r="L22" i="70"/>
  <c r="L22" i="93"/>
  <c r="L16" i="94"/>
  <c r="P18" i="94"/>
  <c r="P27" i="94" s="1"/>
  <c r="L29" i="94"/>
  <c r="R33" i="94"/>
  <c r="R36" i="94"/>
  <c r="X24" i="43"/>
  <c r="T18" i="44"/>
  <c r="T27" i="44" s="1"/>
  <c r="T31" i="44" s="1"/>
  <c r="T36" i="44" s="1"/>
  <c r="Z36" i="44" s="1"/>
  <c r="V33" i="44"/>
  <c r="L24" i="46"/>
  <c r="V15" i="47"/>
  <c r="L22" i="47"/>
  <c r="L29" i="47"/>
  <c r="X12" i="50"/>
  <c r="V18" i="50"/>
  <c r="F22" i="50"/>
  <c r="V27" i="50"/>
  <c r="V29" i="50"/>
  <c r="X34" i="50"/>
  <c r="F27" i="52"/>
  <c r="F34" i="52"/>
  <c r="L13" i="53"/>
  <c r="L21" i="53"/>
  <c r="L15" i="70"/>
  <c r="L21" i="70"/>
  <c r="X20" i="92"/>
  <c r="X34" i="92"/>
  <c r="F15" i="93"/>
  <c r="L21" i="93"/>
  <c r="F22" i="93"/>
  <c r="R18" i="94"/>
  <c r="V22" i="94"/>
  <c r="X12" i="44"/>
  <c r="V18" i="44"/>
  <c r="V31" i="44"/>
  <c r="V34" i="44"/>
  <c r="V16" i="47"/>
  <c r="F22" i="47"/>
  <c r="F29" i="47"/>
  <c r="X33" i="47"/>
  <c r="F36" i="47"/>
  <c r="X15" i="49"/>
  <c r="L20" i="50"/>
  <c r="L29" i="50"/>
  <c r="V33" i="50"/>
  <c r="L15" i="52"/>
  <c r="L29" i="52"/>
  <c r="X24" i="53"/>
  <c r="L34" i="53"/>
  <c r="L24" i="70"/>
  <c r="X24" i="92"/>
  <c r="L15" i="94"/>
  <c r="L20" i="94"/>
  <c r="L34" i="94"/>
  <c r="N64" i="3"/>
  <c r="N111" i="3"/>
  <c r="Z117" i="3"/>
  <c r="N119" i="3"/>
  <c r="N182" i="3"/>
  <c r="Z25" i="3"/>
  <c r="Z65" i="3"/>
  <c r="N133" i="3"/>
  <c r="N108" i="3"/>
  <c r="Z139" i="3"/>
  <c r="D26" i="6"/>
  <c r="L22" i="6"/>
  <c r="N29" i="6"/>
  <c r="Z182" i="3"/>
  <c r="H26" i="6"/>
  <c r="N22" i="6"/>
  <c r="Z29" i="6"/>
  <c r="Z93" i="3"/>
  <c r="N76" i="3"/>
  <c r="F169" i="3"/>
  <c r="F153" i="3"/>
  <c r="F146" i="3"/>
  <c r="F138" i="3"/>
  <c r="F133" i="3"/>
  <c r="F121" i="3"/>
  <c r="F118" i="3"/>
  <c r="F113" i="3"/>
  <c r="F110" i="3"/>
  <c r="F106" i="3"/>
  <c r="F101" i="3"/>
  <c r="F98" i="3"/>
  <c r="F94" i="3"/>
  <c r="F89" i="3"/>
  <c r="F86" i="3"/>
  <c r="F78" i="3"/>
  <c r="F74" i="3"/>
  <c r="F66" i="3"/>
  <c r="F58" i="3"/>
  <c r="F42" i="3"/>
  <c r="F166" i="3"/>
  <c r="F156" i="3"/>
  <c r="F145" i="3"/>
  <c r="F141" i="3"/>
  <c r="F137" i="3"/>
  <c r="F128" i="3"/>
  <c r="F109" i="3"/>
  <c r="F97" i="3"/>
  <c r="F85" i="3"/>
  <c r="F77" i="3"/>
  <c r="F73" i="3"/>
  <c r="F64" i="3"/>
  <c r="F57" i="3"/>
  <c r="F49" i="3"/>
  <c r="F41" i="3"/>
  <c r="F33" i="3"/>
  <c r="L12" i="3"/>
  <c r="N12" i="3" s="1"/>
  <c r="F181" i="3"/>
  <c r="F171" i="3"/>
  <c r="F152" i="3"/>
  <c r="F144" i="3"/>
  <c r="F140" i="3"/>
  <c r="F136" i="3"/>
  <c r="F132" i="3"/>
  <c r="F123" i="3"/>
  <c r="F120" i="3"/>
  <c r="F115" i="3"/>
  <c r="F112" i="3"/>
  <c r="F103" i="3"/>
  <c r="F100" i="3"/>
  <c r="F91" i="3"/>
  <c r="F88" i="3"/>
  <c r="F84" i="3"/>
  <c r="F72" i="3"/>
  <c r="F56" i="3"/>
  <c r="F48" i="3"/>
  <c r="F40" i="3"/>
  <c r="F32" i="3"/>
  <c r="F168" i="3"/>
  <c r="F162" i="3"/>
  <c r="F158" i="3"/>
  <c r="F155" i="3"/>
  <c r="F151" i="3"/>
  <c r="F143" i="3"/>
  <c r="F135" i="3"/>
  <c r="F131" i="3"/>
  <c r="F127" i="3"/>
  <c r="F83" i="3"/>
  <c r="F71" i="3"/>
  <c r="F55" i="3"/>
  <c r="F47" i="3"/>
  <c r="F39" i="3"/>
  <c r="F31" i="3"/>
  <c r="F37" i="3"/>
  <c r="F50" i="3"/>
  <c r="F34" i="3"/>
  <c r="F173" i="3"/>
  <c r="F154" i="3"/>
  <c r="F150" i="3"/>
  <c r="F134" i="3"/>
  <c r="F130" i="3"/>
  <c r="F126" i="3"/>
  <c r="F122" i="3"/>
  <c r="F117" i="3"/>
  <c r="F114" i="3"/>
  <c r="F105" i="3"/>
  <c r="F102" i="3"/>
  <c r="F93" i="3"/>
  <c r="F90" i="3"/>
  <c r="F82" i="3"/>
  <c r="F70" i="3"/>
  <c r="F65" i="3"/>
  <c r="F54" i="3"/>
  <c r="F46" i="3"/>
  <c r="F38" i="3"/>
  <c r="F30" i="3"/>
  <c r="F25" i="3"/>
  <c r="F26" i="3"/>
  <c r="F170" i="3"/>
  <c r="F161" i="3"/>
  <c r="F157" i="3"/>
  <c r="F149" i="3"/>
  <c r="F129" i="3"/>
  <c r="F125" i="3"/>
  <c r="F108" i="3"/>
  <c r="F96" i="3"/>
  <c r="F81" i="3"/>
  <c r="F76" i="3"/>
  <c r="F69" i="3"/>
  <c r="F53" i="3"/>
  <c r="F45" i="3"/>
  <c r="F29" i="3"/>
  <c r="F27" i="3"/>
  <c r="F182" i="3"/>
  <c r="F167" i="3"/>
  <c r="F160" i="3"/>
  <c r="F148" i="3"/>
  <c r="F139" i="3"/>
  <c r="F124" i="3"/>
  <c r="F119" i="3"/>
  <c r="F116" i="3"/>
  <c r="F111" i="3"/>
  <c r="F104" i="3"/>
  <c r="F99" i="3"/>
  <c r="F92" i="3"/>
  <c r="F87" i="3"/>
  <c r="F80" i="3"/>
  <c r="F68" i="3"/>
  <c r="D62" i="3"/>
  <c r="F62" i="3" s="1"/>
  <c r="F60" i="3"/>
  <c r="F52" i="3"/>
  <c r="F44" i="3"/>
  <c r="F36" i="3"/>
  <c r="F28" i="3"/>
  <c r="F43" i="3"/>
  <c r="F35" i="3"/>
  <c r="F177" i="3"/>
  <c r="F172" i="3"/>
  <c r="F163" i="3"/>
  <c r="F159" i="3"/>
  <c r="F147" i="3"/>
  <c r="F142" i="3"/>
  <c r="F107" i="3"/>
  <c r="F95" i="3"/>
  <c r="F79" i="3"/>
  <c r="F75" i="3"/>
  <c r="F67" i="3"/>
  <c r="F59" i="3"/>
  <c r="F51" i="3"/>
  <c r="N87" i="3"/>
  <c r="N89" i="3"/>
  <c r="Z105" i="3"/>
  <c r="Z158" i="3"/>
  <c r="Z162" i="3"/>
  <c r="T26" i="6"/>
  <c r="Z22" i="6"/>
  <c r="N99" i="3"/>
  <c r="N139" i="3"/>
  <c r="V30" i="3"/>
  <c r="V46" i="3"/>
  <c r="V54" i="3"/>
  <c r="J58" i="3"/>
  <c r="J64" i="3"/>
  <c r="J66" i="3"/>
  <c r="V70" i="3"/>
  <c r="J74" i="3"/>
  <c r="J78" i="3"/>
  <c r="V82" i="3"/>
  <c r="J86" i="3"/>
  <c r="V90" i="3"/>
  <c r="J94" i="3"/>
  <c r="J98" i="3"/>
  <c r="V102" i="3"/>
  <c r="J106" i="3"/>
  <c r="J110" i="3"/>
  <c r="V114" i="3"/>
  <c r="J118" i="3"/>
  <c r="V122" i="3"/>
  <c r="V126" i="3"/>
  <c r="J128" i="3"/>
  <c r="V130" i="3"/>
  <c r="V134" i="3"/>
  <c r="J138" i="3"/>
  <c r="V142" i="3"/>
  <c r="J146" i="3"/>
  <c r="V150" i="3"/>
  <c r="V154" i="3"/>
  <c r="J156" i="3"/>
  <c r="D165" i="3"/>
  <c r="L165" i="3" s="1"/>
  <c r="N165" i="3" s="1"/>
  <c r="J169" i="3"/>
  <c r="V170" i="3"/>
  <c r="X12" i="4"/>
  <c r="F27" i="4"/>
  <c r="V27" i="4"/>
  <c r="F31" i="4"/>
  <c r="V31" i="4"/>
  <c r="F34" i="4"/>
  <c r="V34" i="4"/>
  <c r="R16" i="5"/>
  <c r="R20" i="5"/>
  <c r="V24" i="5"/>
  <c r="V16" i="6"/>
  <c r="V20" i="6"/>
  <c r="V26" i="6"/>
  <c r="V29" i="6"/>
  <c r="X13" i="7"/>
  <c r="J24" i="7"/>
  <c r="X12" i="8"/>
  <c r="J21" i="8"/>
  <c r="J36" i="8"/>
  <c r="D16" i="9"/>
  <c r="N19" i="9"/>
  <c r="V38" i="3"/>
  <c r="P12" i="3"/>
  <c r="J27" i="3"/>
  <c r="V31" i="3"/>
  <c r="J35" i="3"/>
  <c r="V39" i="3"/>
  <c r="J43" i="3"/>
  <c r="V47" i="3"/>
  <c r="J51" i="3"/>
  <c r="V55" i="3"/>
  <c r="J59" i="3"/>
  <c r="T62" i="3"/>
  <c r="J67" i="3"/>
  <c r="V71" i="3"/>
  <c r="J75" i="3"/>
  <c r="J79" i="3"/>
  <c r="V83" i="3"/>
  <c r="V87" i="3"/>
  <c r="J89" i="3"/>
  <c r="J95" i="3"/>
  <c r="V99" i="3"/>
  <c r="J101" i="3"/>
  <c r="J107" i="3"/>
  <c r="V111" i="3"/>
  <c r="J113" i="3"/>
  <c r="V119" i="3"/>
  <c r="J121" i="3"/>
  <c r="V127" i="3"/>
  <c r="L128" i="3"/>
  <c r="N128" i="3" s="1"/>
  <c r="V131" i="3"/>
  <c r="J133" i="3"/>
  <c r="V135" i="3"/>
  <c r="V139" i="3"/>
  <c r="X142" i="3"/>
  <c r="Z142" i="3" s="1"/>
  <c r="V143" i="3"/>
  <c r="J147" i="3"/>
  <c r="V151" i="3"/>
  <c r="J153" i="3"/>
  <c r="V155" i="3"/>
  <c r="L156" i="3"/>
  <c r="N156" i="3" s="1"/>
  <c r="J159" i="3"/>
  <c r="J163" i="3"/>
  <c r="V165" i="3"/>
  <c r="J172" i="3"/>
  <c r="V173" i="3"/>
  <c r="J177" i="3"/>
  <c r="V182" i="3"/>
  <c r="Z12" i="4"/>
  <c r="F16" i="4"/>
  <c r="V16" i="4"/>
  <c r="F20" i="4"/>
  <c r="V20" i="4"/>
  <c r="L21" i="4"/>
  <c r="J24" i="4"/>
  <c r="X34" i="4"/>
  <c r="X12" i="5"/>
  <c r="J21" i="5"/>
  <c r="X24" i="5"/>
  <c r="F27" i="5"/>
  <c r="V27" i="5"/>
  <c r="F31" i="5"/>
  <c r="V31" i="5"/>
  <c r="F34" i="5"/>
  <c r="V34" i="5"/>
  <c r="X12" i="6"/>
  <c r="X20" i="6"/>
  <c r="X29" i="6"/>
  <c r="X16" i="7"/>
  <c r="P18" i="7"/>
  <c r="X20" i="7"/>
  <c r="L24" i="7"/>
  <c r="J27" i="7"/>
  <c r="J31" i="7"/>
  <c r="J34" i="7"/>
  <c r="Z12" i="8"/>
  <c r="F16" i="8"/>
  <c r="V16" i="8"/>
  <c r="F20" i="8"/>
  <c r="V20" i="8"/>
  <c r="L21" i="8"/>
  <c r="J24" i="8"/>
  <c r="J27" i="8"/>
  <c r="V29" i="8"/>
  <c r="J34" i="8"/>
  <c r="F100" i="9"/>
  <c r="F94" i="9"/>
  <c r="F89" i="9"/>
  <c r="F81" i="9"/>
  <c r="F77" i="9"/>
  <c r="F69" i="9"/>
  <c r="F65" i="9"/>
  <c r="F48" i="9"/>
  <c r="F45" i="9"/>
  <c r="F37" i="9"/>
  <c r="F98" i="9"/>
  <c r="F92" i="9"/>
  <c r="F80" i="9"/>
  <c r="F64" i="9"/>
  <c r="F59" i="9"/>
  <c r="F56" i="9"/>
  <c r="F51" i="9"/>
  <c r="F36" i="9"/>
  <c r="F31" i="9"/>
  <c r="F24" i="9"/>
  <c r="F19" i="9"/>
  <c r="F91" i="9"/>
  <c r="F79" i="9"/>
  <c r="F47" i="9"/>
  <c r="F42" i="9"/>
  <c r="F35" i="9"/>
  <c r="F23" i="9"/>
  <c r="F16" i="9"/>
  <c r="F85" i="9"/>
  <c r="F73" i="9"/>
  <c r="F61" i="9"/>
  <c r="F58" i="9"/>
  <c r="F53" i="9"/>
  <c r="F50" i="9"/>
  <c r="F34" i="9"/>
  <c r="F103" i="9"/>
  <c r="F96" i="9"/>
  <c r="F88" i="9"/>
  <c r="F76" i="9"/>
  <c r="F68" i="9"/>
  <c r="F49" i="9"/>
  <c r="F44" i="9"/>
  <c r="F41" i="9"/>
  <c r="F33" i="9"/>
  <c r="F29" i="9"/>
  <c r="F21" i="9"/>
  <c r="F84" i="9"/>
  <c r="F72" i="9"/>
  <c r="F63" i="9"/>
  <c r="F60" i="9"/>
  <c r="F55" i="9"/>
  <c r="F52" i="9"/>
  <c r="F40" i="9"/>
  <c r="F32" i="9"/>
  <c r="F28" i="9"/>
  <c r="F20" i="9"/>
  <c r="L12" i="9"/>
  <c r="F90" i="9"/>
  <c r="F87" i="9"/>
  <c r="F83" i="9"/>
  <c r="F78" i="9"/>
  <c r="F75" i="9"/>
  <c r="F71" i="9"/>
  <c r="F67" i="9"/>
  <c r="F46" i="9"/>
  <c r="F43" i="9"/>
  <c r="F39" i="9"/>
  <c r="F27" i="9"/>
  <c r="F18" i="9"/>
  <c r="F14" i="9"/>
  <c r="F86" i="9"/>
  <c r="F82" i="9"/>
  <c r="F74" i="9"/>
  <c r="F70" i="9"/>
  <c r="F66" i="9"/>
  <c r="F62" i="9"/>
  <c r="F57" i="9"/>
  <c r="F54" i="9"/>
  <c r="F38" i="9"/>
  <c r="F26" i="9"/>
  <c r="H96" i="9"/>
  <c r="N16" i="9"/>
  <c r="F22" i="9"/>
  <c r="F25" i="9"/>
  <c r="Z46" i="9"/>
  <c r="Z90" i="9"/>
  <c r="Z79" i="12"/>
  <c r="N83" i="12"/>
  <c r="N113" i="12"/>
  <c r="N132" i="15"/>
  <c r="V40" i="3"/>
  <c r="V48" i="3"/>
  <c r="J52" i="3"/>
  <c r="V56" i="3"/>
  <c r="J60" i="3"/>
  <c r="V62" i="3"/>
  <c r="J68" i="3"/>
  <c r="V72" i="3"/>
  <c r="V76" i="3"/>
  <c r="J80" i="3"/>
  <c r="V84" i="3"/>
  <c r="X87" i="3"/>
  <c r="Z87" i="3" s="1"/>
  <c r="V88" i="3"/>
  <c r="L89" i="3"/>
  <c r="J92" i="3"/>
  <c r="V96" i="3"/>
  <c r="X99" i="3"/>
  <c r="Z99" i="3" s="1"/>
  <c r="V100" i="3"/>
  <c r="L101" i="3"/>
  <c r="N101" i="3" s="1"/>
  <c r="J104" i="3"/>
  <c r="V108" i="3"/>
  <c r="V112" i="3"/>
  <c r="J116" i="3"/>
  <c r="V120" i="3"/>
  <c r="J124" i="3"/>
  <c r="V132" i="3"/>
  <c r="L133" i="3"/>
  <c r="V136" i="3"/>
  <c r="X139" i="3"/>
  <c r="V140" i="3"/>
  <c r="J142" i="3"/>
  <c r="V144" i="3"/>
  <c r="J148" i="3"/>
  <c r="V152" i="3"/>
  <c r="J160" i="3"/>
  <c r="J167" i="3"/>
  <c r="V168" i="3"/>
  <c r="X182" i="3"/>
  <c r="X16" i="4"/>
  <c r="X20" i="4"/>
  <c r="L24" i="4"/>
  <c r="J27" i="4"/>
  <c r="J31" i="4"/>
  <c r="J34" i="4"/>
  <c r="Z12" i="5"/>
  <c r="V16" i="5"/>
  <c r="V20" i="5"/>
  <c r="L21" i="5"/>
  <c r="R22" i="5"/>
  <c r="X34" i="5"/>
  <c r="Z12" i="6"/>
  <c r="R14" i="6"/>
  <c r="Z16" i="6"/>
  <c r="R18" i="6"/>
  <c r="R22" i="6"/>
  <c r="R28" i="6"/>
  <c r="J29" i="6"/>
  <c r="R31" i="6"/>
  <c r="J16" i="7"/>
  <c r="J20" i="7"/>
  <c r="F22" i="7"/>
  <c r="L34" i="7"/>
  <c r="F36" i="8"/>
  <c r="F33" i="8"/>
  <c r="X16" i="8"/>
  <c r="P18" i="8"/>
  <c r="X20" i="8"/>
  <c r="L24" i="8"/>
  <c r="V31" i="8"/>
  <c r="R29" i="9"/>
  <c r="N42" i="9"/>
  <c r="Z48" i="9"/>
  <c r="Z103" i="12"/>
  <c r="Z111" i="12"/>
  <c r="Z123" i="12"/>
  <c r="V33" i="3"/>
  <c r="J37" i="3"/>
  <c r="V41" i="3"/>
  <c r="J45" i="3"/>
  <c r="V49" i="3"/>
  <c r="J53" i="3"/>
  <c r="V57" i="3"/>
  <c r="H62" i="3"/>
  <c r="V65" i="3"/>
  <c r="J69" i="3"/>
  <c r="V73" i="3"/>
  <c r="V77" i="3"/>
  <c r="J81" i="3"/>
  <c r="V85" i="3"/>
  <c r="J87" i="3"/>
  <c r="V93" i="3"/>
  <c r="V97" i="3"/>
  <c r="J99" i="3"/>
  <c r="V105" i="3"/>
  <c r="V109" i="3"/>
  <c r="J111" i="3"/>
  <c r="V117" i="3"/>
  <c r="J119" i="3"/>
  <c r="J125" i="3"/>
  <c r="J129" i="3"/>
  <c r="V137" i="3"/>
  <c r="J139" i="3"/>
  <c r="V141" i="3"/>
  <c r="V145" i="3"/>
  <c r="J149" i="3"/>
  <c r="J157" i="3"/>
  <c r="J161" i="3"/>
  <c r="J165" i="3"/>
  <c r="J170" i="3"/>
  <c r="V171" i="3"/>
  <c r="J182" i="3"/>
  <c r="J16" i="4"/>
  <c r="J20" i="4"/>
  <c r="F22" i="4"/>
  <c r="V22" i="4"/>
  <c r="R15" i="5"/>
  <c r="P18" i="5"/>
  <c r="R25" i="5"/>
  <c r="J27" i="5"/>
  <c r="R29" i="5"/>
  <c r="J31" i="5"/>
  <c r="R33" i="5"/>
  <c r="J34" i="5"/>
  <c r="R36" i="5"/>
  <c r="L16" i="6"/>
  <c r="R24" i="6"/>
  <c r="L12" i="7"/>
  <c r="F15" i="7"/>
  <c r="D18" i="7"/>
  <c r="T18" i="7"/>
  <c r="F25" i="7"/>
  <c r="F29" i="7"/>
  <c r="F33" i="7"/>
  <c r="F36" i="7"/>
  <c r="J16" i="8"/>
  <c r="J20" i="8"/>
  <c r="F22" i="8"/>
  <c r="V22" i="8"/>
  <c r="J29" i="8"/>
  <c r="R19" i="9"/>
  <c r="L31" i="9"/>
  <c r="Z78" i="9"/>
  <c r="Z105" i="12"/>
  <c r="N107" i="12"/>
  <c r="Z113" i="12"/>
  <c r="V25" i="3"/>
  <c r="L16" i="3"/>
  <c r="N16" i="3" s="1"/>
  <c r="V26" i="3"/>
  <c r="J30" i="3"/>
  <c r="V34" i="3"/>
  <c r="J38" i="3"/>
  <c r="V42" i="3"/>
  <c r="J46" i="3"/>
  <c r="V50" i="3"/>
  <c r="J54" i="3"/>
  <c r="V58" i="3"/>
  <c r="J62" i="3"/>
  <c r="V66" i="3"/>
  <c r="J70" i="3"/>
  <c r="V74" i="3"/>
  <c r="J76" i="3"/>
  <c r="V78" i="3"/>
  <c r="J82" i="3"/>
  <c r="V86" i="3"/>
  <c r="J90" i="3"/>
  <c r="V94" i="3"/>
  <c r="J96" i="3"/>
  <c r="V98" i="3"/>
  <c r="J102" i="3"/>
  <c r="V106" i="3"/>
  <c r="J108" i="3"/>
  <c r="V110" i="3"/>
  <c r="J114" i="3"/>
  <c r="V118" i="3"/>
  <c r="J122" i="3"/>
  <c r="J126" i="3"/>
  <c r="J130" i="3"/>
  <c r="J134" i="3"/>
  <c r="V138" i="3"/>
  <c r="V146" i="3"/>
  <c r="J150" i="3"/>
  <c r="J154" i="3"/>
  <c r="V158" i="3"/>
  <c r="V162" i="3"/>
  <c r="V166" i="3"/>
  <c r="J173" i="3"/>
  <c r="L12" i="4"/>
  <c r="F15" i="4"/>
  <c r="V15" i="4"/>
  <c r="D18" i="4"/>
  <c r="T18" i="4"/>
  <c r="F25" i="4"/>
  <c r="V25" i="4"/>
  <c r="F29" i="4"/>
  <c r="V29" i="4"/>
  <c r="F33" i="4"/>
  <c r="V33" i="4"/>
  <c r="F36" i="4"/>
  <c r="V36" i="4"/>
  <c r="J16" i="5"/>
  <c r="R18" i="5"/>
  <c r="J20" i="5"/>
  <c r="F22" i="5"/>
  <c r="V22" i="5"/>
  <c r="F14" i="6"/>
  <c r="V14" i="6"/>
  <c r="N16" i="6"/>
  <c r="F18" i="6"/>
  <c r="V18" i="6"/>
  <c r="F22" i="6"/>
  <c r="V22" i="6"/>
  <c r="V24" i="6"/>
  <c r="F28" i="6"/>
  <c r="V28" i="6"/>
  <c r="F31" i="6"/>
  <c r="N12" i="7"/>
  <c r="F18" i="7"/>
  <c r="J22" i="7"/>
  <c r="L12" i="8"/>
  <c r="F15" i="8"/>
  <c r="V15" i="8"/>
  <c r="D18" i="8"/>
  <c r="T18" i="8"/>
  <c r="F25" i="8"/>
  <c r="V25" i="8"/>
  <c r="F31" i="8"/>
  <c r="R90" i="9"/>
  <c r="R78" i="9"/>
  <c r="R49" i="9"/>
  <c r="R46" i="9"/>
  <c r="R41" i="9"/>
  <c r="R33" i="9"/>
  <c r="R84" i="9"/>
  <c r="R72" i="9"/>
  <c r="R60" i="9"/>
  <c r="R57" i="9"/>
  <c r="R52" i="9"/>
  <c r="R40" i="9"/>
  <c r="R32" i="9"/>
  <c r="R28" i="9"/>
  <c r="R20" i="9"/>
  <c r="R100" i="9"/>
  <c r="R94" i="9"/>
  <c r="R87" i="9"/>
  <c r="R83" i="9"/>
  <c r="R75" i="9"/>
  <c r="R71" i="9"/>
  <c r="R67" i="9"/>
  <c r="R48" i="9"/>
  <c r="R43" i="9"/>
  <c r="R39" i="9"/>
  <c r="R27" i="9"/>
  <c r="R86" i="9"/>
  <c r="R82" i="9"/>
  <c r="R74" i="9"/>
  <c r="R70" i="9"/>
  <c r="R66" i="9"/>
  <c r="R62" i="9"/>
  <c r="R59" i="9"/>
  <c r="R54" i="9"/>
  <c r="R51" i="9"/>
  <c r="R38" i="9"/>
  <c r="R31" i="9"/>
  <c r="R89" i="9"/>
  <c r="R81" i="9"/>
  <c r="R77" i="9"/>
  <c r="R69" i="9"/>
  <c r="R65" i="9"/>
  <c r="R45" i="9"/>
  <c r="R42" i="9"/>
  <c r="R37" i="9"/>
  <c r="R25" i="9"/>
  <c r="R16" i="9"/>
  <c r="R98" i="9"/>
  <c r="R92" i="9"/>
  <c r="R85" i="9"/>
  <c r="R80" i="9"/>
  <c r="R73" i="9"/>
  <c r="R64" i="9"/>
  <c r="R61" i="9"/>
  <c r="R56" i="9"/>
  <c r="R53" i="9"/>
  <c r="R36" i="9"/>
  <c r="R24" i="9"/>
  <c r="P16" i="9"/>
  <c r="R103" i="9"/>
  <c r="R96" i="9"/>
  <c r="R91" i="9"/>
  <c r="R88" i="9"/>
  <c r="R79" i="9"/>
  <c r="R76" i="9"/>
  <c r="R68" i="9"/>
  <c r="R47" i="9"/>
  <c r="R44" i="9"/>
  <c r="R35" i="9"/>
  <c r="R23" i="9"/>
  <c r="R63" i="9"/>
  <c r="R58" i="9"/>
  <c r="R55" i="9"/>
  <c r="R50" i="9"/>
  <c r="R34" i="9"/>
  <c r="R30" i="9"/>
  <c r="R22" i="9"/>
  <c r="T16" i="9"/>
  <c r="R18" i="9"/>
  <c r="N31" i="9"/>
  <c r="V32" i="3"/>
  <c r="J25" i="3"/>
  <c r="V27" i="3"/>
  <c r="J31" i="3"/>
  <c r="V35" i="3"/>
  <c r="J39" i="3"/>
  <c r="V43" i="3"/>
  <c r="J47" i="3"/>
  <c r="V51" i="3"/>
  <c r="J55" i="3"/>
  <c r="V59" i="3"/>
  <c r="J65" i="3"/>
  <c r="V67" i="3"/>
  <c r="J71" i="3"/>
  <c r="V75" i="3"/>
  <c r="V79" i="3"/>
  <c r="J83" i="3"/>
  <c r="V91" i="3"/>
  <c r="J93" i="3"/>
  <c r="V95" i="3"/>
  <c r="V103" i="3"/>
  <c r="J105" i="3"/>
  <c r="V107" i="3"/>
  <c r="V115" i="3"/>
  <c r="J117" i="3"/>
  <c r="V123" i="3"/>
  <c r="J127" i="3"/>
  <c r="J131" i="3"/>
  <c r="J135" i="3"/>
  <c r="J143" i="3"/>
  <c r="V147" i="3"/>
  <c r="J151" i="3"/>
  <c r="J155" i="3"/>
  <c r="V159" i="3"/>
  <c r="V163" i="3"/>
  <c r="X166" i="3"/>
  <c r="J168" i="3"/>
  <c r="V169" i="3"/>
  <c r="V177" i="3"/>
  <c r="V181" i="3"/>
  <c r="N12" i="4"/>
  <c r="F18" i="4"/>
  <c r="V18" i="4"/>
  <c r="J22" i="4"/>
  <c r="R24" i="4"/>
  <c r="L12" i="5"/>
  <c r="F15" i="5"/>
  <c r="V15" i="5"/>
  <c r="D18" i="5"/>
  <c r="T18" i="5"/>
  <c r="R21" i="5"/>
  <c r="F25" i="5"/>
  <c r="V25" i="5"/>
  <c r="F29" i="5"/>
  <c r="V29" i="5"/>
  <c r="F33" i="5"/>
  <c r="V33" i="5"/>
  <c r="F36" i="5"/>
  <c r="V36" i="5"/>
  <c r="P16" i="6"/>
  <c r="J15" i="7"/>
  <c r="H18" i="7"/>
  <c r="F21" i="7"/>
  <c r="V21" i="7"/>
  <c r="J25" i="7"/>
  <c r="R27" i="7"/>
  <c r="J29" i="7"/>
  <c r="R31" i="7"/>
  <c r="J33" i="7"/>
  <c r="R34" i="7"/>
  <c r="J36" i="7"/>
  <c r="N12" i="8"/>
  <c r="F18" i="8"/>
  <c r="V18" i="8"/>
  <c r="J22" i="8"/>
  <c r="V27" i="8"/>
  <c r="V34" i="8"/>
  <c r="X14" i="9"/>
  <c r="Z18" i="9"/>
  <c r="F30" i="9"/>
  <c r="N93" i="12"/>
  <c r="Z52" i="15"/>
  <c r="V28" i="3"/>
  <c r="J32" i="3"/>
  <c r="V36" i="3"/>
  <c r="J40" i="3"/>
  <c r="V44" i="3"/>
  <c r="J48" i="3"/>
  <c r="V52" i="3"/>
  <c r="J56" i="3"/>
  <c r="V60" i="3"/>
  <c r="V64" i="3"/>
  <c r="V68" i="3"/>
  <c r="J72" i="3"/>
  <c r="V80" i="3"/>
  <c r="J84" i="3"/>
  <c r="J88" i="3"/>
  <c r="V92" i="3"/>
  <c r="J100" i="3"/>
  <c r="V104" i="3"/>
  <c r="J112" i="3"/>
  <c r="V116" i="3"/>
  <c r="J120" i="3"/>
  <c r="V124" i="3"/>
  <c r="V128" i="3"/>
  <c r="J132" i="3"/>
  <c r="J136" i="3"/>
  <c r="J140" i="3"/>
  <c r="J144" i="3"/>
  <c r="V148" i="3"/>
  <c r="J152" i="3"/>
  <c r="V156" i="3"/>
  <c r="J158" i="3"/>
  <c r="V160" i="3"/>
  <c r="J162" i="3"/>
  <c r="J171" i="3"/>
  <c r="V172" i="3"/>
  <c r="J15" i="4"/>
  <c r="H18" i="4"/>
  <c r="V21" i="4"/>
  <c r="J25" i="4"/>
  <c r="R27" i="4"/>
  <c r="J29" i="4"/>
  <c r="R31" i="4"/>
  <c r="J33" i="4"/>
  <c r="N12" i="5"/>
  <c r="R24" i="5"/>
  <c r="N12" i="6"/>
  <c r="J14" i="6"/>
  <c r="R16" i="6"/>
  <c r="J18" i="6"/>
  <c r="R20" i="6"/>
  <c r="J22" i="6"/>
  <c r="R26" i="6"/>
  <c r="J28" i="6"/>
  <c r="R16" i="7"/>
  <c r="J15" i="8"/>
  <c r="H18" i="8"/>
  <c r="F21" i="8"/>
  <c r="J25" i="8"/>
  <c r="L34" i="8"/>
  <c r="X12" i="9"/>
  <c r="R14" i="9"/>
  <c r="R21" i="9"/>
  <c r="N51" i="9"/>
  <c r="Z91" i="12"/>
  <c r="N95" i="12"/>
  <c r="Z99" i="15"/>
  <c r="N101" i="15"/>
  <c r="Z107" i="15"/>
  <c r="V69" i="3"/>
  <c r="J73" i="3"/>
  <c r="J77" i="3"/>
  <c r="V81" i="3"/>
  <c r="J85" i="3"/>
  <c r="V89" i="3"/>
  <c r="J91" i="3"/>
  <c r="J97" i="3"/>
  <c r="V101" i="3"/>
  <c r="J103" i="3"/>
  <c r="J109" i="3"/>
  <c r="V113" i="3"/>
  <c r="J115" i="3"/>
  <c r="V121" i="3"/>
  <c r="J123" i="3"/>
  <c r="V125" i="3"/>
  <c r="V129" i="3"/>
  <c r="V133" i="3"/>
  <c r="J137" i="3"/>
  <c r="J141" i="3"/>
  <c r="J145" i="3"/>
  <c r="V149" i="3"/>
  <c r="V153" i="3"/>
  <c r="V157" i="3"/>
  <c r="V161" i="3"/>
  <c r="J166" i="3"/>
  <c r="J181" i="3"/>
  <c r="R27" i="5"/>
  <c r="R31" i="5"/>
  <c r="V36" i="8"/>
  <c r="V33" i="8"/>
  <c r="V24" i="8"/>
  <c r="V21" i="9"/>
  <c r="V29" i="9"/>
  <c r="J31" i="9"/>
  <c r="V33" i="9"/>
  <c r="J37" i="9"/>
  <c r="V41" i="9"/>
  <c r="J45" i="9"/>
  <c r="V49" i="9"/>
  <c r="J51" i="9"/>
  <c r="V57" i="9"/>
  <c r="J59" i="9"/>
  <c r="J65" i="9"/>
  <c r="J69" i="9"/>
  <c r="J77" i="9"/>
  <c r="J81" i="9"/>
  <c r="J89" i="9"/>
  <c r="R15" i="10"/>
  <c r="P18" i="10"/>
  <c r="R25" i="10"/>
  <c r="J27" i="10"/>
  <c r="R29" i="10"/>
  <c r="J31" i="10"/>
  <c r="R33" i="10"/>
  <c r="J34" i="10"/>
  <c r="R36" i="10"/>
  <c r="Z12" i="11"/>
  <c r="V16" i="11"/>
  <c r="V20" i="11"/>
  <c r="R22" i="11"/>
  <c r="J24" i="11"/>
  <c r="V30" i="12"/>
  <c r="J34" i="12"/>
  <c r="V38" i="12"/>
  <c r="J42" i="12"/>
  <c r="V46" i="12"/>
  <c r="J50" i="12"/>
  <c r="J56" i="12"/>
  <c r="J58" i="12"/>
  <c r="V62" i="12"/>
  <c r="J66" i="12"/>
  <c r="J70" i="12"/>
  <c r="V74" i="12"/>
  <c r="J78" i="12"/>
  <c r="V82" i="12"/>
  <c r="J86" i="12"/>
  <c r="J90" i="12"/>
  <c r="V94" i="12"/>
  <c r="J98" i="12"/>
  <c r="J102" i="12"/>
  <c r="V106" i="12"/>
  <c r="J110" i="12"/>
  <c r="V114" i="12"/>
  <c r="V118" i="12"/>
  <c r="J122" i="12"/>
  <c r="J126" i="12"/>
  <c r="J130" i="12"/>
  <c r="J134" i="12"/>
  <c r="V138" i="12"/>
  <c r="J146" i="12"/>
  <c r="J153" i="12"/>
  <c r="V154" i="12"/>
  <c r="J16" i="13"/>
  <c r="R18" i="13"/>
  <c r="J20" i="13"/>
  <c r="F22" i="13"/>
  <c r="V22" i="13"/>
  <c r="R15" i="14"/>
  <c r="P18" i="14"/>
  <c r="R25" i="14"/>
  <c r="J27" i="14"/>
  <c r="R29" i="14"/>
  <c r="J31" i="14"/>
  <c r="R33" i="14"/>
  <c r="J34" i="14"/>
  <c r="R36" i="14"/>
  <c r="D12" i="15"/>
  <c r="R21" i="15"/>
  <c r="J23" i="15"/>
  <c r="V27" i="15"/>
  <c r="R28" i="15"/>
  <c r="J31" i="15"/>
  <c r="V35" i="15"/>
  <c r="R36" i="15"/>
  <c r="J39" i="15"/>
  <c r="V43" i="15"/>
  <c r="R44" i="15"/>
  <c r="J47" i="15"/>
  <c r="T50" i="15"/>
  <c r="V50" i="15" s="1"/>
  <c r="R53" i="15"/>
  <c r="J55" i="15"/>
  <c r="V59" i="15"/>
  <c r="R60" i="15"/>
  <c r="J63" i="15"/>
  <c r="J67" i="15"/>
  <c r="V71" i="15"/>
  <c r="R72" i="15"/>
  <c r="V75" i="15"/>
  <c r="R76" i="15"/>
  <c r="J77" i="15"/>
  <c r="R81" i="15"/>
  <c r="J83" i="15"/>
  <c r="V87" i="15"/>
  <c r="R88" i="15"/>
  <c r="J89" i="15"/>
  <c r="R93" i="15"/>
  <c r="J95" i="15"/>
  <c r="V99" i="15"/>
  <c r="R100" i="15"/>
  <c r="J101" i="15"/>
  <c r="R105" i="15"/>
  <c r="V107" i="15"/>
  <c r="R108" i="15"/>
  <c r="J111" i="15"/>
  <c r="J115" i="15"/>
  <c r="R117" i="15"/>
  <c r="J119" i="15"/>
  <c r="R121" i="15"/>
  <c r="J123" i="15"/>
  <c r="J127" i="15"/>
  <c r="V131" i="15"/>
  <c r="N137" i="15"/>
  <c r="J142" i="15"/>
  <c r="L16" i="16"/>
  <c r="Z59" i="18"/>
  <c r="X123" i="18"/>
  <c r="V14" i="9"/>
  <c r="V18" i="9"/>
  <c r="V22" i="9"/>
  <c r="J26" i="9"/>
  <c r="V30" i="9"/>
  <c r="V34" i="9"/>
  <c r="J38" i="9"/>
  <c r="V46" i="9"/>
  <c r="J48" i="9"/>
  <c r="V50" i="9"/>
  <c r="J54" i="9"/>
  <c r="V58" i="9"/>
  <c r="J62" i="9"/>
  <c r="J66" i="9"/>
  <c r="J70" i="9"/>
  <c r="J74" i="9"/>
  <c r="V78" i="9"/>
  <c r="J82" i="9"/>
  <c r="J86" i="9"/>
  <c r="V90" i="9"/>
  <c r="J94" i="9"/>
  <c r="J100" i="9"/>
  <c r="J16" i="10"/>
  <c r="R18" i="10"/>
  <c r="J20" i="10"/>
  <c r="F22" i="10"/>
  <c r="V22" i="10"/>
  <c r="R15" i="11"/>
  <c r="P18" i="11"/>
  <c r="R25" i="11"/>
  <c r="J27" i="11"/>
  <c r="R29" i="11"/>
  <c r="J31" i="11"/>
  <c r="R33" i="11"/>
  <c r="J34" i="11"/>
  <c r="R36" i="11"/>
  <c r="D12" i="12"/>
  <c r="V23" i="12"/>
  <c r="J27" i="12"/>
  <c r="V31" i="12"/>
  <c r="J35" i="12"/>
  <c r="V39" i="12"/>
  <c r="J43" i="12"/>
  <c r="V47" i="12"/>
  <c r="J51" i="12"/>
  <c r="T54" i="12"/>
  <c r="J59" i="12"/>
  <c r="V63" i="12"/>
  <c r="J67" i="12"/>
  <c r="J71" i="12"/>
  <c r="V75" i="12"/>
  <c r="V79" i="12"/>
  <c r="J81" i="12"/>
  <c r="J87" i="12"/>
  <c r="V91" i="12"/>
  <c r="J93" i="12"/>
  <c r="J99" i="12"/>
  <c r="V103" i="12"/>
  <c r="J105" i="12"/>
  <c r="V111" i="12"/>
  <c r="J113" i="12"/>
  <c r="V115" i="12"/>
  <c r="V119" i="12"/>
  <c r="V123" i="12"/>
  <c r="J127" i="12"/>
  <c r="V131" i="12"/>
  <c r="J135" i="12"/>
  <c r="J143" i="12"/>
  <c r="J147" i="12"/>
  <c r="J151" i="12"/>
  <c r="J156" i="12"/>
  <c r="L12" i="13"/>
  <c r="F15" i="13"/>
  <c r="V15" i="13"/>
  <c r="D18" i="13"/>
  <c r="T18" i="13"/>
  <c r="R21" i="13"/>
  <c r="F25" i="13"/>
  <c r="V25" i="13"/>
  <c r="F29" i="13"/>
  <c r="V29" i="13"/>
  <c r="F33" i="13"/>
  <c r="V33" i="13"/>
  <c r="F36" i="13"/>
  <c r="V36" i="13"/>
  <c r="J16" i="14"/>
  <c r="R18" i="14"/>
  <c r="J20" i="14"/>
  <c r="F22" i="14"/>
  <c r="V22" i="14"/>
  <c r="J141" i="15"/>
  <c r="J137" i="15"/>
  <c r="J149" i="15"/>
  <c r="J144" i="15"/>
  <c r="J140" i="15"/>
  <c r="J136" i="15"/>
  <c r="J146" i="15"/>
  <c r="J153" i="15"/>
  <c r="J148" i="15"/>
  <c r="J135" i="15"/>
  <c r="J145" i="15"/>
  <c r="J24" i="15"/>
  <c r="V28" i="15"/>
  <c r="R29" i="15"/>
  <c r="J32" i="15"/>
  <c r="V36" i="15"/>
  <c r="R37" i="15"/>
  <c r="J40" i="15"/>
  <c r="V44" i="15"/>
  <c r="R45" i="15"/>
  <c r="J48" i="15"/>
  <c r="J56" i="15"/>
  <c r="V60" i="15"/>
  <c r="R61" i="15"/>
  <c r="V64" i="15"/>
  <c r="R65" i="15"/>
  <c r="J68" i="15"/>
  <c r="V72" i="15"/>
  <c r="R73" i="15"/>
  <c r="V76" i="15"/>
  <c r="J80" i="15"/>
  <c r="V84" i="15"/>
  <c r="R85" i="15"/>
  <c r="V88" i="15"/>
  <c r="J92" i="15"/>
  <c r="V96" i="15"/>
  <c r="R97" i="15"/>
  <c r="V100" i="15"/>
  <c r="J104" i="15"/>
  <c r="V108" i="15"/>
  <c r="R109" i="15"/>
  <c r="V112" i="15"/>
  <c r="R113" i="15"/>
  <c r="J116" i="15"/>
  <c r="J120" i="15"/>
  <c r="V124" i="15"/>
  <c r="R125" i="15"/>
  <c r="J128" i="15"/>
  <c r="J133" i="15"/>
  <c r="J134" i="15"/>
  <c r="V138" i="15"/>
  <c r="R139" i="15"/>
  <c r="V144" i="15"/>
  <c r="L20" i="16"/>
  <c r="Z93" i="18"/>
  <c r="Z105" i="18"/>
  <c r="Z123" i="18"/>
  <c r="D23" i="21"/>
  <c r="X53" i="21"/>
  <c r="Z53" i="21" s="1"/>
  <c r="Z83" i="21"/>
  <c r="V36" i="22"/>
  <c r="V33" i="22"/>
  <c r="V29" i="22"/>
  <c r="V25" i="22"/>
  <c r="T18" i="22"/>
  <c r="V15" i="22"/>
  <c r="V22" i="22"/>
  <c r="V20" i="22"/>
  <c r="V16" i="22"/>
  <c r="Z12" i="22"/>
  <c r="V34" i="22"/>
  <c r="V31" i="22"/>
  <c r="V27" i="22"/>
  <c r="X12" i="22"/>
  <c r="V21" i="22"/>
  <c r="V18" i="22"/>
  <c r="X24" i="23"/>
  <c r="R34" i="23"/>
  <c r="H84" i="24"/>
  <c r="R46" i="24"/>
  <c r="Z34" i="25"/>
  <c r="X34" i="25"/>
  <c r="V23" i="9"/>
  <c r="J27" i="9"/>
  <c r="V35" i="9"/>
  <c r="J39" i="9"/>
  <c r="J43" i="9"/>
  <c r="V47" i="9"/>
  <c r="V55" i="9"/>
  <c r="J57" i="9"/>
  <c r="V63" i="9"/>
  <c r="J67" i="9"/>
  <c r="J71" i="9"/>
  <c r="J75" i="9"/>
  <c r="V79" i="9"/>
  <c r="J83" i="9"/>
  <c r="J87" i="9"/>
  <c r="V91" i="9"/>
  <c r="L12" i="10"/>
  <c r="F15" i="10"/>
  <c r="V15" i="10"/>
  <c r="D18" i="10"/>
  <c r="T18" i="10"/>
  <c r="R21" i="10"/>
  <c r="F25" i="10"/>
  <c r="V25" i="10"/>
  <c r="F29" i="10"/>
  <c r="V29" i="10"/>
  <c r="F33" i="10"/>
  <c r="V33" i="10"/>
  <c r="F36" i="10"/>
  <c r="V36" i="10"/>
  <c r="J16" i="11"/>
  <c r="R18" i="11"/>
  <c r="J20" i="11"/>
  <c r="F22" i="11"/>
  <c r="V22" i="11"/>
  <c r="V24" i="12"/>
  <c r="J28" i="12"/>
  <c r="V32" i="12"/>
  <c r="J36" i="12"/>
  <c r="V40" i="12"/>
  <c r="J44" i="12"/>
  <c r="V48" i="12"/>
  <c r="J52" i="12"/>
  <c r="V54" i="12"/>
  <c r="J60" i="12"/>
  <c r="V64" i="12"/>
  <c r="V68" i="12"/>
  <c r="J72" i="12"/>
  <c r="V76" i="12"/>
  <c r="V80" i="12"/>
  <c r="J84" i="12"/>
  <c r="V88" i="12"/>
  <c r="V92" i="12"/>
  <c r="J96" i="12"/>
  <c r="V100" i="12"/>
  <c r="V104" i="12"/>
  <c r="J108" i="12"/>
  <c r="V112" i="12"/>
  <c r="V116" i="12"/>
  <c r="J118" i="12"/>
  <c r="V120" i="12"/>
  <c r="V124" i="12"/>
  <c r="V128" i="12"/>
  <c r="V132" i="12"/>
  <c r="J136" i="12"/>
  <c r="J140" i="12"/>
  <c r="V144" i="12"/>
  <c r="V148" i="12"/>
  <c r="V152" i="12"/>
  <c r="V160" i="12"/>
  <c r="N12" i="13"/>
  <c r="X15" i="13"/>
  <c r="F18" i="13"/>
  <c r="V18" i="13"/>
  <c r="J22" i="13"/>
  <c r="R24" i="13"/>
  <c r="L12" i="14"/>
  <c r="F15" i="14"/>
  <c r="V15" i="14"/>
  <c r="D18" i="14"/>
  <c r="T18" i="14"/>
  <c r="R21" i="14"/>
  <c r="F25" i="14"/>
  <c r="V25" i="14"/>
  <c r="F29" i="14"/>
  <c r="V29" i="14"/>
  <c r="F33" i="14"/>
  <c r="V33" i="14"/>
  <c r="F36" i="14"/>
  <c r="V36" i="14"/>
  <c r="V21" i="15"/>
  <c r="R22" i="15"/>
  <c r="J25" i="15"/>
  <c r="V29" i="15"/>
  <c r="R30" i="15"/>
  <c r="J33" i="15"/>
  <c r="V37" i="15"/>
  <c r="R38" i="15"/>
  <c r="J41" i="15"/>
  <c r="V45" i="15"/>
  <c r="R46" i="15"/>
  <c r="H50" i="15"/>
  <c r="J50" i="15" s="1"/>
  <c r="V53" i="15"/>
  <c r="R54" i="15"/>
  <c r="J57" i="15"/>
  <c r="V61" i="15"/>
  <c r="R62" i="15"/>
  <c r="V65" i="15"/>
  <c r="R66" i="15"/>
  <c r="J69" i="15"/>
  <c r="V73" i="15"/>
  <c r="R74" i="15"/>
  <c r="J75" i="15"/>
  <c r="R79" i="15"/>
  <c r="V81" i="15"/>
  <c r="R82" i="15"/>
  <c r="V85" i="15"/>
  <c r="R86" i="15"/>
  <c r="J87" i="15"/>
  <c r="R91" i="15"/>
  <c r="V93" i="15"/>
  <c r="R94" i="15"/>
  <c r="V97" i="15"/>
  <c r="R98" i="15"/>
  <c r="J99" i="15"/>
  <c r="R103" i="15"/>
  <c r="V105" i="15"/>
  <c r="R106" i="15"/>
  <c r="J107" i="15"/>
  <c r="V109" i="15"/>
  <c r="R110" i="15"/>
  <c r="V113" i="15"/>
  <c r="R114" i="15"/>
  <c r="V117" i="15"/>
  <c r="R118" i="15"/>
  <c r="V121" i="15"/>
  <c r="R122" i="15"/>
  <c r="V125" i="15"/>
  <c r="R126" i="15"/>
  <c r="J129" i="15"/>
  <c r="X132" i="15"/>
  <c r="Z132" i="15" s="1"/>
  <c r="V142" i="15"/>
  <c r="F24" i="16"/>
  <c r="F18" i="16"/>
  <c r="F36" i="16"/>
  <c r="F33" i="16"/>
  <c r="F29" i="16"/>
  <c r="F25" i="16"/>
  <c r="D18" i="16"/>
  <c r="F15" i="16"/>
  <c r="L12" i="16"/>
  <c r="F22" i="16"/>
  <c r="F20" i="16"/>
  <c r="F16" i="16"/>
  <c r="F34" i="16"/>
  <c r="F31" i="16"/>
  <c r="F27" i="16"/>
  <c r="L15" i="18"/>
  <c r="D12" i="18"/>
  <c r="L81" i="18"/>
  <c r="N81" i="18" s="1"/>
  <c r="X111" i="18"/>
  <c r="T90" i="21"/>
  <c r="F29" i="21"/>
  <c r="R34" i="24"/>
  <c r="J20" i="9"/>
  <c r="V24" i="9"/>
  <c r="J28" i="9"/>
  <c r="J32" i="9"/>
  <c r="V36" i="9"/>
  <c r="J40" i="9"/>
  <c r="V44" i="9"/>
  <c r="J46" i="9"/>
  <c r="J52" i="9"/>
  <c r="V56" i="9"/>
  <c r="J60" i="9"/>
  <c r="V64" i="9"/>
  <c r="V68" i="9"/>
  <c r="J72" i="9"/>
  <c r="V76" i="9"/>
  <c r="J78" i="9"/>
  <c r="V80" i="9"/>
  <c r="J84" i="9"/>
  <c r="V88" i="9"/>
  <c r="J90" i="9"/>
  <c r="V92" i="9"/>
  <c r="V96" i="9"/>
  <c r="V98" i="9"/>
  <c r="V103" i="9"/>
  <c r="F18" i="10"/>
  <c r="V18" i="10"/>
  <c r="R24" i="10"/>
  <c r="V15" i="11"/>
  <c r="T18" i="11"/>
  <c r="L20" i="11"/>
  <c r="R21" i="11"/>
  <c r="F25" i="11"/>
  <c r="V25" i="11"/>
  <c r="F29" i="11"/>
  <c r="V29" i="11"/>
  <c r="F33" i="11"/>
  <c r="V33" i="11"/>
  <c r="V36" i="11"/>
  <c r="V25" i="12"/>
  <c r="V33" i="12"/>
  <c r="J37" i="12"/>
  <c r="V41" i="12"/>
  <c r="J45" i="12"/>
  <c r="V49" i="12"/>
  <c r="H54" i="12"/>
  <c r="V57" i="12"/>
  <c r="J61" i="12"/>
  <c r="V65" i="12"/>
  <c r="V69" i="12"/>
  <c r="J73" i="12"/>
  <c r="V77" i="12"/>
  <c r="J79" i="12"/>
  <c r="V85" i="12"/>
  <c r="V89" i="12"/>
  <c r="J91" i="12"/>
  <c r="V97" i="12"/>
  <c r="V101" i="12"/>
  <c r="J103" i="12"/>
  <c r="V109" i="12"/>
  <c r="J111" i="12"/>
  <c r="V117" i="12"/>
  <c r="V121" i="12"/>
  <c r="J123" i="12"/>
  <c r="V125" i="12"/>
  <c r="V129" i="12"/>
  <c r="J131" i="12"/>
  <c r="V133" i="12"/>
  <c r="J137" i="12"/>
  <c r="J141" i="12"/>
  <c r="V145" i="12"/>
  <c r="V149" i="12"/>
  <c r="J154" i="12"/>
  <c r="V155" i="12"/>
  <c r="J15" i="13"/>
  <c r="H18" i="13"/>
  <c r="F21" i="13"/>
  <c r="V21" i="13"/>
  <c r="J25" i="13"/>
  <c r="R27" i="13"/>
  <c r="J29" i="13"/>
  <c r="R31" i="13"/>
  <c r="J33" i="13"/>
  <c r="J36" i="13"/>
  <c r="F18" i="14"/>
  <c r="V18" i="14"/>
  <c r="J22" i="14"/>
  <c r="R24" i="14"/>
  <c r="V22" i="15"/>
  <c r="R23" i="15"/>
  <c r="J26" i="15"/>
  <c r="V30" i="15"/>
  <c r="R31" i="15"/>
  <c r="J34" i="15"/>
  <c r="V38" i="15"/>
  <c r="R39" i="15"/>
  <c r="J42" i="15"/>
  <c r="V46" i="15"/>
  <c r="R47" i="15"/>
  <c r="R52" i="15"/>
  <c r="V54" i="15"/>
  <c r="R55" i="15"/>
  <c r="J58" i="15"/>
  <c r="V62" i="15"/>
  <c r="R63" i="15"/>
  <c r="J64" i="15"/>
  <c r="V66" i="15"/>
  <c r="R67" i="15"/>
  <c r="J70" i="15"/>
  <c r="V74" i="15"/>
  <c r="J78" i="15"/>
  <c r="V82" i="15"/>
  <c r="R83" i="15"/>
  <c r="J84" i="15"/>
  <c r="V86" i="15"/>
  <c r="J90" i="15"/>
  <c r="V94" i="15"/>
  <c r="R95" i="15"/>
  <c r="J96" i="15"/>
  <c r="V98" i="15"/>
  <c r="J102" i="15"/>
  <c r="V106" i="15"/>
  <c r="V110" i="15"/>
  <c r="R111" i="15"/>
  <c r="J112" i="15"/>
  <c r="V114" i="15"/>
  <c r="R115" i="15"/>
  <c r="V118" i="15"/>
  <c r="R119" i="15"/>
  <c r="V122" i="15"/>
  <c r="R123" i="15"/>
  <c r="J124" i="15"/>
  <c r="V126" i="15"/>
  <c r="R127" i="15"/>
  <c r="J130" i="15"/>
  <c r="R132" i="15"/>
  <c r="V136" i="15"/>
  <c r="N141" i="15"/>
  <c r="L141" i="15"/>
  <c r="L145" i="15"/>
  <c r="N145" i="15" s="1"/>
  <c r="D144" i="15"/>
  <c r="L144" i="15" s="1"/>
  <c r="N144" i="15" s="1"/>
  <c r="Z24" i="16"/>
  <c r="X24" i="16"/>
  <c r="Z99" i="18"/>
  <c r="Z111" i="18"/>
  <c r="N113" i="18"/>
  <c r="X127" i="18"/>
  <c r="Z143" i="18"/>
  <c r="L33" i="20"/>
  <c r="F61" i="21"/>
  <c r="F68" i="21"/>
  <c r="N21" i="22"/>
  <c r="L21" i="22"/>
  <c r="N42" i="24"/>
  <c r="V37" i="9"/>
  <c r="V45" i="9"/>
  <c r="J49" i="9"/>
  <c r="V53" i="9"/>
  <c r="J55" i="9"/>
  <c r="V61" i="9"/>
  <c r="J63" i="9"/>
  <c r="V65" i="9"/>
  <c r="V69" i="9"/>
  <c r="V73" i="9"/>
  <c r="V77" i="9"/>
  <c r="V81" i="9"/>
  <c r="V85" i="9"/>
  <c r="V89" i="9"/>
  <c r="R27" i="10"/>
  <c r="R31" i="10"/>
  <c r="R34" i="10"/>
  <c r="V26" i="12"/>
  <c r="V34" i="12"/>
  <c r="V42" i="12"/>
  <c r="V50" i="12"/>
  <c r="V58" i="12"/>
  <c r="J62" i="12"/>
  <c r="V66" i="12"/>
  <c r="J68" i="12"/>
  <c r="V70" i="12"/>
  <c r="J74" i="12"/>
  <c r="V78" i="12"/>
  <c r="J82" i="12"/>
  <c r="V86" i="12"/>
  <c r="J88" i="12"/>
  <c r="V90" i="12"/>
  <c r="J94" i="12"/>
  <c r="V98" i="12"/>
  <c r="J100" i="12"/>
  <c r="V102" i="12"/>
  <c r="J106" i="12"/>
  <c r="V110" i="12"/>
  <c r="J114" i="12"/>
  <c r="V122" i="12"/>
  <c r="V126" i="12"/>
  <c r="J128" i="12"/>
  <c r="V130" i="12"/>
  <c r="V134" i="12"/>
  <c r="J138" i="12"/>
  <c r="V142" i="12"/>
  <c r="J144" i="12"/>
  <c r="V146" i="12"/>
  <c r="J148" i="12"/>
  <c r="F24" i="13"/>
  <c r="V24" i="13"/>
  <c r="R27" i="14"/>
  <c r="R31" i="14"/>
  <c r="R34" i="14"/>
  <c r="R146" i="15"/>
  <c r="R140" i="15"/>
  <c r="R136" i="15"/>
  <c r="R148" i="15"/>
  <c r="R142" i="15"/>
  <c r="R138" i="15"/>
  <c r="R153" i="15"/>
  <c r="R145" i="15"/>
  <c r="R141" i="15"/>
  <c r="R134" i="15"/>
  <c r="R149" i="15"/>
  <c r="R24" i="15"/>
  <c r="R32" i="15"/>
  <c r="R40" i="15"/>
  <c r="R48" i="15"/>
  <c r="J53" i="15"/>
  <c r="V55" i="15"/>
  <c r="R56" i="15"/>
  <c r="J59" i="15"/>
  <c r="V63" i="15"/>
  <c r="V67" i="15"/>
  <c r="R68" i="15"/>
  <c r="J71" i="15"/>
  <c r="R77" i="15"/>
  <c r="V79" i="15"/>
  <c r="R80" i="15"/>
  <c r="J81" i="15"/>
  <c r="V83" i="15"/>
  <c r="R89" i="15"/>
  <c r="V91" i="15"/>
  <c r="R92" i="15"/>
  <c r="J93" i="15"/>
  <c r="V95" i="15"/>
  <c r="R101" i="15"/>
  <c r="V103" i="15"/>
  <c r="R104" i="15"/>
  <c r="J105" i="15"/>
  <c r="V111" i="15"/>
  <c r="V115" i="15"/>
  <c r="R116" i="15"/>
  <c r="J117" i="15"/>
  <c r="V119" i="15"/>
  <c r="R120" i="15"/>
  <c r="J121" i="15"/>
  <c r="V123" i="15"/>
  <c r="V127" i="15"/>
  <c r="R128" i="15"/>
  <c r="J131" i="15"/>
  <c r="R133" i="15"/>
  <c r="V134" i="15"/>
  <c r="R135" i="15"/>
  <c r="R147" i="15"/>
  <c r="Z127" i="18"/>
  <c r="R18" i="19"/>
  <c r="R36" i="19"/>
  <c r="R33" i="19"/>
  <c r="R29" i="19"/>
  <c r="R25" i="19"/>
  <c r="P18" i="19"/>
  <c r="R15" i="19"/>
  <c r="R22" i="19"/>
  <c r="X12" i="19"/>
  <c r="R20" i="19"/>
  <c r="R16" i="19"/>
  <c r="R24" i="19"/>
  <c r="R21" i="19"/>
  <c r="F21" i="21"/>
  <c r="F41" i="21"/>
  <c r="F56" i="21"/>
  <c r="F64" i="21"/>
  <c r="R86" i="24"/>
  <c r="R79" i="24"/>
  <c r="R71" i="24"/>
  <c r="R77" i="24"/>
  <c r="R73" i="24"/>
  <c r="R69" i="24"/>
  <c r="R66" i="24"/>
  <c r="R51" i="24"/>
  <c r="R43" i="24"/>
  <c r="R39" i="24"/>
  <c r="R30" i="24"/>
  <c r="R23" i="24"/>
  <c r="R82" i="24"/>
  <c r="R68" i="24"/>
  <c r="R63" i="24"/>
  <c r="R59" i="24"/>
  <c r="R54" i="24"/>
  <c r="R50" i="24"/>
  <c r="R38" i="24"/>
  <c r="P30" i="24"/>
  <c r="R22" i="24"/>
  <c r="R80" i="24"/>
  <c r="R70" i="24"/>
  <c r="R62" i="24"/>
  <c r="R49" i="24"/>
  <c r="R42" i="24"/>
  <c r="R37" i="24"/>
  <c r="R21" i="24"/>
  <c r="R76" i="24"/>
  <c r="R67" i="24"/>
  <c r="R56" i="24"/>
  <c r="R53" i="24"/>
  <c r="R48" i="24"/>
  <c r="R36" i="24"/>
  <c r="R28" i="24"/>
  <c r="R20" i="24"/>
  <c r="X12" i="24"/>
  <c r="Z12" i="24" s="1"/>
  <c r="R75" i="24"/>
  <c r="R47" i="24"/>
  <c r="R35" i="24"/>
  <c r="R32" i="24"/>
  <c r="R27" i="24"/>
  <c r="R19" i="24"/>
  <c r="R78" i="24"/>
  <c r="R72" i="24"/>
  <c r="R65" i="24"/>
  <c r="R64" i="24"/>
  <c r="R61" i="24"/>
  <c r="R45" i="24"/>
  <c r="R41" i="24"/>
  <c r="R25" i="24"/>
  <c r="R18" i="24"/>
  <c r="R60" i="24"/>
  <c r="R57" i="24"/>
  <c r="R52" i="24"/>
  <c r="R44" i="24"/>
  <c r="R40" i="24"/>
  <c r="R33" i="24"/>
  <c r="R24" i="24"/>
  <c r="R26" i="24"/>
  <c r="R58" i="24"/>
  <c r="R74" i="24"/>
  <c r="X60" i="27"/>
  <c r="Z60" i="27" s="1"/>
  <c r="L62" i="27"/>
  <c r="N62" i="27" s="1"/>
  <c r="X68" i="27"/>
  <c r="Z68" i="27" s="1"/>
  <c r="V16" i="9"/>
  <c r="V26" i="9"/>
  <c r="J30" i="9"/>
  <c r="J34" i="9"/>
  <c r="V38" i="9"/>
  <c r="V42" i="9"/>
  <c r="J44" i="9"/>
  <c r="J50" i="9"/>
  <c r="V54" i="9"/>
  <c r="J58" i="9"/>
  <c r="V62" i="9"/>
  <c r="V66" i="9"/>
  <c r="J68" i="9"/>
  <c r="V70" i="9"/>
  <c r="V74" i="9"/>
  <c r="J76" i="9"/>
  <c r="V82" i="9"/>
  <c r="V86" i="9"/>
  <c r="J88" i="9"/>
  <c r="J96" i="9"/>
  <c r="J103" i="9"/>
  <c r="R16" i="10"/>
  <c r="R20" i="10"/>
  <c r="F24" i="10"/>
  <c r="V24" i="10"/>
  <c r="H18" i="11"/>
  <c r="V21" i="11"/>
  <c r="R27" i="11"/>
  <c r="R31" i="11"/>
  <c r="R34" i="11"/>
  <c r="P12" i="12"/>
  <c r="V27" i="12"/>
  <c r="V35" i="12"/>
  <c r="V43" i="12"/>
  <c r="J47" i="12"/>
  <c r="V51" i="12"/>
  <c r="J57" i="12"/>
  <c r="V59" i="12"/>
  <c r="J63" i="12"/>
  <c r="V67" i="12"/>
  <c r="V71" i="12"/>
  <c r="J75" i="12"/>
  <c r="V83" i="12"/>
  <c r="J85" i="12"/>
  <c r="V87" i="12"/>
  <c r="V95" i="12"/>
  <c r="J97" i="12"/>
  <c r="V99" i="12"/>
  <c r="V107" i="12"/>
  <c r="J109" i="12"/>
  <c r="J115" i="12"/>
  <c r="J119" i="12"/>
  <c r="V127" i="12"/>
  <c r="V135" i="12"/>
  <c r="V139" i="12"/>
  <c r="V143" i="12"/>
  <c r="V147" i="12"/>
  <c r="J152" i="12"/>
  <c r="V153" i="12"/>
  <c r="X12" i="13"/>
  <c r="F27" i="13"/>
  <c r="V27" i="13"/>
  <c r="F31" i="13"/>
  <c r="V31" i="13"/>
  <c r="F34" i="13"/>
  <c r="V34" i="13"/>
  <c r="R16" i="14"/>
  <c r="R20" i="14"/>
  <c r="V139" i="15"/>
  <c r="V135" i="15"/>
  <c r="V153" i="15"/>
  <c r="V145" i="15"/>
  <c r="V141" i="15"/>
  <c r="V137" i="15"/>
  <c r="V147" i="15"/>
  <c r="V149" i="15"/>
  <c r="V133" i="15"/>
  <c r="V146" i="15"/>
  <c r="V140" i="15"/>
  <c r="V24" i="15"/>
  <c r="R25" i="15"/>
  <c r="J28" i="15"/>
  <c r="V32" i="15"/>
  <c r="R33" i="15"/>
  <c r="J36" i="15"/>
  <c r="V40" i="15"/>
  <c r="R41" i="15"/>
  <c r="J44" i="15"/>
  <c r="V48" i="15"/>
  <c r="V52" i="15"/>
  <c r="V56" i="15"/>
  <c r="R57" i="15"/>
  <c r="J60" i="15"/>
  <c r="V68" i="15"/>
  <c r="R69" i="15"/>
  <c r="J72" i="15"/>
  <c r="J76" i="15"/>
  <c r="V80" i="15"/>
  <c r="J88" i="15"/>
  <c r="V92" i="15"/>
  <c r="J100" i="15"/>
  <c r="V104" i="15"/>
  <c r="J108" i="15"/>
  <c r="V116" i="15"/>
  <c r="V120" i="15"/>
  <c r="V128" i="15"/>
  <c r="R129" i="15"/>
  <c r="V132" i="15"/>
  <c r="P144" i="15"/>
  <c r="X144" i="15" s="1"/>
  <c r="Z144" i="15" s="1"/>
  <c r="R20" i="16"/>
  <c r="R16" i="16"/>
  <c r="R24" i="16"/>
  <c r="R21" i="16"/>
  <c r="R18" i="16"/>
  <c r="R22" i="16"/>
  <c r="X12" i="16"/>
  <c r="Z81" i="18"/>
  <c r="Z113" i="18"/>
  <c r="R34" i="19"/>
  <c r="L29" i="20"/>
  <c r="F85" i="21"/>
  <c r="F82" i="21"/>
  <c r="F78" i="21"/>
  <c r="F66" i="21"/>
  <c r="F54" i="21"/>
  <c r="F49" i="21"/>
  <c r="F46" i="21"/>
  <c r="F38" i="21"/>
  <c r="F34" i="21"/>
  <c r="F25" i="21"/>
  <c r="F81" i="21"/>
  <c r="F77" i="21"/>
  <c r="F73" i="21"/>
  <c r="F69" i="21"/>
  <c r="F65" i="21"/>
  <c r="F60" i="21"/>
  <c r="F57" i="21"/>
  <c r="F45" i="21"/>
  <c r="F37" i="21"/>
  <c r="F33" i="21"/>
  <c r="F84" i="21"/>
  <c r="F76" i="21"/>
  <c r="F72" i="21"/>
  <c r="F51" i="21"/>
  <c r="F48" i="21"/>
  <c r="F44" i="21"/>
  <c r="F32" i="21"/>
  <c r="F88" i="21"/>
  <c r="F75" i="21"/>
  <c r="F71" i="21"/>
  <c r="F62" i="21"/>
  <c r="F59" i="21"/>
  <c r="F43" i="21"/>
  <c r="F31" i="21"/>
  <c r="F26" i="21"/>
  <c r="F18" i="21"/>
  <c r="F92" i="21"/>
  <c r="F86" i="21"/>
  <c r="F53" i="21"/>
  <c r="F50" i="21"/>
  <c r="F42" i="21"/>
  <c r="F30" i="21"/>
  <c r="F23" i="21"/>
  <c r="F83" i="21"/>
  <c r="F52" i="21"/>
  <c r="F47" i="21"/>
  <c r="F40" i="21"/>
  <c r="F28" i="21"/>
  <c r="F20" i="21"/>
  <c r="L12" i="21"/>
  <c r="N12" i="21" s="1"/>
  <c r="F79" i="21"/>
  <c r="F74" i="21"/>
  <c r="F70" i="21"/>
  <c r="F67" i="21"/>
  <c r="F63" i="21"/>
  <c r="F58" i="21"/>
  <c r="F55" i="21"/>
  <c r="F39" i="21"/>
  <c r="F35" i="21"/>
  <c r="F27" i="21"/>
  <c r="F19" i="21"/>
  <c r="X14" i="21"/>
  <c r="P12" i="21"/>
  <c r="N47" i="21"/>
  <c r="L47" i="21"/>
  <c r="V24" i="22"/>
  <c r="V19" i="9"/>
  <c r="V27" i="9"/>
  <c r="V31" i="9"/>
  <c r="J35" i="9"/>
  <c r="V39" i="9"/>
  <c r="V43" i="9"/>
  <c r="J47" i="9"/>
  <c r="V51" i="9"/>
  <c r="J53" i="9"/>
  <c r="V59" i="9"/>
  <c r="J61" i="9"/>
  <c r="V67" i="9"/>
  <c r="L68" i="9"/>
  <c r="N68" i="9" s="1"/>
  <c r="V71" i="9"/>
  <c r="J73" i="9"/>
  <c r="V75" i="9"/>
  <c r="L76" i="9"/>
  <c r="J79" i="9"/>
  <c r="V83" i="9"/>
  <c r="J85" i="9"/>
  <c r="V87" i="9"/>
  <c r="L88" i="9"/>
  <c r="N88" i="9" s="1"/>
  <c r="J91" i="9"/>
  <c r="X12" i="10"/>
  <c r="X24" i="10"/>
  <c r="F27" i="10"/>
  <c r="V27" i="10"/>
  <c r="F31" i="10"/>
  <c r="V31" i="10"/>
  <c r="L15" i="11"/>
  <c r="R16" i="11"/>
  <c r="X21" i="11"/>
  <c r="V24" i="11"/>
  <c r="L25" i="11"/>
  <c r="L29" i="11"/>
  <c r="L33" i="11"/>
  <c r="V28" i="12"/>
  <c r="V36" i="12"/>
  <c r="V44" i="12"/>
  <c r="J48" i="12"/>
  <c r="V52" i="12"/>
  <c r="V56" i="12"/>
  <c r="L57" i="12"/>
  <c r="N57" i="12" s="1"/>
  <c r="V60" i="12"/>
  <c r="J64" i="12"/>
  <c r="V72" i="12"/>
  <c r="J76" i="12"/>
  <c r="J80" i="12"/>
  <c r="X83" i="12"/>
  <c r="Z83" i="12" s="1"/>
  <c r="V84" i="12"/>
  <c r="L85" i="12"/>
  <c r="N85" i="12" s="1"/>
  <c r="J92" i="12"/>
  <c r="X95" i="12"/>
  <c r="Z95" i="12" s="1"/>
  <c r="V96" i="12"/>
  <c r="L97" i="12"/>
  <c r="N97" i="12" s="1"/>
  <c r="J104" i="12"/>
  <c r="X107" i="12"/>
  <c r="Z107" i="12" s="1"/>
  <c r="V108" i="12"/>
  <c r="L109" i="12"/>
  <c r="J112" i="12"/>
  <c r="J116" i="12"/>
  <c r="J120" i="12"/>
  <c r="J124" i="12"/>
  <c r="J132" i="12"/>
  <c r="V136" i="12"/>
  <c r="X139" i="12"/>
  <c r="Z139" i="12" s="1"/>
  <c r="V140" i="12"/>
  <c r="J142" i="12"/>
  <c r="D151" i="12"/>
  <c r="L151" i="12" s="1"/>
  <c r="N151" i="12" s="1"/>
  <c r="J155" i="12"/>
  <c r="V156" i="12"/>
  <c r="J160" i="12"/>
  <c r="Z12" i="13"/>
  <c r="F16" i="13"/>
  <c r="V16" i="13"/>
  <c r="L21" i="13"/>
  <c r="X34" i="13"/>
  <c r="X12" i="14"/>
  <c r="X24" i="14"/>
  <c r="X12" i="15"/>
  <c r="Z12" i="15" s="1"/>
  <c r="R26" i="15"/>
  <c r="R34" i="15"/>
  <c r="R42" i="15"/>
  <c r="J45" i="15"/>
  <c r="P50" i="15"/>
  <c r="X52" i="15"/>
  <c r="V57" i="15"/>
  <c r="R58" i="15"/>
  <c r="J61" i="15"/>
  <c r="J65" i="15"/>
  <c r="V69" i="15"/>
  <c r="R70" i="15"/>
  <c r="J73" i="15"/>
  <c r="R75" i="15"/>
  <c r="V77" i="15"/>
  <c r="R78" i="15"/>
  <c r="J79" i="15"/>
  <c r="J85" i="15"/>
  <c r="R87" i="15"/>
  <c r="V89" i="15"/>
  <c r="R90" i="15"/>
  <c r="J91" i="15"/>
  <c r="J97" i="15"/>
  <c r="R99" i="15"/>
  <c r="V101" i="15"/>
  <c r="R102" i="15"/>
  <c r="J103" i="15"/>
  <c r="R107" i="15"/>
  <c r="J109" i="15"/>
  <c r="J113" i="15"/>
  <c r="J125" i="15"/>
  <c r="V129" i="15"/>
  <c r="R130" i="15"/>
  <c r="J139" i="15"/>
  <c r="H27" i="16"/>
  <c r="X87" i="18"/>
  <c r="L93" i="18"/>
  <c r="N93" i="18" s="1"/>
  <c r="L105" i="18"/>
  <c r="N105" i="18" s="1"/>
  <c r="Z147" i="18"/>
  <c r="F36" i="21"/>
  <c r="Z34" i="22"/>
  <c r="X34" i="22"/>
  <c r="R18" i="23"/>
  <c r="R36" i="23"/>
  <c r="R33" i="23"/>
  <c r="R29" i="23"/>
  <c r="R25" i="23"/>
  <c r="P18" i="23"/>
  <c r="R15" i="23"/>
  <c r="R22" i="23"/>
  <c r="X12" i="23"/>
  <c r="R20" i="23"/>
  <c r="R16" i="23"/>
  <c r="R24" i="23"/>
  <c r="R21" i="23"/>
  <c r="X18" i="24"/>
  <c r="V40" i="9"/>
  <c r="V48" i="9"/>
  <c r="V52" i="9"/>
  <c r="J56" i="9"/>
  <c r="V60" i="9"/>
  <c r="J64" i="9"/>
  <c r="V72" i="9"/>
  <c r="J80" i="9"/>
  <c r="V84" i="9"/>
  <c r="J92" i="9"/>
  <c r="V94" i="9"/>
  <c r="V27" i="11"/>
  <c r="V31" i="11"/>
  <c r="V29" i="12"/>
  <c r="V37" i="12"/>
  <c r="V45" i="12"/>
  <c r="V61" i="12"/>
  <c r="J65" i="12"/>
  <c r="J69" i="12"/>
  <c r="V73" i="12"/>
  <c r="J77" i="12"/>
  <c r="V81" i="12"/>
  <c r="J83" i="12"/>
  <c r="J89" i="12"/>
  <c r="V93" i="12"/>
  <c r="J95" i="12"/>
  <c r="J101" i="12"/>
  <c r="V105" i="12"/>
  <c r="J107" i="12"/>
  <c r="V113" i="12"/>
  <c r="J117" i="12"/>
  <c r="J121" i="12"/>
  <c r="J125" i="12"/>
  <c r="J129" i="12"/>
  <c r="J133" i="12"/>
  <c r="V137" i="12"/>
  <c r="J139" i="12"/>
  <c r="V141" i="12"/>
  <c r="J145" i="12"/>
  <c r="R27" i="15"/>
  <c r="V34" i="15"/>
  <c r="R35" i="15"/>
  <c r="J38" i="15"/>
  <c r="V42" i="15"/>
  <c r="R43" i="15"/>
  <c r="J46" i="15"/>
  <c r="R50" i="15"/>
  <c r="J52" i="15"/>
  <c r="J54" i="15"/>
  <c r="V58" i="15"/>
  <c r="R59" i="15"/>
  <c r="J62" i="15"/>
  <c r="R64" i="15"/>
  <c r="J66" i="15"/>
  <c r="V70" i="15"/>
  <c r="R71" i="15"/>
  <c r="J74" i="15"/>
  <c r="V78" i="15"/>
  <c r="J82" i="15"/>
  <c r="R84" i="15"/>
  <c r="J86" i="15"/>
  <c r="V90" i="15"/>
  <c r="J94" i="15"/>
  <c r="R96" i="15"/>
  <c r="J98" i="15"/>
  <c r="V102" i="15"/>
  <c r="J106" i="15"/>
  <c r="J110" i="15"/>
  <c r="R112" i="15"/>
  <c r="J114" i="15"/>
  <c r="J118" i="15"/>
  <c r="J122" i="15"/>
  <c r="R124" i="15"/>
  <c r="J126" i="15"/>
  <c r="V130" i="15"/>
  <c r="R131" i="15"/>
  <c r="J132" i="15"/>
  <c r="J138" i="15"/>
  <c r="Z87" i="18"/>
  <c r="R27" i="19"/>
  <c r="N83" i="21"/>
  <c r="L83" i="21"/>
  <c r="Z18" i="24"/>
  <c r="N21" i="25"/>
  <c r="L21" i="25"/>
  <c r="J21" i="16"/>
  <c r="V27" i="16"/>
  <c r="V31" i="16"/>
  <c r="V34" i="16"/>
  <c r="L15" i="17"/>
  <c r="R16" i="17"/>
  <c r="J18" i="17"/>
  <c r="R20" i="17"/>
  <c r="X21" i="17"/>
  <c r="F24" i="17"/>
  <c r="V24" i="17"/>
  <c r="L25" i="17"/>
  <c r="L29" i="17"/>
  <c r="L33" i="17"/>
  <c r="L21" i="18"/>
  <c r="V24" i="18"/>
  <c r="J28" i="18"/>
  <c r="V32" i="18"/>
  <c r="J36" i="18"/>
  <c r="V40" i="18"/>
  <c r="J44" i="18"/>
  <c r="V48" i="18"/>
  <c r="J52" i="18"/>
  <c r="J58" i="18"/>
  <c r="J60" i="18"/>
  <c r="V64" i="18"/>
  <c r="J68" i="18"/>
  <c r="J72" i="18"/>
  <c r="V76" i="18"/>
  <c r="J80" i="18"/>
  <c r="X83" i="18"/>
  <c r="Z83" i="18" s="1"/>
  <c r="V84" i="18"/>
  <c r="L85" i="18"/>
  <c r="N85" i="18" s="1"/>
  <c r="J88" i="18"/>
  <c r="J92" i="18"/>
  <c r="X95" i="18"/>
  <c r="Z95" i="18" s="1"/>
  <c r="V96" i="18"/>
  <c r="L97" i="18"/>
  <c r="N97" i="18" s="1"/>
  <c r="J100" i="18"/>
  <c r="J104" i="18"/>
  <c r="X107" i="18"/>
  <c r="Z107" i="18" s="1"/>
  <c r="V108" i="18"/>
  <c r="L109" i="18"/>
  <c r="J112" i="18"/>
  <c r="J116" i="18"/>
  <c r="J120" i="18"/>
  <c r="J124" i="18"/>
  <c r="J128" i="18"/>
  <c r="J132" i="18"/>
  <c r="V136" i="18"/>
  <c r="J138" i="18"/>
  <c r="V140" i="18"/>
  <c r="L141" i="18"/>
  <c r="J144" i="18"/>
  <c r="J148" i="18"/>
  <c r="V150" i="18"/>
  <c r="J157" i="18"/>
  <c r="L12" i="19"/>
  <c r="F15" i="19"/>
  <c r="L16" i="19"/>
  <c r="D18" i="19"/>
  <c r="L20" i="19"/>
  <c r="X22" i="19"/>
  <c r="F25" i="19"/>
  <c r="V25" i="19"/>
  <c r="F29" i="19"/>
  <c r="V29" i="19"/>
  <c r="F33" i="19"/>
  <c r="V33" i="19"/>
  <c r="F36" i="19"/>
  <c r="V36" i="19"/>
  <c r="J16" i="20"/>
  <c r="J20" i="20"/>
  <c r="F22" i="20"/>
  <c r="V22" i="20"/>
  <c r="L34" i="20"/>
  <c r="N26" i="21"/>
  <c r="V30" i="21"/>
  <c r="J34" i="21"/>
  <c r="J38" i="21"/>
  <c r="V42" i="21"/>
  <c r="J46" i="21"/>
  <c r="V50" i="21"/>
  <c r="J54" i="21"/>
  <c r="V58" i="21"/>
  <c r="J60" i="21"/>
  <c r="Z60" i="21"/>
  <c r="N62" i="21"/>
  <c r="J66" i="21"/>
  <c r="V70" i="21"/>
  <c r="V74" i="21"/>
  <c r="J78" i="21"/>
  <c r="J82" i="21"/>
  <c r="V86" i="21"/>
  <c r="V90" i="21"/>
  <c r="V92" i="21"/>
  <c r="N12" i="22"/>
  <c r="F18" i="22"/>
  <c r="N20" i="22"/>
  <c r="J22" i="22"/>
  <c r="R24" i="22"/>
  <c r="L12" i="23"/>
  <c r="F15" i="23"/>
  <c r="V15" i="23"/>
  <c r="D18" i="23"/>
  <c r="T18" i="23"/>
  <c r="F25" i="23"/>
  <c r="V25" i="23"/>
  <c r="F29" i="23"/>
  <c r="V29" i="23"/>
  <c r="F33" i="23"/>
  <c r="V33" i="23"/>
  <c r="F36" i="23"/>
  <c r="V36" i="23"/>
  <c r="L12" i="24"/>
  <c r="N12" i="24" s="1"/>
  <c r="J19" i="24"/>
  <c r="F20" i="24"/>
  <c r="V23" i="24"/>
  <c r="J27" i="24"/>
  <c r="F28" i="24"/>
  <c r="D30" i="24"/>
  <c r="T30" i="24"/>
  <c r="L32" i="24"/>
  <c r="N32" i="24" s="1"/>
  <c r="J35" i="24"/>
  <c r="F36" i="24"/>
  <c r="V39" i="24"/>
  <c r="X42" i="24"/>
  <c r="Z42" i="24" s="1"/>
  <c r="V43" i="24"/>
  <c r="J47" i="24"/>
  <c r="F48" i="24"/>
  <c r="V51" i="24"/>
  <c r="J53" i="24"/>
  <c r="Z53" i="24"/>
  <c r="N55" i="24"/>
  <c r="F56" i="24"/>
  <c r="F59" i="24"/>
  <c r="V59" i="24"/>
  <c r="X64" i="24"/>
  <c r="J66" i="24"/>
  <c r="F67" i="24"/>
  <c r="V73" i="24"/>
  <c r="N74" i="24"/>
  <c r="J75" i="24"/>
  <c r="F76" i="24"/>
  <c r="F77" i="24"/>
  <c r="V82" i="24"/>
  <c r="J86" i="24"/>
  <c r="L24" i="25"/>
  <c r="F24" i="29"/>
  <c r="F21" i="29"/>
  <c r="F22" i="29"/>
  <c r="F31" i="29"/>
  <c r="F29" i="29"/>
  <c r="F18" i="29"/>
  <c r="F36" i="29"/>
  <c r="F27" i="29"/>
  <c r="F25" i="29"/>
  <c r="D18" i="29"/>
  <c r="F15" i="29"/>
  <c r="L12" i="29"/>
  <c r="F34" i="29"/>
  <c r="F20" i="29"/>
  <c r="F16" i="29"/>
  <c r="F33" i="29"/>
  <c r="F121" i="30"/>
  <c r="F116" i="30"/>
  <c r="F109" i="30"/>
  <c r="F88" i="30"/>
  <c r="F85" i="30"/>
  <c r="F80" i="30"/>
  <c r="F73" i="30"/>
  <c r="F68" i="30"/>
  <c r="F65" i="30"/>
  <c r="F61" i="30"/>
  <c r="F49" i="30"/>
  <c r="F33" i="30"/>
  <c r="F25" i="30"/>
  <c r="F112" i="30"/>
  <c r="F95" i="30"/>
  <c r="F91" i="30"/>
  <c r="F76" i="30"/>
  <c r="F60" i="30"/>
  <c r="F48" i="30"/>
  <c r="F43" i="30"/>
  <c r="F32" i="30"/>
  <c r="F24" i="30"/>
  <c r="F19" i="30"/>
  <c r="F106" i="30"/>
  <c r="F98" i="30"/>
  <c r="F87" i="30"/>
  <c r="F82" i="30"/>
  <c r="F79" i="30"/>
  <c r="F75" i="30"/>
  <c r="F70" i="30"/>
  <c r="F67" i="30"/>
  <c r="F59" i="30"/>
  <c r="F47" i="30"/>
  <c r="F115" i="30"/>
  <c r="F101" i="30"/>
  <c r="F94" i="30"/>
  <c r="F90" i="30"/>
  <c r="F78" i="30"/>
  <c r="F58" i="30"/>
  <c r="F53" i="30"/>
  <c r="F46" i="30"/>
  <c r="D40" i="30"/>
  <c r="F38" i="30"/>
  <c r="F108" i="30"/>
  <c r="F105" i="30"/>
  <c r="F97" i="30"/>
  <c r="F93" i="30"/>
  <c r="F89" i="30"/>
  <c r="F84" i="30"/>
  <c r="F81" i="30"/>
  <c r="F72" i="30"/>
  <c r="F69" i="30"/>
  <c r="F64" i="30"/>
  <c r="F57" i="30"/>
  <c r="F45" i="30"/>
  <c r="F37" i="30"/>
  <c r="F29" i="30"/>
  <c r="F21" i="30"/>
  <c r="F117" i="30"/>
  <c r="F111" i="30"/>
  <c r="F104" i="30"/>
  <c r="F100" i="30"/>
  <c r="F96" i="30"/>
  <c r="F92" i="30"/>
  <c r="F56" i="30"/>
  <c r="F52" i="30"/>
  <c r="F44" i="30"/>
  <c r="F107" i="30"/>
  <c r="F103" i="30"/>
  <c r="F99" i="30"/>
  <c r="F86" i="30"/>
  <c r="F83" i="30"/>
  <c r="F110" i="30"/>
  <c r="F77" i="30"/>
  <c r="F23" i="30"/>
  <c r="F55" i="30"/>
  <c r="F54" i="30"/>
  <c r="F40" i="30"/>
  <c r="F28" i="30"/>
  <c r="F27" i="30"/>
  <c r="F22" i="30"/>
  <c r="F74" i="30"/>
  <c r="F66" i="30"/>
  <c r="F50" i="30"/>
  <c r="F26" i="30"/>
  <c r="F71" i="30"/>
  <c r="F63" i="30"/>
  <c r="F62" i="30"/>
  <c r="F51" i="30"/>
  <c r="F42" i="30"/>
  <c r="F31" i="30"/>
  <c r="F36" i="30"/>
  <c r="F35" i="30"/>
  <c r="F30" i="30"/>
  <c r="F20" i="30"/>
  <c r="L12" i="30"/>
  <c r="N12" i="30" s="1"/>
  <c r="Z13" i="32"/>
  <c r="X13" i="32"/>
  <c r="Z12" i="16"/>
  <c r="V16" i="16"/>
  <c r="V20" i="16"/>
  <c r="J24" i="16"/>
  <c r="X12" i="17"/>
  <c r="J21" i="17"/>
  <c r="F27" i="17"/>
  <c r="V27" i="17"/>
  <c r="F31" i="17"/>
  <c r="V31" i="17"/>
  <c r="F34" i="17"/>
  <c r="V34" i="17"/>
  <c r="N21" i="18"/>
  <c r="V25" i="18"/>
  <c r="J29" i="18"/>
  <c r="V33" i="18"/>
  <c r="J37" i="18"/>
  <c r="V41" i="18"/>
  <c r="J45" i="18"/>
  <c r="V49" i="18"/>
  <c r="J53" i="18"/>
  <c r="T56" i="18"/>
  <c r="J61" i="18"/>
  <c r="V65" i="18"/>
  <c r="J69" i="18"/>
  <c r="J73" i="18"/>
  <c r="V77" i="18"/>
  <c r="V81" i="18"/>
  <c r="J83" i="18"/>
  <c r="J89" i="18"/>
  <c r="V93" i="18"/>
  <c r="J95" i="18"/>
  <c r="J101" i="18"/>
  <c r="V105" i="18"/>
  <c r="J107" i="18"/>
  <c r="V113" i="18"/>
  <c r="J117" i="18"/>
  <c r="J121" i="18"/>
  <c r="J125" i="18"/>
  <c r="J129" i="18"/>
  <c r="J133" i="18"/>
  <c r="V137" i="18"/>
  <c r="J145" i="18"/>
  <c r="J152" i="18"/>
  <c r="V153" i="18"/>
  <c r="V161" i="18"/>
  <c r="N12" i="19"/>
  <c r="F18" i="19"/>
  <c r="V18" i="19"/>
  <c r="J22" i="19"/>
  <c r="L12" i="20"/>
  <c r="F15" i="20"/>
  <c r="V15" i="20"/>
  <c r="D18" i="20"/>
  <c r="T18" i="20"/>
  <c r="R21" i="20"/>
  <c r="F25" i="20"/>
  <c r="V25" i="20"/>
  <c r="F29" i="20"/>
  <c r="V29" i="20"/>
  <c r="F33" i="20"/>
  <c r="V33" i="20"/>
  <c r="F36" i="20"/>
  <c r="V36" i="20"/>
  <c r="L13" i="21"/>
  <c r="N13" i="21" s="1"/>
  <c r="J19" i="21"/>
  <c r="J25" i="21"/>
  <c r="J27" i="21"/>
  <c r="V31" i="21"/>
  <c r="J35" i="21"/>
  <c r="J39" i="21"/>
  <c r="V43" i="21"/>
  <c r="V47" i="21"/>
  <c r="J49" i="21"/>
  <c r="J55" i="21"/>
  <c r="V59" i="21"/>
  <c r="J63" i="21"/>
  <c r="J67" i="21"/>
  <c r="V71" i="21"/>
  <c r="V75" i="21"/>
  <c r="J79" i="21"/>
  <c r="V83" i="21"/>
  <c r="J85" i="21"/>
  <c r="J15" i="22"/>
  <c r="H18" i="22"/>
  <c r="F21" i="22"/>
  <c r="J25" i="22"/>
  <c r="R27" i="22"/>
  <c r="J29" i="22"/>
  <c r="R31" i="22"/>
  <c r="J33" i="22"/>
  <c r="R34" i="22"/>
  <c r="J36" i="22"/>
  <c r="N12" i="23"/>
  <c r="F18" i="23"/>
  <c r="V18" i="23"/>
  <c r="J22" i="23"/>
  <c r="J20" i="24"/>
  <c r="F21" i="24"/>
  <c r="V24" i="24"/>
  <c r="J28" i="24"/>
  <c r="F30" i="24"/>
  <c r="V30" i="24"/>
  <c r="J36" i="24"/>
  <c r="F37" i="24"/>
  <c r="V40" i="24"/>
  <c r="J42" i="24"/>
  <c r="V44" i="24"/>
  <c r="J48" i="24"/>
  <c r="F49" i="24"/>
  <c r="V52" i="24"/>
  <c r="J56" i="24"/>
  <c r="J62" i="24"/>
  <c r="J67" i="24"/>
  <c r="J76" i="24"/>
  <c r="J79" i="24"/>
  <c r="F80" i="24"/>
  <c r="F82" i="24"/>
  <c r="L21" i="26"/>
  <c r="N19" i="27"/>
  <c r="Z58" i="27"/>
  <c r="F34" i="30"/>
  <c r="P114" i="30"/>
  <c r="X114" i="30" s="1"/>
  <c r="Z114" i="30" s="1"/>
  <c r="X115" i="30"/>
  <c r="Z115" i="30" s="1"/>
  <c r="Z34" i="41"/>
  <c r="X34" i="41"/>
  <c r="J16" i="16"/>
  <c r="J20" i="16"/>
  <c r="V22" i="16"/>
  <c r="R15" i="17"/>
  <c r="P18" i="17"/>
  <c r="R25" i="17"/>
  <c r="J27" i="17"/>
  <c r="R29" i="17"/>
  <c r="J31" i="17"/>
  <c r="R33" i="17"/>
  <c r="J34" i="17"/>
  <c r="R36" i="17"/>
  <c r="V27" i="18"/>
  <c r="J31" i="18"/>
  <c r="V35" i="18"/>
  <c r="J39" i="18"/>
  <c r="V43" i="18"/>
  <c r="J47" i="18"/>
  <c r="V51" i="18"/>
  <c r="H56" i="18"/>
  <c r="V59" i="18"/>
  <c r="J63" i="18"/>
  <c r="V67" i="18"/>
  <c r="V71" i="18"/>
  <c r="J75" i="18"/>
  <c r="V79" i="18"/>
  <c r="J81" i="18"/>
  <c r="V87" i="18"/>
  <c r="V91" i="18"/>
  <c r="J93" i="18"/>
  <c r="V99" i="18"/>
  <c r="V103" i="18"/>
  <c r="J105" i="18"/>
  <c r="V111" i="18"/>
  <c r="J113" i="18"/>
  <c r="V115" i="18"/>
  <c r="V119" i="18"/>
  <c r="V123" i="18"/>
  <c r="V127" i="18"/>
  <c r="V131" i="18"/>
  <c r="J135" i="18"/>
  <c r="J139" i="18"/>
  <c r="V143" i="18"/>
  <c r="V147" i="18"/>
  <c r="V151" i="18"/>
  <c r="J18" i="19"/>
  <c r="F24" i="19"/>
  <c r="V24" i="19"/>
  <c r="J15" i="20"/>
  <c r="H18" i="20"/>
  <c r="F21" i="20"/>
  <c r="V21" i="20"/>
  <c r="J25" i="20"/>
  <c r="R27" i="20"/>
  <c r="J29" i="20"/>
  <c r="R31" i="20"/>
  <c r="J33" i="20"/>
  <c r="R34" i="20"/>
  <c r="J36" i="20"/>
  <c r="J21" i="21"/>
  <c r="V23" i="21"/>
  <c r="J29" i="21"/>
  <c r="V33" i="21"/>
  <c r="V37" i="21"/>
  <c r="J41" i="21"/>
  <c r="V45" i="21"/>
  <c r="J47" i="21"/>
  <c r="V53" i="21"/>
  <c r="V57" i="21"/>
  <c r="J61" i="21"/>
  <c r="V65" i="21"/>
  <c r="V69" i="21"/>
  <c r="V73" i="21"/>
  <c r="V77" i="21"/>
  <c r="V81" i="21"/>
  <c r="J83" i="21"/>
  <c r="J21" i="22"/>
  <c r="F27" i="22"/>
  <c r="F31" i="22"/>
  <c r="F34" i="22"/>
  <c r="J18" i="23"/>
  <c r="F24" i="23"/>
  <c r="V24" i="23"/>
  <c r="V65" i="24"/>
  <c r="V86" i="24"/>
  <c r="V80" i="24"/>
  <c r="V76" i="24"/>
  <c r="V72" i="24"/>
  <c r="V68" i="24"/>
  <c r="F18" i="24"/>
  <c r="V18" i="24"/>
  <c r="J22" i="24"/>
  <c r="F23" i="24"/>
  <c r="V26" i="24"/>
  <c r="J30" i="24"/>
  <c r="V34" i="24"/>
  <c r="J38" i="24"/>
  <c r="F39" i="24"/>
  <c r="F43" i="24"/>
  <c r="V46" i="24"/>
  <c r="J50" i="24"/>
  <c r="F51" i="24"/>
  <c r="J54" i="24"/>
  <c r="V58" i="24"/>
  <c r="J63" i="24"/>
  <c r="V64" i="24"/>
  <c r="F69" i="24"/>
  <c r="F71" i="24"/>
  <c r="Z74" i="24"/>
  <c r="V77" i="24"/>
  <c r="J82" i="24"/>
  <c r="V27" i="25"/>
  <c r="Z24" i="26"/>
  <c r="X24" i="26"/>
  <c r="R34" i="26"/>
  <c r="P12" i="27"/>
  <c r="F91" i="27"/>
  <c r="F86" i="27"/>
  <c r="F80" i="27"/>
  <c r="F73" i="27"/>
  <c r="F69" i="27"/>
  <c r="F64" i="27"/>
  <c r="F61" i="27"/>
  <c r="F56" i="27"/>
  <c r="F49" i="27"/>
  <c r="F37" i="27"/>
  <c r="D31" i="27"/>
  <c r="F29" i="27"/>
  <c r="F21" i="27"/>
  <c r="F76" i="27"/>
  <c r="F48" i="27"/>
  <c r="F44" i="27"/>
  <c r="F36" i="27"/>
  <c r="F28" i="27"/>
  <c r="F20" i="27"/>
  <c r="F79" i="27"/>
  <c r="F75" i="27"/>
  <c r="F66" i="27"/>
  <c r="F63" i="27"/>
  <c r="F58" i="27"/>
  <c r="F55" i="27"/>
  <c r="F47" i="27"/>
  <c r="F43" i="27"/>
  <c r="F35" i="27"/>
  <c r="F27" i="27"/>
  <c r="F85" i="27"/>
  <c r="F83" i="27"/>
  <c r="F78" i="27"/>
  <c r="F54" i="27"/>
  <c r="F46" i="27"/>
  <c r="F42" i="27"/>
  <c r="F33" i="27"/>
  <c r="F26" i="27"/>
  <c r="F81" i="27"/>
  <c r="F72" i="27"/>
  <c r="F68" i="27"/>
  <c r="F65" i="27"/>
  <c r="F60" i="27"/>
  <c r="F57" i="27"/>
  <c r="F53" i="27"/>
  <c r="F41" i="27"/>
  <c r="F25" i="27"/>
  <c r="F84" i="27"/>
  <c r="F74" i="27"/>
  <c r="F71" i="27"/>
  <c r="F67" i="27"/>
  <c r="F62" i="27"/>
  <c r="F59" i="27"/>
  <c r="F51" i="27"/>
  <c r="F39" i="27"/>
  <c r="F34" i="27"/>
  <c r="F23" i="27"/>
  <c r="F77" i="27"/>
  <c r="F70" i="27"/>
  <c r="F50" i="27"/>
  <c r="F45" i="27"/>
  <c r="F38" i="27"/>
  <c r="F31" i="27"/>
  <c r="F22" i="27"/>
  <c r="L12" i="27"/>
  <c r="N12" i="27" s="1"/>
  <c r="Z15" i="28"/>
  <c r="X15" i="28"/>
  <c r="T18" i="28"/>
  <c r="N16" i="29"/>
  <c r="L16" i="29"/>
  <c r="N20" i="29"/>
  <c r="L20" i="29"/>
  <c r="N34" i="29"/>
  <c r="L34" i="29"/>
  <c r="L80" i="30"/>
  <c r="N80" i="30" s="1"/>
  <c r="V15" i="16"/>
  <c r="T18" i="16"/>
  <c r="V25" i="16"/>
  <c r="V29" i="16"/>
  <c r="V33" i="16"/>
  <c r="V36" i="16"/>
  <c r="J16" i="17"/>
  <c r="R18" i="17"/>
  <c r="J20" i="17"/>
  <c r="F22" i="17"/>
  <c r="V22" i="17"/>
  <c r="J24" i="18"/>
  <c r="V28" i="18"/>
  <c r="J32" i="18"/>
  <c r="V36" i="18"/>
  <c r="J40" i="18"/>
  <c r="V44" i="18"/>
  <c r="J48" i="18"/>
  <c r="V52" i="18"/>
  <c r="V60" i="18"/>
  <c r="J64" i="18"/>
  <c r="V68" i="18"/>
  <c r="J70" i="18"/>
  <c r="V72" i="18"/>
  <c r="J76" i="18"/>
  <c r="V80" i="18"/>
  <c r="J84" i="18"/>
  <c r="V88" i="18"/>
  <c r="J90" i="18"/>
  <c r="V92" i="18"/>
  <c r="J96" i="18"/>
  <c r="V100" i="18"/>
  <c r="J102" i="18"/>
  <c r="V104" i="18"/>
  <c r="J108" i="18"/>
  <c r="V112" i="18"/>
  <c r="V116" i="18"/>
  <c r="J118" i="18"/>
  <c r="V120" i="18"/>
  <c r="V124" i="18"/>
  <c r="V128" i="18"/>
  <c r="J130" i="18"/>
  <c r="V132" i="18"/>
  <c r="J136" i="18"/>
  <c r="J140" i="18"/>
  <c r="V144" i="18"/>
  <c r="V148" i="18"/>
  <c r="J153" i="18"/>
  <c r="V154" i="18"/>
  <c r="J21" i="19"/>
  <c r="F27" i="19"/>
  <c r="V27" i="19"/>
  <c r="F31" i="19"/>
  <c r="V31" i="19"/>
  <c r="F34" i="19"/>
  <c r="V34" i="19"/>
  <c r="J18" i="20"/>
  <c r="R20" i="20"/>
  <c r="F24" i="20"/>
  <c r="V24" i="20"/>
  <c r="V18" i="21"/>
  <c r="H23" i="21"/>
  <c r="V26" i="21"/>
  <c r="J30" i="21"/>
  <c r="V34" i="21"/>
  <c r="J36" i="21"/>
  <c r="V38" i="21"/>
  <c r="J42" i="21"/>
  <c r="V46" i="21"/>
  <c r="J50" i="21"/>
  <c r="V54" i="21"/>
  <c r="J56" i="21"/>
  <c r="V62" i="21"/>
  <c r="J64" i="21"/>
  <c r="V66" i="21"/>
  <c r="J68" i="21"/>
  <c r="V78" i="21"/>
  <c r="J80" i="21"/>
  <c r="V82" i="21"/>
  <c r="J86" i="21"/>
  <c r="V88" i="21"/>
  <c r="J92" i="21"/>
  <c r="F16" i="22"/>
  <c r="F20" i="22"/>
  <c r="R22" i="22"/>
  <c r="J24" i="22"/>
  <c r="J21" i="23"/>
  <c r="F27" i="23"/>
  <c r="V27" i="23"/>
  <c r="F31" i="23"/>
  <c r="V31" i="23"/>
  <c r="F34" i="23"/>
  <c r="V34" i="23"/>
  <c r="V19" i="24"/>
  <c r="J23" i="24"/>
  <c r="F24" i="24"/>
  <c r="V27" i="24"/>
  <c r="J33" i="24"/>
  <c r="V35" i="24"/>
  <c r="J39" i="24"/>
  <c r="F40" i="24"/>
  <c r="J43" i="24"/>
  <c r="F44" i="24"/>
  <c r="V47" i="24"/>
  <c r="J51" i="24"/>
  <c r="F52" i="24"/>
  <c r="F55" i="24"/>
  <c r="V55" i="24"/>
  <c r="J57" i="24"/>
  <c r="F60" i="24"/>
  <c r="F64" i="24"/>
  <c r="V66" i="24"/>
  <c r="V74" i="24"/>
  <c r="V75" i="24"/>
  <c r="X79" i="24"/>
  <c r="Z79" i="24" s="1"/>
  <c r="X20" i="25"/>
  <c r="R16" i="26"/>
  <c r="F24" i="27"/>
  <c r="X72" i="27"/>
  <c r="Z72" i="27" s="1"/>
  <c r="L74" i="27"/>
  <c r="N74" i="27" s="1"/>
  <c r="N68" i="30"/>
  <c r="L68" i="30"/>
  <c r="J68" i="30"/>
  <c r="X15" i="31"/>
  <c r="P18" i="31"/>
  <c r="V18" i="16"/>
  <c r="J22" i="16"/>
  <c r="F15" i="17"/>
  <c r="D18" i="17"/>
  <c r="T18" i="17"/>
  <c r="R21" i="17"/>
  <c r="F25" i="17"/>
  <c r="V25" i="17"/>
  <c r="F29" i="17"/>
  <c r="V29" i="17"/>
  <c r="F33" i="17"/>
  <c r="V33" i="17"/>
  <c r="F36" i="17"/>
  <c r="V36" i="17"/>
  <c r="V29" i="18"/>
  <c r="V37" i="18"/>
  <c r="J41" i="18"/>
  <c r="V45" i="18"/>
  <c r="J49" i="18"/>
  <c r="V53" i="18"/>
  <c r="J59" i="18"/>
  <c r="V61" i="18"/>
  <c r="J65" i="18"/>
  <c r="V69" i="18"/>
  <c r="V73" i="18"/>
  <c r="J77" i="18"/>
  <c r="V85" i="18"/>
  <c r="J87" i="18"/>
  <c r="V89" i="18"/>
  <c r="V97" i="18"/>
  <c r="J99" i="18"/>
  <c r="V101" i="18"/>
  <c r="V109" i="18"/>
  <c r="J111" i="18"/>
  <c r="V117" i="18"/>
  <c r="V121" i="18"/>
  <c r="J123" i="18"/>
  <c r="V125" i="18"/>
  <c r="J127" i="18"/>
  <c r="V129" i="18"/>
  <c r="V133" i="18"/>
  <c r="J137" i="18"/>
  <c r="V141" i="18"/>
  <c r="J143" i="18"/>
  <c r="V145" i="18"/>
  <c r="J147" i="18"/>
  <c r="P150" i="18"/>
  <c r="X150" i="18" s="1"/>
  <c r="Z150" i="18" s="1"/>
  <c r="J156" i="18"/>
  <c r="V157" i="18"/>
  <c r="J161" i="18"/>
  <c r="F16" i="19"/>
  <c r="V16" i="19"/>
  <c r="F20" i="19"/>
  <c r="V20" i="19"/>
  <c r="J24" i="19"/>
  <c r="X12" i="20"/>
  <c r="J21" i="20"/>
  <c r="F27" i="20"/>
  <c r="V27" i="20"/>
  <c r="F31" i="20"/>
  <c r="V31" i="20"/>
  <c r="V19" i="21"/>
  <c r="J23" i="21"/>
  <c r="V27" i="21"/>
  <c r="J31" i="21"/>
  <c r="V35" i="21"/>
  <c r="V39" i="21"/>
  <c r="J43" i="21"/>
  <c r="V51" i="21"/>
  <c r="J53" i="21"/>
  <c r="V55" i="21"/>
  <c r="J59" i="21"/>
  <c r="V63" i="21"/>
  <c r="V67" i="21"/>
  <c r="J71" i="21"/>
  <c r="J75" i="21"/>
  <c r="V79" i="21"/>
  <c r="R25" i="22"/>
  <c r="J27" i="22"/>
  <c r="R29" i="22"/>
  <c r="J31" i="22"/>
  <c r="R33" i="22"/>
  <c r="J34" i="22"/>
  <c r="R36" i="22"/>
  <c r="F16" i="23"/>
  <c r="F20" i="23"/>
  <c r="J24" i="23"/>
  <c r="J24" i="24"/>
  <c r="F25" i="24"/>
  <c r="V28" i="24"/>
  <c r="F32" i="24"/>
  <c r="V32" i="24"/>
  <c r="V36" i="24"/>
  <c r="J40" i="24"/>
  <c r="F41" i="24"/>
  <c r="J44" i="24"/>
  <c r="F45" i="24"/>
  <c r="V48" i="24"/>
  <c r="J52" i="24"/>
  <c r="V56" i="24"/>
  <c r="J60" i="24"/>
  <c r="F61" i="24"/>
  <c r="V67" i="24"/>
  <c r="J71" i="24"/>
  <c r="F72" i="24"/>
  <c r="F73" i="24"/>
  <c r="V36" i="25"/>
  <c r="V33" i="25"/>
  <c r="V29" i="25"/>
  <c r="V25" i="25"/>
  <c r="T18" i="25"/>
  <c r="V15" i="25"/>
  <c r="V22" i="25"/>
  <c r="V20" i="25"/>
  <c r="V16" i="25"/>
  <c r="V21" i="25"/>
  <c r="V18" i="25"/>
  <c r="V24" i="25"/>
  <c r="F52" i="27"/>
  <c r="F102" i="30"/>
  <c r="V74" i="18"/>
  <c r="J78" i="18"/>
  <c r="J82" i="18"/>
  <c r="V86" i="18"/>
  <c r="J94" i="18"/>
  <c r="V98" i="18"/>
  <c r="J106" i="18"/>
  <c r="V110" i="18"/>
  <c r="J114" i="18"/>
  <c r="V122" i="18"/>
  <c r="V126" i="18"/>
  <c r="V134" i="18"/>
  <c r="V138" i="18"/>
  <c r="V142" i="18"/>
  <c r="V146" i="18"/>
  <c r="J151" i="18"/>
  <c r="V152" i="18"/>
  <c r="J44" i="21"/>
  <c r="J48" i="21"/>
  <c r="V52" i="21"/>
  <c r="V60" i="21"/>
  <c r="J62" i="21"/>
  <c r="J72" i="21"/>
  <c r="J76" i="21"/>
  <c r="J84" i="21"/>
  <c r="J88" i="21"/>
  <c r="J16" i="22"/>
  <c r="F78" i="24"/>
  <c r="F70" i="24"/>
  <c r="F68" i="24"/>
  <c r="F65" i="24"/>
  <c r="F26" i="24"/>
  <c r="F34" i="24"/>
  <c r="V37" i="24"/>
  <c r="J41" i="24"/>
  <c r="J45" i="24"/>
  <c r="F46" i="24"/>
  <c r="V49" i="24"/>
  <c r="F53" i="24"/>
  <c r="V53" i="24"/>
  <c r="J55" i="24"/>
  <c r="F58" i="24"/>
  <c r="J61" i="24"/>
  <c r="J64" i="24"/>
  <c r="J65" i="24"/>
  <c r="F66" i="24"/>
  <c r="V69" i="24"/>
  <c r="V70" i="24"/>
  <c r="V79" i="24"/>
  <c r="V31" i="25"/>
  <c r="R18" i="26"/>
  <c r="R36" i="26"/>
  <c r="R33" i="26"/>
  <c r="R29" i="26"/>
  <c r="R25" i="26"/>
  <c r="P18" i="26"/>
  <c r="R15" i="26"/>
  <c r="R22" i="26"/>
  <c r="X12" i="26"/>
  <c r="R24" i="26"/>
  <c r="R21" i="26"/>
  <c r="R20" i="26"/>
  <c r="R31" i="26"/>
  <c r="L34" i="27"/>
  <c r="N34" i="27" s="1"/>
  <c r="J34" i="27"/>
  <c r="J21" i="28"/>
  <c r="J18" i="28"/>
  <c r="J36" i="28"/>
  <c r="J33" i="28"/>
  <c r="J29" i="28"/>
  <c r="J25" i="28"/>
  <c r="H18" i="28"/>
  <c r="J15" i="28"/>
  <c r="J22" i="28"/>
  <c r="N12" i="28"/>
  <c r="L12" i="28"/>
  <c r="J34" i="28"/>
  <c r="J31" i="28"/>
  <c r="J27" i="28"/>
  <c r="J24" i="28"/>
  <c r="L15" i="28"/>
  <c r="D18" i="28"/>
  <c r="Z25" i="28"/>
  <c r="X25" i="28"/>
  <c r="Z29" i="28"/>
  <c r="X29" i="28"/>
  <c r="H18" i="17"/>
  <c r="J25" i="17"/>
  <c r="R27" i="17"/>
  <c r="J29" i="17"/>
  <c r="R31" i="17"/>
  <c r="J33" i="17"/>
  <c r="P12" i="18"/>
  <c r="V23" i="18"/>
  <c r="V31" i="18"/>
  <c r="J35" i="18"/>
  <c r="V39" i="18"/>
  <c r="J43" i="18"/>
  <c r="V47" i="18"/>
  <c r="J51" i="18"/>
  <c r="V63" i="18"/>
  <c r="J67" i="18"/>
  <c r="J71" i="18"/>
  <c r="V75" i="18"/>
  <c r="J79" i="18"/>
  <c r="V83" i="18"/>
  <c r="J85" i="18"/>
  <c r="J91" i="18"/>
  <c r="V95" i="18"/>
  <c r="J97" i="18"/>
  <c r="J103" i="18"/>
  <c r="V107" i="18"/>
  <c r="J109" i="18"/>
  <c r="J115" i="18"/>
  <c r="J119" i="18"/>
  <c r="J131" i="18"/>
  <c r="V135" i="18"/>
  <c r="V139" i="18"/>
  <c r="J141" i="18"/>
  <c r="D150" i="18"/>
  <c r="L150" i="18" s="1"/>
  <c r="N150" i="18" s="1"/>
  <c r="J154" i="18"/>
  <c r="J16" i="19"/>
  <c r="P18" i="20"/>
  <c r="R25" i="20"/>
  <c r="J27" i="20"/>
  <c r="R29" i="20"/>
  <c r="J31" i="20"/>
  <c r="R33" i="20"/>
  <c r="V21" i="21"/>
  <c r="V25" i="21"/>
  <c r="V29" i="21"/>
  <c r="J33" i="21"/>
  <c r="J37" i="21"/>
  <c r="V41" i="21"/>
  <c r="J45" i="21"/>
  <c r="V49" i="21"/>
  <c r="J51" i="21"/>
  <c r="J57" i="21"/>
  <c r="V61" i="21"/>
  <c r="J65" i="21"/>
  <c r="J69" i="21"/>
  <c r="J73" i="21"/>
  <c r="J77" i="21"/>
  <c r="L12" i="22"/>
  <c r="F15" i="22"/>
  <c r="D18" i="22"/>
  <c r="F25" i="22"/>
  <c r="F29" i="22"/>
  <c r="F33" i="22"/>
  <c r="J16" i="23"/>
  <c r="J77" i="24"/>
  <c r="J73" i="24"/>
  <c r="J69" i="24"/>
  <c r="J74" i="24"/>
  <c r="F19" i="24"/>
  <c r="V22" i="24"/>
  <c r="J26" i="24"/>
  <c r="F27" i="24"/>
  <c r="J32" i="24"/>
  <c r="J34" i="24"/>
  <c r="F35" i="24"/>
  <c r="V38" i="24"/>
  <c r="F42" i="24"/>
  <c r="V42" i="24"/>
  <c r="J46" i="24"/>
  <c r="F47" i="24"/>
  <c r="V50" i="24"/>
  <c r="V54" i="24"/>
  <c r="J58" i="24"/>
  <c r="F62" i="24"/>
  <c r="V62" i="24"/>
  <c r="V63" i="24"/>
  <c r="F75" i="24"/>
  <c r="J78" i="24"/>
  <c r="F79" i="24"/>
  <c r="F86" i="24"/>
  <c r="Z12" i="25"/>
  <c r="V22" i="26"/>
  <c r="V20" i="26"/>
  <c r="V16" i="26"/>
  <c r="Z12" i="26"/>
  <c r="V34" i="26"/>
  <c r="V31" i="26"/>
  <c r="V27" i="26"/>
  <c r="V24" i="26"/>
  <c r="V18" i="26"/>
  <c r="V36" i="26"/>
  <c r="V33" i="26"/>
  <c r="V29" i="26"/>
  <c r="V25" i="26"/>
  <c r="T18" i="26"/>
  <c r="V15" i="26"/>
  <c r="Z56" i="27"/>
  <c r="N58" i="27"/>
  <c r="Z64" i="27"/>
  <c r="N66" i="27"/>
  <c r="F87" i="27"/>
  <c r="Z33" i="28"/>
  <c r="X33" i="28"/>
  <c r="H121" i="36"/>
  <c r="N12" i="25"/>
  <c r="J22" i="25"/>
  <c r="R24" i="25"/>
  <c r="L12" i="26"/>
  <c r="F15" i="26"/>
  <c r="D18" i="26"/>
  <c r="F25" i="26"/>
  <c r="F29" i="26"/>
  <c r="F33" i="26"/>
  <c r="F36" i="26"/>
  <c r="J21" i="27"/>
  <c r="V25" i="27"/>
  <c r="J29" i="27"/>
  <c r="J37" i="27"/>
  <c r="V41" i="27"/>
  <c r="V45" i="27"/>
  <c r="J49" i="27"/>
  <c r="V53" i="27"/>
  <c r="V57" i="27"/>
  <c r="J61" i="27"/>
  <c r="V65" i="27"/>
  <c r="J69" i="27"/>
  <c r="J73" i="27"/>
  <c r="V77" i="27"/>
  <c r="V81" i="27"/>
  <c r="J86" i="27"/>
  <c r="V87" i="27"/>
  <c r="J91" i="27"/>
  <c r="Z12" i="28"/>
  <c r="F16" i="28"/>
  <c r="V16" i="28"/>
  <c r="F20" i="28"/>
  <c r="V20" i="28"/>
  <c r="X12" i="29"/>
  <c r="V20" i="29"/>
  <c r="R25" i="29"/>
  <c r="J31" i="29"/>
  <c r="V34" i="29"/>
  <c r="R36" i="29"/>
  <c r="J112" i="30"/>
  <c r="J106" i="30"/>
  <c r="J98" i="30"/>
  <c r="J82" i="30"/>
  <c r="J76" i="30"/>
  <c r="J70" i="30"/>
  <c r="J60" i="30"/>
  <c r="J48" i="30"/>
  <c r="J40" i="30"/>
  <c r="J32" i="30"/>
  <c r="J24" i="30"/>
  <c r="J101" i="30"/>
  <c r="J87" i="30"/>
  <c r="J79" i="30"/>
  <c r="J75" i="30"/>
  <c r="J67" i="30"/>
  <c r="J59" i="30"/>
  <c r="J53" i="30"/>
  <c r="J47" i="30"/>
  <c r="H40" i="30"/>
  <c r="J31" i="30"/>
  <c r="J23" i="30"/>
  <c r="J115" i="30"/>
  <c r="J108" i="30"/>
  <c r="J94" i="30"/>
  <c r="J90" i="30"/>
  <c r="J84" i="30"/>
  <c r="J78" i="30"/>
  <c r="J72" i="30"/>
  <c r="J64" i="30"/>
  <c r="J58" i="30"/>
  <c r="J46" i="30"/>
  <c r="J111" i="30"/>
  <c r="J105" i="30"/>
  <c r="J97" i="30"/>
  <c r="J93" i="30"/>
  <c r="J89" i="30"/>
  <c r="J81" i="30"/>
  <c r="J69" i="30"/>
  <c r="J57" i="30"/>
  <c r="J45" i="30"/>
  <c r="J37" i="30"/>
  <c r="J117" i="30"/>
  <c r="J104" i="30"/>
  <c r="J100" i="30"/>
  <c r="J96" i="30"/>
  <c r="J92" i="30"/>
  <c r="J86" i="30"/>
  <c r="J74" i="30"/>
  <c r="J66" i="30"/>
  <c r="J56" i="30"/>
  <c r="J52" i="30"/>
  <c r="J44" i="30"/>
  <c r="J42" i="30"/>
  <c r="J36" i="30"/>
  <c r="J28" i="30"/>
  <c r="J20" i="30"/>
  <c r="J107" i="30"/>
  <c r="J103" i="30"/>
  <c r="J99" i="30"/>
  <c r="J83" i="30"/>
  <c r="J77" i="30"/>
  <c r="J71" i="30"/>
  <c r="J63" i="30"/>
  <c r="J55" i="30"/>
  <c r="J51" i="30"/>
  <c r="J114" i="30"/>
  <c r="J110" i="30"/>
  <c r="J102" i="30"/>
  <c r="J88" i="30"/>
  <c r="J80" i="30"/>
  <c r="X14" i="30"/>
  <c r="P12" i="30"/>
  <c r="X42" i="30"/>
  <c r="Z42" i="30" s="1"/>
  <c r="J65" i="30"/>
  <c r="X66" i="30"/>
  <c r="Z66" i="30" s="1"/>
  <c r="J73" i="30"/>
  <c r="X74" i="30"/>
  <c r="Z74" i="30" s="1"/>
  <c r="N77" i="30"/>
  <c r="L77" i="30"/>
  <c r="Z101" i="30"/>
  <c r="Z106" i="30"/>
  <c r="L64" i="33"/>
  <c r="N64" i="33" s="1"/>
  <c r="X15" i="34"/>
  <c r="P18" i="34"/>
  <c r="Z20" i="36"/>
  <c r="Z28" i="36"/>
  <c r="X52" i="36"/>
  <c r="Z52" i="36" s="1"/>
  <c r="V52" i="36"/>
  <c r="Z75" i="36"/>
  <c r="N90" i="36"/>
  <c r="N101" i="36"/>
  <c r="X104" i="36"/>
  <c r="Z104" i="36" s="1"/>
  <c r="N106" i="36"/>
  <c r="L106" i="36"/>
  <c r="Z20" i="37"/>
  <c r="X20" i="37"/>
  <c r="J15" i="25"/>
  <c r="H18" i="25"/>
  <c r="J25" i="25"/>
  <c r="R27" i="25"/>
  <c r="J29" i="25"/>
  <c r="R31" i="25"/>
  <c r="J33" i="25"/>
  <c r="R34" i="25"/>
  <c r="J36" i="25"/>
  <c r="F18" i="26"/>
  <c r="J22" i="26"/>
  <c r="J22" i="27"/>
  <c r="V26" i="27"/>
  <c r="H31" i="27"/>
  <c r="V34" i="27"/>
  <c r="J38" i="27"/>
  <c r="V42" i="27"/>
  <c r="V46" i="27"/>
  <c r="J50" i="27"/>
  <c r="V54" i="27"/>
  <c r="J56" i="27"/>
  <c r="V62" i="27"/>
  <c r="J64" i="27"/>
  <c r="J70" i="27"/>
  <c r="V74" i="27"/>
  <c r="V78" i="27"/>
  <c r="J80" i="27"/>
  <c r="P83" i="27"/>
  <c r="X83" i="27" s="1"/>
  <c r="Z83" i="27" s="1"/>
  <c r="Z12" i="29"/>
  <c r="V16" i="29"/>
  <c r="X21" i="29"/>
  <c r="N34" i="31"/>
  <c r="L34" i="31"/>
  <c r="Z16" i="32"/>
  <c r="X16" i="32"/>
  <c r="X62" i="33"/>
  <c r="Z62" i="33" s="1"/>
  <c r="V62" i="33"/>
  <c r="Z20" i="35"/>
  <c r="X20" i="35"/>
  <c r="V20" i="27"/>
  <c r="V28" i="27"/>
  <c r="V36" i="27"/>
  <c r="V44" i="27"/>
  <c r="V48" i="27"/>
  <c r="J52" i="27"/>
  <c r="V60" i="27"/>
  <c r="J62" i="27"/>
  <c r="V68" i="27"/>
  <c r="V72" i="27"/>
  <c r="J74" i="27"/>
  <c r="V76" i="27"/>
  <c r="J87" i="27"/>
  <c r="J36" i="29"/>
  <c r="J33" i="29"/>
  <c r="J29" i="29"/>
  <c r="J25" i="29"/>
  <c r="J16" i="29"/>
  <c r="J20" i="29"/>
  <c r="J34" i="29"/>
  <c r="Z53" i="30"/>
  <c r="N64" i="30"/>
  <c r="N72" i="30"/>
  <c r="Z86" i="30"/>
  <c r="X86" i="30"/>
  <c r="V86" i="30"/>
  <c r="N88" i="30"/>
  <c r="L88" i="30"/>
  <c r="J109" i="30"/>
  <c r="N24" i="32"/>
  <c r="L24" i="32"/>
  <c r="Z59" i="36"/>
  <c r="N61" i="36"/>
  <c r="Z101" i="36"/>
  <c r="L14" i="45"/>
  <c r="N14" i="45" s="1"/>
  <c r="D12" i="45"/>
  <c r="R22" i="25"/>
  <c r="J24" i="25"/>
  <c r="J21" i="26"/>
  <c r="F27" i="26"/>
  <c r="F31" i="26"/>
  <c r="F34" i="26"/>
  <c r="L17" i="27"/>
  <c r="J19" i="27"/>
  <c r="V21" i="27"/>
  <c r="J25" i="27"/>
  <c r="V29" i="27"/>
  <c r="V33" i="27"/>
  <c r="V37" i="27"/>
  <c r="J41" i="27"/>
  <c r="V49" i="27"/>
  <c r="J53" i="27"/>
  <c r="J57" i="27"/>
  <c r="V61" i="27"/>
  <c r="J65" i="27"/>
  <c r="V69" i="27"/>
  <c r="V73" i="27"/>
  <c r="J81" i="27"/>
  <c r="V83" i="27"/>
  <c r="V91" i="27"/>
  <c r="F18" i="28"/>
  <c r="V18" i="28"/>
  <c r="V15" i="29"/>
  <c r="T18" i="29"/>
  <c r="V29" i="29"/>
  <c r="V31" i="29"/>
  <c r="L15" i="30"/>
  <c r="X19" i="30"/>
  <c r="N111" i="30"/>
  <c r="H82" i="33"/>
  <c r="J82" i="33" s="1"/>
  <c r="Z39" i="36"/>
  <c r="Z56" i="36"/>
  <c r="Z87" i="36"/>
  <c r="X77" i="39"/>
  <c r="Z77" i="39" s="1"/>
  <c r="R15" i="25"/>
  <c r="P18" i="25"/>
  <c r="R25" i="25"/>
  <c r="J27" i="25"/>
  <c r="R29" i="25"/>
  <c r="J31" i="25"/>
  <c r="R33" i="25"/>
  <c r="J34" i="25"/>
  <c r="R36" i="25"/>
  <c r="F16" i="26"/>
  <c r="F20" i="26"/>
  <c r="J24" i="26"/>
  <c r="V22" i="27"/>
  <c r="J26" i="27"/>
  <c r="V38" i="27"/>
  <c r="J42" i="27"/>
  <c r="J46" i="27"/>
  <c r="V50" i="27"/>
  <c r="J54" i="27"/>
  <c r="V58" i="27"/>
  <c r="J60" i="27"/>
  <c r="V66" i="27"/>
  <c r="J68" i="27"/>
  <c r="V70" i="27"/>
  <c r="J72" i="27"/>
  <c r="J78" i="27"/>
  <c r="J85" i="27"/>
  <c r="V86" i="27"/>
  <c r="F21" i="28"/>
  <c r="V21" i="28"/>
  <c r="R27" i="28"/>
  <c r="R31" i="28"/>
  <c r="N12" i="29"/>
  <c r="V18" i="29"/>
  <c r="V22" i="29"/>
  <c r="L29" i="29"/>
  <c r="J43" i="30"/>
  <c r="J62" i="30"/>
  <c r="J91" i="30"/>
  <c r="J95" i="30"/>
  <c r="J116" i="30"/>
  <c r="Z20" i="32"/>
  <c r="X20" i="32"/>
  <c r="Z47" i="33"/>
  <c r="X58" i="33"/>
  <c r="Z58" i="33" s="1"/>
  <c r="V58" i="33"/>
  <c r="N34" i="34"/>
  <c r="L34" i="34"/>
  <c r="Z16" i="35"/>
  <c r="X16" i="35"/>
  <c r="N50" i="36"/>
  <c r="N81" i="36"/>
  <c r="N112" i="36"/>
  <c r="N15" i="37"/>
  <c r="L15" i="37"/>
  <c r="H18" i="37"/>
  <c r="X14" i="39"/>
  <c r="P12" i="39"/>
  <c r="L27" i="42"/>
  <c r="N27" i="42" s="1"/>
  <c r="Z73" i="42"/>
  <c r="X73" i="42"/>
  <c r="N75" i="42"/>
  <c r="L75" i="42"/>
  <c r="J16" i="25"/>
  <c r="R18" i="25"/>
  <c r="J20" i="25"/>
  <c r="J27" i="26"/>
  <c r="J31" i="26"/>
  <c r="J34" i="26"/>
  <c r="V23" i="27"/>
  <c r="J27" i="27"/>
  <c r="J33" i="27"/>
  <c r="J35" i="27"/>
  <c r="V39" i="27"/>
  <c r="J43" i="27"/>
  <c r="J47" i="27"/>
  <c r="V51" i="27"/>
  <c r="J55" i="27"/>
  <c r="V59" i="27"/>
  <c r="J63" i="27"/>
  <c r="V67" i="27"/>
  <c r="V71" i="27"/>
  <c r="J75" i="27"/>
  <c r="J79" i="27"/>
  <c r="J83" i="27"/>
  <c r="F24" i="28"/>
  <c r="V24" i="28"/>
  <c r="R20" i="29"/>
  <c r="R34" i="29"/>
  <c r="R31" i="29"/>
  <c r="R27" i="29"/>
  <c r="J15" i="29"/>
  <c r="H18" i="29"/>
  <c r="J21" i="29"/>
  <c r="R24" i="29"/>
  <c r="J27" i="29"/>
  <c r="V19" i="30"/>
  <c r="T40" i="30"/>
  <c r="Z13" i="35"/>
  <c r="X13" i="35"/>
  <c r="F20" i="44"/>
  <c r="F16" i="44"/>
  <c r="F34" i="44"/>
  <c r="F31" i="44"/>
  <c r="F27" i="44"/>
  <c r="F24" i="44"/>
  <c r="F21" i="44"/>
  <c r="F18" i="44"/>
  <c r="F36" i="44"/>
  <c r="F33" i="44"/>
  <c r="F29" i="44"/>
  <c r="F25" i="44"/>
  <c r="D18" i="44"/>
  <c r="F15" i="44"/>
  <c r="L12" i="44"/>
  <c r="F22" i="44"/>
  <c r="J16" i="26"/>
  <c r="J20" i="27"/>
  <c r="V24" i="27"/>
  <c r="J28" i="27"/>
  <c r="T31" i="27"/>
  <c r="J36" i="27"/>
  <c r="V40" i="27"/>
  <c r="J44" i="27"/>
  <c r="J48" i="27"/>
  <c r="V52" i="27"/>
  <c r="V56" i="27"/>
  <c r="J58" i="27"/>
  <c r="V64" i="27"/>
  <c r="J66" i="27"/>
  <c r="V80" i="27"/>
  <c r="X12" i="28"/>
  <c r="F27" i="28"/>
  <c r="V27" i="28"/>
  <c r="F31" i="28"/>
  <c r="V31" i="28"/>
  <c r="V24" i="29"/>
  <c r="V21" i="29"/>
  <c r="R16" i="29"/>
  <c r="J18" i="29"/>
  <c r="Z19" i="30"/>
  <c r="Z82" i="30"/>
  <c r="N108" i="30"/>
  <c r="Z111" i="30"/>
  <c r="V23" i="33"/>
  <c r="T75" i="33"/>
  <c r="N36" i="33"/>
  <c r="N24" i="35"/>
  <c r="L24" i="35"/>
  <c r="N54" i="36"/>
  <c r="L54" i="36"/>
  <c r="J64" i="33"/>
  <c r="J48" i="36"/>
  <c r="J54" i="36"/>
  <c r="J60" i="36"/>
  <c r="J68" i="36"/>
  <c r="V72" i="36"/>
  <c r="J76" i="36"/>
  <c r="J80" i="36"/>
  <c r="J84" i="36"/>
  <c r="J88" i="36"/>
  <c r="J92" i="36"/>
  <c r="V96" i="36"/>
  <c r="J100" i="36"/>
  <c r="V104" i="36"/>
  <c r="J106" i="36"/>
  <c r="V108" i="36"/>
  <c r="J113" i="36"/>
  <c r="V114" i="36"/>
  <c r="R24" i="37"/>
  <c r="R18" i="37"/>
  <c r="R36" i="37"/>
  <c r="R33" i="37"/>
  <c r="V21" i="41"/>
  <c r="V18" i="41"/>
  <c r="V36" i="41"/>
  <c r="V33" i="41"/>
  <c r="V29" i="41"/>
  <c r="V25" i="41"/>
  <c r="T18" i="41"/>
  <c r="V15" i="41"/>
  <c r="V22" i="41"/>
  <c r="V34" i="41"/>
  <c r="V31" i="41"/>
  <c r="V27" i="41"/>
  <c r="X12" i="41"/>
  <c r="V16" i="41"/>
  <c r="V95" i="42"/>
  <c r="V91" i="42"/>
  <c r="V83" i="42"/>
  <c r="V75" i="42"/>
  <c r="V63" i="42"/>
  <c r="V55" i="42"/>
  <c r="V47" i="42"/>
  <c r="V39" i="42"/>
  <c r="V35" i="42"/>
  <c r="V27" i="42"/>
  <c r="V19" i="42"/>
  <c r="V106" i="42"/>
  <c r="V94" i="42"/>
  <c r="V90" i="42"/>
  <c r="V66" i="42"/>
  <c r="V58" i="42"/>
  <c r="V54" i="42"/>
  <c r="V46" i="42"/>
  <c r="V38" i="42"/>
  <c r="V34" i="42"/>
  <c r="V103" i="42"/>
  <c r="V97" i="42"/>
  <c r="V93" i="42"/>
  <c r="V89" i="42"/>
  <c r="V65" i="42"/>
  <c r="V57" i="42"/>
  <c r="V49" i="42"/>
  <c r="V45" i="42"/>
  <c r="V37" i="42"/>
  <c r="V33" i="42"/>
  <c r="T24" i="42"/>
  <c r="V24" i="42" s="1"/>
  <c r="V96" i="42"/>
  <c r="V88" i="42"/>
  <c r="V80" i="42"/>
  <c r="V72" i="42"/>
  <c r="V68" i="42"/>
  <c r="V60" i="42"/>
  <c r="V48" i="42"/>
  <c r="V44" i="42"/>
  <c r="V32" i="42"/>
  <c r="V105" i="42"/>
  <c r="V99" i="42"/>
  <c r="V87" i="42"/>
  <c r="V79" i="42"/>
  <c r="V71" i="42"/>
  <c r="V67" i="42"/>
  <c r="V59" i="42"/>
  <c r="V51" i="42"/>
  <c r="V43" i="42"/>
  <c r="V31" i="42"/>
  <c r="V110" i="42"/>
  <c r="V98" i="42"/>
  <c r="V86" i="42"/>
  <c r="V82" i="42"/>
  <c r="V78" i="42"/>
  <c r="V74" i="42"/>
  <c r="V70" i="42"/>
  <c r="V62" i="42"/>
  <c r="V50" i="42"/>
  <c r="V42" i="42"/>
  <c r="V101" i="42"/>
  <c r="V85" i="42"/>
  <c r="V81" i="42"/>
  <c r="V77" i="42"/>
  <c r="V73" i="42"/>
  <c r="V69" i="42"/>
  <c r="V61" i="42"/>
  <c r="V53" i="42"/>
  <c r="V41" i="42"/>
  <c r="V29" i="42"/>
  <c r="V21" i="42"/>
  <c r="V22" i="42"/>
  <c r="V36" i="42"/>
  <c r="Z37" i="42"/>
  <c r="L63" i="42"/>
  <c r="N63" i="42" s="1"/>
  <c r="J34" i="43"/>
  <c r="J31" i="43"/>
  <c r="J27" i="43"/>
  <c r="J24" i="43"/>
  <c r="J21" i="43"/>
  <c r="J18" i="43"/>
  <c r="J36" i="43"/>
  <c r="J33" i="43"/>
  <c r="J29" i="43"/>
  <c r="J25" i="43"/>
  <c r="H18" i="43"/>
  <c r="J15" i="43"/>
  <c r="J22" i="43"/>
  <c r="N12" i="43"/>
  <c r="L12" i="43"/>
  <c r="Z15" i="43"/>
  <c r="X15" i="43"/>
  <c r="Z25" i="43"/>
  <c r="X25" i="43"/>
  <c r="Z22" i="44"/>
  <c r="X22" i="44"/>
  <c r="N54" i="45"/>
  <c r="Z62" i="45"/>
  <c r="Z68" i="45"/>
  <c r="Z13" i="49"/>
  <c r="X13" i="49"/>
  <c r="P76" i="58"/>
  <c r="X16" i="58"/>
  <c r="V59" i="30"/>
  <c r="V67" i="30"/>
  <c r="V75" i="30"/>
  <c r="V79" i="30"/>
  <c r="V87" i="30"/>
  <c r="V111" i="30"/>
  <c r="V115" i="30"/>
  <c r="J16" i="31"/>
  <c r="R18" i="31"/>
  <c r="J20" i="31"/>
  <c r="F22" i="31"/>
  <c r="P18" i="32"/>
  <c r="J27" i="32"/>
  <c r="J31" i="32"/>
  <c r="J34" i="32"/>
  <c r="D12" i="33"/>
  <c r="J25" i="33"/>
  <c r="J27" i="33"/>
  <c r="J35" i="33"/>
  <c r="J39" i="33"/>
  <c r="V43" i="33"/>
  <c r="V47" i="33"/>
  <c r="J49" i="33"/>
  <c r="J55" i="33"/>
  <c r="V59" i="33"/>
  <c r="V63" i="33"/>
  <c r="V67" i="33"/>
  <c r="J69" i="33"/>
  <c r="J79" i="33"/>
  <c r="J16" i="34"/>
  <c r="R18" i="34"/>
  <c r="J20" i="34"/>
  <c r="F22" i="34"/>
  <c r="P18" i="35"/>
  <c r="J27" i="35"/>
  <c r="J31" i="35"/>
  <c r="J34" i="35"/>
  <c r="D12" i="36"/>
  <c r="J21" i="36"/>
  <c r="J27" i="36"/>
  <c r="J29" i="36"/>
  <c r="J37" i="36"/>
  <c r="J41" i="36"/>
  <c r="J49" i="36"/>
  <c r="V53" i="36"/>
  <c r="J57" i="36"/>
  <c r="V61" i="36"/>
  <c r="J63" i="36"/>
  <c r="V69" i="36"/>
  <c r="J71" i="36"/>
  <c r="J77" i="36"/>
  <c r="V81" i="36"/>
  <c r="J85" i="36"/>
  <c r="J89" i="36"/>
  <c r="J93" i="36"/>
  <c r="V97" i="36"/>
  <c r="V101" i="36"/>
  <c r="V105" i="36"/>
  <c r="J117" i="36"/>
  <c r="R16" i="37"/>
  <c r="F24" i="37"/>
  <c r="F31" i="37"/>
  <c r="J34" i="38"/>
  <c r="J31" i="38"/>
  <c r="J27" i="38"/>
  <c r="J24" i="38"/>
  <c r="J21" i="38"/>
  <c r="J36" i="38"/>
  <c r="J33" i="38"/>
  <c r="J29" i="38"/>
  <c r="J25" i="38"/>
  <c r="H18" i="38"/>
  <c r="J15" i="38"/>
  <c r="X15" i="38"/>
  <c r="Z27" i="39"/>
  <c r="X53" i="39"/>
  <c r="Z53" i="39" s="1"/>
  <c r="N55" i="39"/>
  <c r="X85" i="39"/>
  <c r="Z85" i="39" s="1"/>
  <c r="Z12" i="41"/>
  <c r="X61" i="42"/>
  <c r="Z61" i="42" s="1"/>
  <c r="Z67" i="42"/>
  <c r="V104" i="42"/>
  <c r="Z58" i="45"/>
  <c r="X58" i="45"/>
  <c r="L60" i="45"/>
  <c r="N60" i="45" s="1"/>
  <c r="L62" i="51"/>
  <c r="N62" i="51" s="1"/>
  <c r="X29" i="54"/>
  <c r="Z29" i="54"/>
  <c r="V48" i="30"/>
  <c r="V60" i="30"/>
  <c r="V64" i="30"/>
  <c r="V72" i="30"/>
  <c r="V76" i="30"/>
  <c r="V84" i="30"/>
  <c r="V108" i="30"/>
  <c r="X111" i="30"/>
  <c r="V112" i="30"/>
  <c r="L12" i="31"/>
  <c r="F15" i="31"/>
  <c r="L16" i="31"/>
  <c r="D18" i="31"/>
  <c r="L20" i="31"/>
  <c r="R21" i="31"/>
  <c r="X22" i="31"/>
  <c r="F25" i="31"/>
  <c r="F29" i="31"/>
  <c r="F33" i="31"/>
  <c r="F36" i="31"/>
  <c r="J16" i="32"/>
  <c r="J20" i="32"/>
  <c r="F22" i="32"/>
  <c r="L34" i="32"/>
  <c r="J20" i="33"/>
  <c r="L25" i="33"/>
  <c r="N25" i="33" s="1"/>
  <c r="J28" i="33"/>
  <c r="V36" i="33"/>
  <c r="J40" i="33"/>
  <c r="V44" i="33"/>
  <c r="X47" i="33"/>
  <c r="V48" i="33"/>
  <c r="L49" i="33"/>
  <c r="N49" i="33" s="1"/>
  <c r="J52" i="33"/>
  <c r="V56" i="33"/>
  <c r="J58" i="33"/>
  <c r="V60" i="33"/>
  <c r="J62" i="33"/>
  <c r="V68" i="33"/>
  <c r="L69" i="33"/>
  <c r="N69" i="33" s="1"/>
  <c r="J73" i="33"/>
  <c r="L12" i="34"/>
  <c r="F15" i="34"/>
  <c r="L16" i="34"/>
  <c r="D18" i="34"/>
  <c r="L20" i="34"/>
  <c r="R21" i="34"/>
  <c r="X22" i="34"/>
  <c r="F25" i="34"/>
  <c r="F29" i="34"/>
  <c r="F33" i="34"/>
  <c r="F36" i="34"/>
  <c r="J16" i="35"/>
  <c r="J20" i="35"/>
  <c r="F22" i="35"/>
  <c r="L34" i="35"/>
  <c r="J22" i="36"/>
  <c r="T25" i="36"/>
  <c r="L27" i="36"/>
  <c r="N27" i="36" s="1"/>
  <c r="J30" i="36"/>
  <c r="J38" i="36"/>
  <c r="J42" i="36"/>
  <c r="V46" i="36"/>
  <c r="V50" i="36"/>
  <c r="J52" i="36"/>
  <c r="J58" i="36"/>
  <c r="X61" i="36"/>
  <c r="Z61" i="36" s="1"/>
  <c r="V62" i="36"/>
  <c r="L63" i="36"/>
  <c r="N63" i="36" s="1"/>
  <c r="J66" i="36"/>
  <c r="X69" i="36"/>
  <c r="Z69" i="36" s="1"/>
  <c r="V70" i="36"/>
  <c r="L71" i="36"/>
  <c r="N71" i="36" s="1"/>
  <c r="J74" i="36"/>
  <c r="J78" i="36"/>
  <c r="X81" i="36"/>
  <c r="Z81" i="36" s="1"/>
  <c r="V82" i="36"/>
  <c r="J86" i="36"/>
  <c r="V90" i="36"/>
  <c r="J94" i="36"/>
  <c r="V98" i="36"/>
  <c r="X101" i="36"/>
  <c r="V102" i="36"/>
  <c r="J104" i="36"/>
  <c r="J110" i="36"/>
  <c r="V112" i="36"/>
  <c r="X12" i="37"/>
  <c r="F20" i="37"/>
  <c r="R21" i="37"/>
  <c r="R25" i="37"/>
  <c r="R27" i="37"/>
  <c r="F33" i="37"/>
  <c r="V33" i="37"/>
  <c r="R34" i="37"/>
  <c r="V36" i="37"/>
  <c r="N12" i="38"/>
  <c r="V22" i="38"/>
  <c r="L55" i="39"/>
  <c r="F24" i="40"/>
  <c r="F21" i="40"/>
  <c r="F18" i="40"/>
  <c r="F36" i="40"/>
  <c r="F33" i="40"/>
  <c r="F29" i="40"/>
  <c r="F25" i="40"/>
  <c r="D18" i="40"/>
  <c r="F15" i="40"/>
  <c r="L12" i="40"/>
  <c r="F22" i="40"/>
  <c r="F20" i="40"/>
  <c r="F16" i="40"/>
  <c r="L20" i="40"/>
  <c r="L24" i="40"/>
  <c r="F31" i="40"/>
  <c r="L21" i="41"/>
  <c r="Z27" i="42"/>
  <c r="V30" i="42"/>
  <c r="Z63" i="42"/>
  <c r="N69" i="42"/>
  <c r="V92" i="42"/>
  <c r="Z93" i="42"/>
  <c r="N50" i="45"/>
  <c r="V65" i="30"/>
  <c r="V73" i="30"/>
  <c r="V85" i="30"/>
  <c r="V101" i="30"/>
  <c r="V109" i="30"/>
  <c r="V121" i="30"/>
  <c r="N12" i="31"/>
  <c r="F18" i="31"/>
  <c r="J22" i="31"/>
  <c r="R24" i="31"/>
  <c r="L12" i="32"/>
  <c r="F15" i="32"/>
  <c r="D18" i="32"/>
  <c r="T18" i="32"/>
  <c r="F25" i="32"/>
  <c r="F29" i="32"/>
  <c r="F33" i="32"/>
  <c r="F36" i="32"/>
  <c r="J21" i="33"/>
  <c r="J29" i="33"/>
  <c r="J41" i="33"/>
  <c r="V45" i="33"/>
  <c r="J47" i="33"/>
  <c r="V53" i="33"/>
  <c r="V57" i="33"/>
  <c r="V61" i="33"/>
  <c r="J65" i="33"/>
  <c r="D72" i="33"/>
  <c r="L72" i="33" s="1"/>
  <c r="N72" i="33" s="1"/>
  <c r="V75" i="33"/>
  <c r="V77" i="33"/>
  <c r="N12" i="34"/>
  <c r="F18" i="34"/>
  <c r="J22" i="34"/>
  <c r="R24" i="34"/>
  <c r="L12" i="35"/>
  <c r="F15" i="35"/>
  <c r="D18" i="35"/>
  <c r="T18" i="35"/>
  <c r="F25" i="35"/>
  <c r="F29" i="35"/>
  <c r="F33" i="35"/>
  <c r="F36" i="35"/>
  <c r="J23" i="36"/>
  <c r="J31" i="36"/>
  <c r="J43" i="36"/>
  <c r="V51" i="36"/>
  <c r="J55" i="36"/>
  <c r="V59" i="36"/>
  <c r="J61" i="36"/>
  <c r="V67" i="36"/>
  <c r="J69" i="36"/>
  <c r="V75" i="36"/>
  <c r="V79" i="36"/>
  <c r="J81" i="36"/>
  <c r="V83" i="36"/>
  <c r="V87" i="36"/>
  <c r="V91" i="36"/>
  <c r="J95" i="36"/>
  <c r="V99" i="36"/>
  <c r="J101" i="36"/>
  <c r="V103" i="36"/>
  <c r="J107" i="36"/>
  <c r="J114" i="36"/>
  <c r="V115" i="36"/>
  <c r="J119" i="36"/>
  <c r="Z12" i="37"/>
  <c r="F16" i="37"/>
  <c r="V16" i="37"/>
  <c r="V27" i="37"/>
  <c r="L21" i="38"/>
  <c r="X34" i="38"/>
  <c r="H111" i="39"/>
  <c r="J19" i="42"/>
  <c r="V20" i="42"/>
  <c r="V100" i="42"/>
  <c r="J20" i="43"/>
  <c r="Z33" i="43"/>
  <c r="X33" i="43"/>
  <c r="V70" i="30"/>
  <c r="V82" i="30"/>
  <c r="V98" i="30"/>
  <c r="V102" i="30"/>
  <c r="V106" i="30"/>
  <c r="V110" i="30"/>
  <c r="V116" i="30"/>
  <c r="F21" i="31"/>
  <c r="R27" i="31"/>
  <c r="R31" i="31"/>
  <c r="J33" i="31"/>
  <c r="R34" i="31"/>
  <c r="J36" i="31"/>
  <c r="J42" i="33"/>
  <c r="J50" i="33"/>
  <c r="J56" i="33"/>
  <c r="J66" i="33"/>
  <c r="J70" i="33"/>
  <c r="V72" i="33"/>
  <c r="F21" i="34"/>
  <c r="J25" i="34"/>
  <c r="R27" i="34"/>
  <c r="J29" i="34"/>
  <c r="R31" i="34"/>
  <c r="J33" i="34"/>
  <c r="R34" i="34"/>
  <c r="J36" i="34"/>
  <c r="J32" i="36"/>
  <c r="J44" i="36"/>
  <c r="J50" i="36"/>
  <c r="V56" i="36"/>
  <c r="V60" i="36"/>
  <c r="J64" i="36"/>
  <c r="V68" i="36"/>
  <c r="J72" i="36"/>
  <c r="V76" i="36"/>
  <c r="V80" i="36"/>
  <c r="V84" i="36"/>
  <c r="V88" i="36"/>
  <c r="J90" i="36"/>
  <c r="V92" i="36"/>
  <c r="J96" i="36"/>
  <c r="V100" i="36"/>
  <c r="J108" i="36"/>
  <c r="J112" i="36"/>
  <c r="R15" i="37"/>
  <c r="P18" i="37"/>
  <c r="F21" i="37"/>
  <c r="V21" i="37"/>
  <c r="F25" i="37"/>
  <c r="V25" i="37"/>
  <c r="V34" i="37"/>
  <c r="V36" i="38"/>
  <c r="V33" i="38"/>
  <c r="V29" i="38"/>
  <c r="V25" i="38"/>
  <c r="T18" i="38"/>
  <c r="V15" i="38"/>
  <c r="V20" i="38"/>
  <c r="V16" i="38"/>
  <c r="Z12" i="38"/>
  <c r="V34" i="38"/>
  <c r="V31" i="38"/>
  <c r="V27" i="38"/>
  <c r="X12" i="38"/>
  <c r="V21" i="38"/>
  <c r="J20" i="38"/>
  <c r="J22" i="38"/>
  <c r="L15" i="42"/>
  <c r="D12" i="42"/>
  <c r="L19" i="42"/>
  <c r="N19" i="42" s="1"/>
  <c r="V26" i="42"/>
  <c r="V40" i="42"/>
  <c r="V52" i="42"/>
  <c r="V56" i="42"/>
  <c r="Z57" i="42"/>
  <c r="N59" i="42"/>
  <c r="X69" i="42"/>
  <c r="Z69" i="42" s="1"/>
  <c r="N81" i="42"/>
  <c r="V84" i="42"/>
  <c r="L15" i="43"/>
  <c r="D18" i="43"/>
  <c r="Z50" i="45"/>
  <c r="X50" i="45"/>
  <c r="L52" i="45"/>
  <c r="N52" i="45" s="1"/>
  <c r="N56" i="45"/>
  <c r="N66" i="45"/>
  <c r="V27" i="30"/>
  <c r="V35" i="30"/>
  <c r="V43" i="30"/>
  <c r="V51" i="30"/>
  <c r="V55" i="30"/>
  <c r="V63" i="30"/>
  <c r="V71" i="30"/>
  <c r="V83" i="30"/>
  <c r="V91" i="30"/>
  <c r="V95" i="30"/>
  <c r="V99" i="30"/>
  <c r="V103" i="30"/>
  <c r="V107" i="30"/>
  <c r="D114" i="30"/>
  <c r="L114" i="30" s="1"/>
  <c r="R16" i="31"/>
  <c r="J18" i="31"/>
  <c r="R20" i="31"/>
  <c r="F24" i="31"/>
  <c r="V24" i="31"/>
  <c r="J15" i="32"/>
  <c r="H18" i="32"/>
  <c r="F21" i="32"/>
  <c r="V21" i="32"/>
  <c r="J25" i="32"/>
  <c r="R27" i="32"/>
  <c r="J29" i="32"/>
  <c r="R31" i="32"/>
  <c r="J33" i="32"/>
  <c r="J36" i="32"/>
  <c r="P12" i="33"/>
  <c r="V19" i="33"/>
  <c r="J23" i="33"/>
  <c r="V27" i="33"/>
  <c r="J31" i="33"/>
  <c r="V35" i="33"/>
  <c r="V39" i="33"/>
  <c r="J43" i="33"/>
  <c r="V51" i="33"/>
  <c r="J53" i="33"/>
  <c r="V55" i="33"/>
  <c r="J59" i="33"/>
  <c r="J63" i="33"/>
  <c r="J67" i="33"/>
  <c r="J75" i="33"/>
  <c r="R16" i="34"/>
  <c r="J18" i="34"/>
  <c r="R20" i="34"/>
  <c r="F24" i="34"/>
  <c r="V24" i="34"/>
  <c r="J15" i="35"/>
  <c r="H18" i="35"/>
  <c r="F21" i="35"/>
  <c r="V21" i="35"/>
  <c r="J25" i="35"/>
  <c r="R27" i="35"/>
  <c r="J29" i="35"/>
  <c r="R31" i="35"/>
  <c r="J33" i="35"/>
  <c r="J36" i="35"/>
  <c r="P12" i="36"/>
  <c r="V21" i="36"/>
  <c r="J25" i="36"/>
  <c r="V29" i="36"/>
  <c r="J33" i="36"/>
  <c r="V37" i="36"/>
  <c r="J39" i="36"/>
  <c r="V41" i="36"/>
  <c r="J45" i="36"/>
  <c r="V49" i="36"/>
  <c r="J53" i="36"/>
  <c r="V57" i="36"/>
  <c r="J59" i="36"/>
  <c r="V65" i="36"/>
  <c r="J67" i="36"/>
  <c r="V73" i="36"/>
  <c r="J75" i="36"/>
  <c r="V77" i="36"/>
  <c r="J79" i="36"/>
  <c r="V85" i="36"/>
  <c r="J87" i="36"/>
  <c r="V89" i="36"/>
  <c r="V93" i="36"/>
  <c r="J97" i="36"/>
  <c r="J105" i="36"/>
  <c r="V109" i="36"/>
  <c r="V113" i="36"/>
  <c r="J121" i="36"/>
  <c r="J22" i="37"/>
  <c r="J20" i="37"/>
  <c r="J16" i="37"/>
  <c r="T18" i="37"/>
  <c r="R22" i="37"/>
  <c r="R29" i="37"/>
  <c r="R31" i="37"/>
  <c r="F34" i="37"/>
  <c r="J18" i="38"/>
  <c r="L33" i="38"/>
  <c r="V99" i="39"/>
  <c r="V91" i="39"/>
  <c r="V67" i="39"/>
  <c r="V59" i="39"/>
  <c r="V55" i="39"/>
  <c r="V47" i="39"/>
  <c r="V39" i="39"/>
  <c r="V35" i="39"/>
  <c r="V108" i="39"/>
  <c r="V102" i="39"/>
  <c r="V90" i="39"/>
  <c r="V82" i="39"/>
  <c r="V66" i="39"/>
  <c r="V58" i="39"/>
  <c r="V50" i="39"/>
  <c r="V46" i="39"/>
  <c r="V38" i="39"/>
  <c r="V34" i="39"/>
  <c r="T25" i="39"/>
  <c r="V113" i="39"/>
  <c r="V101" i="39"/>
  <c r="V89" i="39"/>
  <c r="V81" i="39"/>
  <c r="V73" i="39"/>
  <c r="V69" i="39"/>
  <c r="V61" i="39"/>
  <c r="V49" i="39"/>
  <c r="V45" i="39"/>
  <c r="V33" i="39"/>
  <c r="V104" i="39"/>
  <c r="V88" i="39"/>
  <c r="V84" i="39"/>
  <c r="V80" i="39"/>
  <c r="V76" i="39"/>
  <c r="V72" i="39"/>
  <c r="V68" i="39"/>
  <c r="V60" i="39"/>
  <c r="V52" i="39"/>
  <c r="V44" i="39"/>
  <c r="V32" i="39"/>
  <c r="V107" i="39"/>
  <c r="V103" i="39"/>
  <c r="V95" i="39"/>
  <c r="V87" i="39"/>
  <c r="V83" i="39"/>
  <c r="V79" i="39"/>
  <c r="V75" i="39"/>
  <c r="V71" i="39"/>
  <c r="V63" i="39"/>
  <c r="V51" i="39"/>
  <c r="V43" i="39"/>
  <c r="V31" i="39"/>
  <c r="V27" i="39"/>
  <c r="V23" i="39"/>
  <c r="V109" i="39"/>
  <c r="V97" i="39"/>
  <c r="V93" i="39"/>
  <c r="V85" i="39"/>
  <c r="V77" i="39"/>
  <c r="V65" i="39"/>
  <c r="V57" i="39"/>
  <c r="V53" i="39"/>
  <c r="V41" i="39"/>
  <c r="V37" i="39"/>
  <c r="V29" i="39"/>
  <c r="V21" i="39"/>
  <c r="Z51" i="39"/>
  <c r="V54" i="39"/>
  <c r="V70" i="39"/>
  <c r="V74" i="39"/>
  <c r="N77" i="39"/>
  <c r="Z83" i="39"/>
  <c r="V86" i="39"/>
  <c r="V94" i="39"/>
  <c r="Z103" i="39"/>
  <c r="X22" i="40"/>
  <c r="X15" i="41"/>
  <c r="P18" i="41"/>
  <c r="V20" i="41"/>
  <c r="N37" i="42"/>
  <c r="N83" i="42"/>
  <c r="L83" i="42"/>
  <c r="Z103" i="42"/>
  <c r="N16" i="44"/>
  <c r="L16" i="44"/>
  <c r="N62" i="45"/>
  <c r="L13" i="48"/>
  <c r="N13" i="48" s="1"/>
  <c r="D12" i="48"/>
  <c r="D75" i="56"/>
  <c r="V20" i="30"/>
  <c r="V28" i="30"/>
  <c r="V36" i="30"/>
  <c r="V44" i="30"/>
  <c r="V52" i="30"/>
  <c r="V56" i="30"/>
  <c r="V68" i="30"/>
  <c r="V80" i="30"/>
  <c r="V88" i="30"/>
  <c r="V92" i="30"/>
  <c r="V96" i="30"/>
  <c r="V100" i="30"/>
  <c r="V104" i="30"/>
  <c r="F27" i="31"/>
  <c r="V27" i="31"/>
  <c r="F31" i="31"/>
  <c r="V31" i="31"/>
  <c r="V20" i="33"/>
  <c r="J26" i="33"/>
  <c r="V28" i="33"/>
  <c r="J32" i="33"/>
  <c r="V40" i="33"/>
  <c r="J44" i="33"/>
  <c r="J48" i="33"/>
  <c r="V52" i="33"/>
  <c r="J60" i="33"/>
  <c r="J68" i="33"/>
  <c r="F27" i="34"/>
  <c r="V27" i="34"/>
  <c r="F31" i="34"/>
  <c r="V31" i="34"/>
  <c r="J20" i="36"/>
  <c r="V22" i="36"/>
  <c r="J28" i="36"/>
  <c r="V30" i="36"/>
  <c r="J34" i="36"/>
  <c r="V38" i="36"/>
  <c r="V42" i="36"/>
  <c r="J46" i="36"/>
  <c r="V54" i="36"/>
  <c r="J56" i="36"/>
  <c r="V58" i="36"/>
  <c r="J62" i="36"/>
  <c r="V66" i="36"/>
  <c r="J70" i="36"/>
  <c r="V74" i="36"/>
  <c r="V78" i="36"/>
  <c r="J82" i="36"/>
  <c r="V86" i="36"/>
  <c r="V94" i="36"/>
  <c r="J98" i="36"/>
  <c r="J102" i="36"/>
  <c r="V106" i="36"/>
  <c r="L12" i="37"/>
  <c r="F15" i="37"/>
  <c r="V15" i="37"/>
  <c r="D18" i="37"/>
  <c r="V18" i="37"/>
  <c r="R20" i="37"/>
  <c r="J21" i="37"/>
  <c r="J25" i="37"/>
  <c r="F27" i="37"/>
  <c r="V31" i="37"/>
  <c r="J16" i="38"/>
  <c r="N53" i="39"/>
  <c r="N85" i="39"/>
  <c r="V98" i="39"/>
  <c r="X16" i="40"/>
  <c r="F34" i="40"/>
  <c r="V24" i="41"/>
  <c r="Z19" i="42"/>
  <c r="V76" i="42"/>
  <c r="X81" i="42"/>
  <c r="Z81" i="42" s="1"/>
  <c r="J16" i="43"/>
  <c r="Z29" i="43"/>
  <c r="X29" i="43"/>
  <c r="N20" i="44"/>
  <c r="L20" i="44"/>
  <c r="N18" i="45"/>
  <c r="T103" i="45"/>
  <c r="Z52" i="45"/>
  <c r="Z66" i="45"/>
  <c r="X66" i="45"/>
  <c r="N68" i="45"/>
  <c r="L68" i="45"/>
  <c r="F21" i="38"/>
  <c r="R27" i="38"/>
  <c r="R31" i="38"/>
  <c r="R34" i="38"/>
  <c r="J25" i="39"/>
  <c r="J33" i="39"/>
  <c r="J45" i="39"/>
  <c r="J55" i="39"/>
  <c r="J61" i="39"/>
  <c r="J69" i="39"/>
  <c r="J73" i="39"/>
  <c r="J81" i="39"/>
  <c r="J89" i="39"/>
  <c r="J99" i="39"/>
  <c r="J108" i="39"/>
  <c r="J113" i="39"/>
  <c r="R22" i="40"/>
  <c r="J24" i="40"/>
  <c r="F27" i="41"/>
  <c r="F31" i="41"/>
  <c r="F34" i="41"/>
  <c r="J27" i="42"/>
  <c r="J33" i="42"/>
  <c r="J45" i="42"/>
  <c r="J49" i="42"/>
  <c r="J63" i="42"/>
  <c r="J75" i="42"/>
  <c r="J83" i="42"/>
  <c r="J89" i="42"/>
  <c r="J97" i="42"/>
  <c r="J106" i="42"/>
  <c r="T18" i="43"/>
  <c r="R21" i="43"/>
  <c r="V25" i="43"/>
  <c r="V29" i="43"/>
  <c r="F33" i="43"/>
  <c r="V33" i="43"/>
  <c r="F36" i="43"/>
  <c r="V36" i="43"/>
  <c r="J16" i="44"/>
  <c r="J20" i="44"/>
  <c r="J101" i="45"/>
  <c r="J95" i="45"/>
  <c r="J83" i="45"/>
  <c r="J75" i="45"/>
  <c r="J71" i="45"/>
  <c r="J94" i="45"/>
  <c r="J88" i="45"/>
  <c r="J91" i="45"/>
  <c r="J81" i="45"/>
  <c r="J73" i="45"/>
  <c r="J80" i="45"/>
  <c r="J97" i="45"/>
  <c r="J89" i="45"/>
  <c r="J85" i="45"/>
  <c r="J79" i="45"/>
  <c r="J34" i="45"/>
  <c r="J38" i="45"/>
  <c r="V42" i="45"/>
  <c r="J46" i="45"/>
  <c r="V50" i="45"/>
  <c r="J52" i="45"/>
  <c r="V58" i="45"/>
  <c r="J60" i="45"/>
  <c r="V66" i="45"/>
  <c r="J68" i="45"/>
  <c r="V70" i="45"/>
  <c r="V71" i="45"/>
  <c r="J74" i="45"/>
  <c r="L15" i="47"/>
  <c r="D18" i="47"/>
  <c r="J20" i="47"/>
  <c r="X29" i="47"/>
  <c r="P75" i="48"/>
  <c r="R17" i="48"/>
  <c r="N31" i="48"/>
  <c r="J40" i="48"/>
  <c r="N55" i="48"/>
  <c r="X20" i="49"/>
  <c r="N77" i="45"/>
  <c r="N91" i="45"/>
  <c r="Z42" i="48"/>
  <c r="N44" i="48"/>
  <c r="N56" i="56"/>
  <c r="L18" i="59"/>
  <c r="N18" i="59" s="1"/>
  <c r="X42" i="60"/>
  <c r="Z42" i="60" s="1"/>
  <c r="N44" i="60"/>
  <c r="L44" i="60"/>
  <c r="Z42" i="62"/>
  <c r="X42" i="62"/>
  <c r="F27" i="38"/>
  <c r="F31" i="38"/>
  <c r="F34" i="38"/>
  <c r="J35" i="39"/>
  <c r="J39" i="39"/>
  <c r="J47" i="39"/>
  <c r="J53" i="39"/>
  <c r="J59" i="39"/>
  <c r="J67" i="39"/>
  <c r="J77" i="39"/>
  <c r="J85" i="39"/>
  <c r="J91" i="39"/>
  <c r="J16" i="40"/>
  <c r="R18" i="40"/>
  <c r="J20" i="40"/>
  <c r="L34" i="40"/>
  <c r="X16" i="41"/>
  <c r="X20" i="41"/>
  <c r="L24" i="41"/>
  <c r="J27" i="41"/>
  <c r="J31" i="41"/>
  <c r="J34" i="41"/>
  <c r="X26" i="42"/>
  <c r="Z26" i="42" s="1"/>
  <c r="J35" i="42"/>
  <c r="J39" i="42"/>
  <c r="J47" i="42"/>
  <c r="J55" i="42"/>
  <c r="J61" i="42"/>
  <c r="J69" i="42"/>
  <c r="J73" i="42"/>
  <c r="J81" i="42"/>
  <c r="J91" i="42"/>
  <c r="J95" i="42"/>
  <c r="J104" i="42"/>
  <c r="R27" i="43"/>
  <c r="R31" i="43"/>
  <c r="R34" i="43"/>
  <c r="L13" i="44"/>
  <c r="J22" i="44"/>
  <c r="J28" i="45"/>
  <c r="J36" i="45"/>
  <c r="J40" i="45"/>
  <c r="V48" i="45"/>
  <c r="J50" i="45"/>
  <c r="V56" i="45"/>
  <c r="J58" i="45"/>
  <c r="V64" i="45"/>
  <c r="J66" i="45"/>
  <c r="J77" i="45"/>
  <c r="V80" i="45"/>
  <c r="J87" i="45"/>
  <c r="J90" i="45"/>
  <c r="X93" i="45"/>
  <c r="L20" i="46"/>
  <c r="J67" i="48"/>
  <c r="J63" i="48"/>
  <c r="J51" i="48"/>
  <c r="J45" i="48"/>
  <c r="J37" i="48"/>
  <c r="J31" i="48"/>
  <c r="J25" i="48"/>
  <c r="J73" i="48"/>
  <c r="J60" i="48"/>
  <c r="J56" i="48"/>
  <c r="J42" i="48"/>
  <c r="J36" i="48"/>
  <c r="J24" i="48"/>
  <c r="H17" i="48"/>
  <c r="J17" i="48" s="1"/>
  <c r="J69" i="48"/>
  <c r="J59" i="48"/>
  <c r="J53" i="48"/>
  <c r="J47" i="48"/>
  <c r="J35" i="48"/>
  <c r="J23" i="48"/>
  <c r="J66" i="48"/>
  <c r="J62" i="48"/>
  <c r="J58" i="48"/>
  <c r="J50" i="48"/>
  <c r="J44" i="48"/>
  <c r="J34" i="48"/>
  <c r="J30" i="48"/>
  <c r="J22" i="48"/>
  <c r="J77" i="48"/>
  <c r="J65" i="48"/>
  <c r="J55" i="48"/>
  <c r="J49" i="48"/>
  <c r="J41" i="48"/>
  <c r="J33" i="48"/>
  <c r="J29" i="48"/>
  <c r="J21" i="48"/>
  <c r="J19" i="48"/>
  <c r="J15" i="48"/>
  <c r="J61" i="48"/>
  <c r="J57" i="48"/>
  <c r="J43" i="48"/>
  <c r="J39" i="48"/>
  <c r="J27" i="48"/>
  <c r="N19" i="48"/>
  <c r="J26" i="48"/>
  <c r="X31" i="48"/>
  <c r="R31" i="48"/>
  <c r="N61" i="48"/>
  <c r="Z63" i="48"/>
  <c r="N60" i="51"/>
  <c r="N64" i="51"/>
  <c r="T22" i="54"/>
  <c r="Z16" i="54"/>
  <c r="J36" i="39"/>
  <c r="J40" i="39"/>
  <c r="J48" i="39"/>
  <c r="J56" i="39"/>
  <c r="J62" i="39"/>
  <c r="J70" i="39"/>
  <c r="J74" i="39"/>
  <c r="J92" i="39"/>
  <c r="J100" i="39"/>
  <c r="X107" i="39"/>
  <c r="Z107" i="39" s="1"/>
  <c r="J109" i="39"/>
  <c r="R21" i="40"/>
  <c r="V25" i="40"/>
  <c r="V29" i="40"/>
  <c r="V33" i="40"/>
  <c r="V36" i="40"/>
  <c r="J16" i="41"/>
  <c r="J20" i="41"/>
  <c r="F22" i="41"/>
  <c r="J20" i="42"/>
  <c r="J26" i="42"/>
  <c r="J28" i="42"/>
  <c r="J36" i="42"/>
  <c r="J40" i="42"/>
  <c r="J50" i="42"/>
  <c r="J56" i="42"/>
  <c r="J64" i="42"/>
  <c r="J76" i="42"/>
  <c r="J84" i="42"/>
  <c r="J92" i="42"/>
  <c r="J98" i="42"/>
  <c r="D103" i="42"/>
  <c r="L103" i="42" s="1"/>
  <c r="N103" i="42" s="1"/>
  <c r="R16" i="43"/>
  <c r="R20" i="43"/>
  <c r="F24" i="43"/>
  <c r="V24" i="43"/>
  <c r="J15" i="44"/>
  <c r="H18" i="44"/>
  <c r="J25" i="44"/>
  <c r="R27" i="44"/>
  <c r="J29" i="44"/>
  <c r="R31" i="44"/>
  <c r="J33" i="44"/>
  <c r="R34" i="44"/>
  <c r="J36" i="44"/>
  <c r="P12" i="45"/>
  <c r="J21" i="45"/>
  <c r="V23" i="45"/>
  <c r="J29" i="45"/>
  <c r="J41" i="45"/>
  <c r="V49" i="45"/>
  <c r="J53" i="45"/>
  <c r="V57" i="45"/>
  <c r="J61" i="45"/>
  <c r="V65" i="45"/>
  <c r="J69" i="45"/>
  <c r="J82" i="45"/>
  <c r="J86" i="45"/>
  <c r="Z88" i="45"/>
  <c r="Z91" i="45"/>
  <c r="L97" i="45"/>
  <c r="X21" i="46"/>
  <c r="X15" i="47"/>
  <c r="P18" i="47"/>
  <c r="J16" i="47"/>
  <c r="Z31" i="48"/>
  <c r="X51" i="48"/>
  <c r="Z51" i="48" s="1"/>
  <c r="R51" i="48"/>
  <c r="X55" i="48"/>
  <c r="Z55" i="48" s="1"/>
  <c r="L61" i="48"/>
  <c r="J68" i="48"/>
  <c r="N72" i="48"/>
  <c r="L25" i="55"/>
  <c r="N25" i="55" s="1"/>
  <c r="Z69" i="58"/>
  <c r="R15" i="38"/>
  <c r="P18" i="38"/>
  <c r="R25" i="38"/>
  <c r="R29" i="38"/>
  <c r="R33" i="38"/>
  <c r="R36" i="38"/>
  <c r="D12" i="39"/>
  <c r="J21" i="39"/>
  <c r="J27" i="39"/>
  <c r="J29" i="39"/>
  <c r="J37" i="39"/>
  <c r="J41" i="39"/>
  <c r="J51" i="39"/>
  <c r="J57" i="39"/>
  <c r="J65" i="39"/>
  <c r="J83" i="39"/>
  <c r="J93" i="39"/>
  <c r="J97" i="39"/>
  <c r="J103" i="39"/>
  <c r="N12" i="40"/>
  <c r="V18" i="40"/>
  <c r="J22" i="40"/>
  <c r="R24" i="40"/>
  <c r="L12" i="41"/>
  <c r="F15" i="41"/>
  <c r="D18" i="41"/>
  <c r="R21" i="41"/>
  <c r="F25" i="41"/>
  <c r="F29" i="41"/>
  <c r="F33" i="41"/>
  <c r="F36" i="41"/>
  <c r="J21" i="42"/>
  <c r="J29" i="42"/>
  <c r="J41" i="42"/>
  <c r="J53" i="42"/>
  <c r="J59" i="42"/>
  <c r="J67" i="42"/>
  <c r="J77" i="42"/>
  <c r="J85" i="42"/>
  <c r="J101" i="42"/>
  <c r="X12" i="43"/>
  <c r="F27" i="43"/>
  <c r="V27" i="43"/>
  <c r="F31" i="43"/>
  <c r="V31" i="43"/>
  <c r="R16" i="44"/>
  <c r="J18" i="44"/>
  <c r="R20" i="44"/>
  <c r="V24" i="44"/>
  <c r="V97" i="45"/>
  <c r="V87" i="45"/>
  <c r="V79" i="45"/>
  <c r="V90" i="45"/>
  <c r="V86" i="45"/>
  <c r="V89" i="45"/>
  <c r="V85" i="45"/>
  <c r="V92" i="45"/>
  <c r="V88" i="45"/>
  <c r="V84" i="45"/>
  <c r="V93" i="45"/>
  <c r="V81" i="45"/>
  <c r="V77" i="45"/>
  <c r="V18" i="45"/>
  <c r="H23" i="45"/>
  <c r="V26" i="45"/>
  <c r="J30" i="45"/>
  <c r="V34" i="45"/>
  <c r="V38" i="45"/>
  <c r="J42" i="45"/>
  <c r="V46" i="45"/>
  <c r="J48" i="45"/>
  <c r="V54" i="45"/>
  <c r="J56" i="45"/>
  <c r="V62" i="45"/>
  <c r="J64" i="45"/>
  <c r="J70" i="45"/>
  <c r="V73" i="45"/>
  <c r="V74" i="45"/>
  <c r="V75" i="45"/>
  <c r="V78" i="45"/>
  <c r="Z79" i="45"/>
  <c r="V83" i="45"/>
  <c r="V91" i="45"/>
  <c r="V99" i="45"/>
  <c r="F20" i="46"/>
  <c r="F16" i="46"/>
  <c r="F34" i="46"/>
  <c r="F31" i="46"/>
  <c r="F27" i="46"/>
  <c r="F24" i="46"/>
  <c r="F21" i="46"/>
  <c r="F22" i="46"/>
  <c r="Z19" i="48"/>
  <c r="N53" i="48"/>
  <c r="L57" i="48"/>
  <c r="N57" i="48" s="1"/>
  <c r="J64" i="48"/>
  <c r="J72" i="48"/>
  <c r="R27" i="49"/>
  <c r="T79" i="51"/>
  <c r="V18" i="53"/>
  <c r="V36" i="53"/>
  <c r="V33" i="53"/>
  <c r="V29" i="53"/>
  <c r="V25" i="53"/>
  <c r="T18" i="53"/>
  <c r="V15" i="53"/>
  <c r="V22" i="53"/>
  <c r="V20" i="53"/>
  <c r="V16" i="53"/>
  <c r="Z12" i="53"/>
  <c r="V34" i="53"/>
  <c r="V31" i="53"/>
  <c r="V27" i="53"/>
  <c r="V24" i="53"/>
  <c r="V21" i="53"/>
  <c r="P71" i="56"/>
  <c r="J22" i="39"/>
  <c r="J30" i="39"/>
  <c r="J42" i="39"/>
  <c r="J54" i="39"/>
  <c r="J60" i="39"/>
  <c r="J68" i="39"/>
  <c r="J78" i="39"/>
  <c r="J86" i="39"/>
  <c r="J94" i="39"/>
  <c r="J98" i="39"/>
  <c r="J107" i="39"/>
  <c r="R27" i="40"/>
  <c r="J29" i="40"/>
  <c r="R31" i="40"/>
  <c r="J33" i="40"/>
  <c r="R34" i="40"/>
  <c r="J36" i="40"/>
  <c r="J62" i="42"/>
  <c r="J70" i="42"/>
  <c r="J74" i="42"/>
  <c r="J78" i="42"/>
  <c r="J82" i="42"/>
  <c r="J86" i="42"/>
  <c r="J96" i="42"/>
  <c r="J105" i="42"/>
  <c r="J110" i="42"/>
  <c r="J51" i="45"/>
  <c r="J59" i="45"/>
  <c r="J67" i="45"/>
  <c r="J21" i="47"/>
  <c r="J18" i="47"/>
  <c r="J36" i="47"/>
  <c r="J33" i="47"/>
  <c r="J29" i="47"/>
  <c r="J25" i="47"/>
  <c r="H18" i="47"/>
  <c r="J15" i="47"/>
  <c r="J22" i="47"/>
  <c r="N12" i="47"/>
  <c r="L12" i="47"/>
  <c r="J34" i="47"/>
  <c r="J31" i="47"/>
  <c r="J27" i="47"/>
  <c r="Z15" i="47"/>
  <c r="T18" i="47"/>
  <c r="J32" i="48"/>
  <c r="J38" i="48"/>
  <c r="J48" i="48"/>
  <c r="J70" i="48"/>
  <c r="L20" i="49"/>
  <c r="N24" i="50"/>
  <c r="L24" i="50"/>
  <c r="L18" i="56"/>
  <c r="N18" i="56" s="1"/>
  <c r="L12" i="38"/>
  <c r="F15" i="38"/>
  <c r="D18" i="38"/>
  <c r="F25" i="38"/>
  <c r="F29" i="38"/>
  <c r="F33" i="38"/>
  <c r="J23" i="39"/>
  <c r="J31" i="39"/>
  <c r="J43" i="39"/>
  <c r="J49" i="39"/>
  <c r="J63" i="39"/>
  <c r="J71" i="39"/>
  <c r="J75" i="39"/>
  <c r="J79" i="39"/>
  <c r="J87" i="39"/>
  <c r="J95" i="39"/>
  <c r="J101" i="39"/>
  <c r="D106" i="39"/>
  <c r="L106" i="39" s="1"/>
  <c r="N106" i="39" s="1"/>
  <c r="J111" i="39"/>
  <c r="R16" i="40"/>
  <c r="J15" i="41"/>
  <c r="H18" i="41"/>
  <c r="J25" i="41"/>
  <c r="R27" i="41"/>
  <c r="J29" i="41"/>
  <c r="R31" i="41"/>
  <c r="J33" i="41"/>
  <c r="P12" i="42"/>
  <c r="H24" i="42"/>
  <c r="J31" i="42"/>
  <c r="J37" i="42"/>
  <c r="J43" i="42"/>
  <c r="J51" i="42"/>
  <c r="J57" i="42"/>
  <c r="J65" i="42"/>
  <c r="J71" i="42"/>
  <c r="J79" i="42"/>
  <c r="J87" i="42"/>
  <c r="J93" i="42"/>
  <c r="J99" i="42"/>
  <c r="R15" i="43"/>
  <c r="P18" i="43"/>
  <c r="R25" i="43"/>
  <c r="R29" i="43"/>
  <c r="R33" i="43"/>
  <c r="Z12" i="44"/>
  <c r="V16" i="44"/>
  <c r="J18" i="45"/>
  <c r="J26" i="45"/>
  <c r="V28" i="45"/>
  <c r="J32" i="45"/>
  <c r="V36" i="45"/>
  <c r="V40" i="45"/>
  <c r="J44" i="45"/>
  <c r="V52" i="45"/>
  <c r="J54" i="45"/>
  <c r="V60" i="45"/>
  <c r="J62" i="45"/>
  <c r="V68" i="45"/>
  <c r="V82" i="45"/>
  <c r="J92" i="45"/>
  <c r="V95" i="45"/>
  <c r="L12" i="46"/>
  <c r="L13" i="46"/>
  <c r="F33" i="46"/>
  <c r="L34" i="47"/>
  <c r="X15" i="48"/>
  <c r="J52" i="48"/>
  <c r="Z53" i="48"/>
  <c r="Z57" i="48"/>
  <c r="N67" i="48"/>
  <c r="R36" i="49"/>
  <c r="R33" i="49"/>
  <c r="R29" i="49"/>
  <c r="R25" i="49"/>
  <c r="R21" i="49"/>
  <c r="R18" i="49"/>
  <c r="R34" i="49"/>
  <c r="R24" i="49"/>
  <c r="P18" i="49"/>
  <c r="R15" i="49"/>
  <c r="R22" i="49"/>
  <c r="R20" i="49"/>
  <c r="R16" i="49"/>
  <c r="Z50" i="56"/>
  <c r="N66" i="56"/>
  <c r="L66" i="56"/>
  <c r="J16" i="46"/>
  <c r="J20" i="46"/>
  <c r="R25" i="47"/>
  <c r="R29" i="47"/>
  <c r="R33" i="47"/>
  <c r="R36" i="47"/>
  <c r="V15" i="48"/>
  <c r="V19" i="48"/>
  <c r="V23" i="48"/>
  <c r="V35" i="48"/>
  <c r="R36" i="48"/>
  <c r="V47" i="48"/>
  <c r="R53" i="48"/>
  <c r="V55" i="48"/>
  <c r="R56" i="48"/>
  <c r="V59" i="48"/>
  <c r="R60" i="48"/>
  <c r="R69" i="48"/>
  <c r="V34" i="49"/>
  <c r="V31" i="49"/>
  <c r="V27" i="49"/>
  <c r="J24" i="49"/>
  <c r="R22" i="50"/>
  <c r="R20" i="50"/>
  <c r="R16" i="50"/>
  <c r="X13" i="50"/>
  <c r="X21" i="50"/>
  <c r="J31" i="50"/>
  <c r="F33" i="50"/>
  <c r="J36" i="50"/>
  <c r="F39" i="51"/>
  <c r="F40" i="51"/>
  <c r="J41" i="51"/>
  <c r="F42" i="51"/>
  <c r="J44" i="51"/>
  <c r="Z45" i="51"/>
  <c r="X15" i="52"/>
  <c r="V22" i="52"/>
  <c r="V27" i="52"/>
  <c r="X34" i="52"/>
  <c r="R27" i="53"/>
  <c r="R18" i="54"/>
  <c r="R22" i="54"/>
  <c r="H16" i="55"/>
  <c r="N19" i="55"/>
  <c r="X23" i="55"/>
  <c r="Z23" i="55" s="1"/>
  <c r="X29" i="55"/>
  <c r="X14" i="56"/>
  <c r="Z52" i="56"/>
  <c r="F40" i="57"/>
  <c r="Z43" i="58"/>
  <c r="N53" i="58"/>
  <c r="N62" i="58"/>
  <c r="L71" i="58"/>
  <c r="N71" i="58" s="1"/>
  <c r="X29" i="59"/>
  <c r="Z29" i="59" s="1"/>
  <c r="N33" i="69"/>
  <c r="V45" i="48"/>
  <c r="V53" i="48"/>
  <c r="R63" i="48"/>
  <c r="R67" i="48"/>
  <c r="V69" i="48"/>
  <c r="R70" i="48"/>
  <c r="V73" i="48"/>
  <c r="F66" i="51"/>
  <c r="F63" i="51"/>
  <c r="F58" i="51"/>
  <c r="F55" i="51"/>
  <c r="F47" i="51"/>
  <c r="F43" i="51"/>
  <c r="F35" i="51"/>
  <c r="F27" i="51"/>
  <c r="F75" i="51"/>
  <c r="F68" i="51"/>
  <c r="F65" i="51"/>
  <c r="F60" i="51"/>
  <c r="F57" i="51"/>
  <c r="F53" i="51"/>
  <c r="F41" i="51"/>
  <c r="F25" i="51"/>
  <c r="F67" i="51"/>
  <c r="F62" i="51"/>
  <c r="F59" i="51"/>
  <c r="F70" i="51"/>
  <c r="F19" i="51"/>
  <c r="D31" i="51"/>
  <c r="N34" i="51"/>
  <c r="F36" i="51"/>
  <c r="F46" i="51"/>
  <c r="F48" i="51"/>
  <c r="F49" i="51"/>
  <c r="F50" i="51"/>
  <c r="F51" i="51"/>
  <c r="F52" i="51"/>
  <c r="N56" i="51"/>
  <c r="X64" i="51"/>
  <c r="Z64" i="51" s="1"/>
  <c r="F74" i="51"/>
  <c r="N21" i="52"/>
  <c r="L21" i="52"/>
  <c r="N16" i="53"/>
  <c r="L16" i="53"/>
  <c r="J38" i="55"/>
  <c r="J31" i="55"/>
  <c r="J23" i="55"/>
  <c r="J20" i="55"/>
  <c r="J18" i="55"/>
  <c r="J14" i="55"/>
  <c r="N12" i="55"/>
  <c r="J25" i="55"/>
  <c r="J35" i="55"/>
  <c r="J29" i="55"/>
  <c r="J19" i="55"/>
  <c r="J24" i="55"/>
  <c r="J16" i="55"/>
  <c r="P16" i="55"/>
  <c r="X14" i="55"/>
  <c r="H71" i="56"/>
  <c r="N16" i="56"/>
  <c r="X40" i="56"/>
  <c r="Z40" i="56" s="1"/>
  <c r="N46" i="56"/>
  <c r="Z56" i="56"/>
  <c r="Z66" i="56"/>
  <c r="F36" i="57"/>
  <c r="F24" i="57"/>
  <c r="F19" i="57"/>
  <c r="F58" i="57"/>
  <c r="F55" i="57"/>
  <c r="F46" i="57"/>
  <c r="F43" i="57"/>
  <c r="F35" i="57"/>
  <c r="F23" i="57"/>
  <c r="F16" i="57"/>
  <c r="F72" i="57"/>
  <c r="F65" i="57"/>
  <c r="F34" i="57"/>
  <c r="F29" i="57"/>
  <c r="F22" i="57"/>
  <c r="D16" i="57"/>
  <c r="F32" i="57"/>
  <c r="F28" i="57"/>
  <c r="F20" i="57"/>
  <c r="L12" i="57"/>
  <c r="F59" i="57"/>
  <c r="F54" i="57"/>
  <c r="F51" i="57"/>
  <c r="F47" i="57"/>
  <c r="F42" i="57"/>
  <c r="F39" i="57"/>
  <c r="F31" i="57"/>
  <c r="F27" i="57"/>
  <c r="F18" i="57"/>
  <c r="F14" i="57"/>
  <c r="L18" i="58"/>
  <c r="N18" i="58" s="1"/>
  <c r="R44" i="59"/>
  <c r="R36" i="59"/>
  <c r="R29" i="59"/>
  <c r="R64" i="59"/>
  <c r="R58" i="59"/>
  <c r="R51" i="59"/>
  <c r="R43" i="59"/>
  <c r="R40" i="59"/>
  <c r="R35" i="59"/>
  <c r="R23" i="59"/>
  <c r="R50" i="59"/>
  <c r="R46" i="59"/>
  <c r="R34" i="59"/>
  <c r="R22" i="59"/>
  <c r="R53" i="59"/>
  <c r="R49" i="59"/>
  <c r="R42" i="59"/>
  <c r="R33" i="59"/>
  <c r="R21" i="59"/>
  <c r="R18" i="59"/>
  <c r="R14" i="59"/>
  <c r="R62" i="59"/>
  <c r="R56" i="59"/>
  <c r="R48" i="59"/>
  <c r="R45" i="59"/>
  <c r="R32" i="59"/>
  <c r="R28" i="59"/>
  <c r="R67" i="59"/>
  <c r="R60" i="59"/>
  <c r="R55" i="59"/>
  <c r="R52" i="59"/>
  <c r="R39" i="59"/>
  <c r="R31" i="59"/>
  <c r="R27" i="59"/>
  <c r="R24" i="59"/>
  <c r="R19" i="59"/>
  <c r="X12" i="59"/>
  <c r="R30" i="59"/>
  <c r="R25" i="59"/>
  <c r="R20" i="59"/>
  <c r="R41" i="59"/>
  <c r="P16" i="59"/>
  <c r="P97" i="62"/>
  <c r="X97" i="62" s="1"/>
  <c r="X98" i="62"/>
  <c r="Z98" i="62" s="1"/>
  <c r="J15" i="46"/>
  <c r="H18" i="46"/>
  <c r="V21" i="46"/>
  <c r="J25" i="46"/>
  <c r="R27" i="46"/>
  <c r="J29" i="46"/>
  <c r="R31" i="46"/>
  <c r="J33" i="46"/>
  <c r="R34" i="46"/>
  <c r="J36" i="46"/>
  <c r="F18" i="47"/>
  <c r="V18" i="47"/>
  <c r="T17" i="48"/>
  <c r="R20" i="48"/>
  <c r="V26" i="48"/>
  <c r="R27" i="48"/>
  <c r="V38" i="48"/>
  <c r="R39" i="48"/>
  <c r="V42" i="48"/>
  <c r="R43" i="48"/>
  <c r="R48" i="48"/>
  <c r="V54" i="48"/>
  <c r="V70" i="48"/>
  <c r="X73" i="48"/>
  <c r="Z73" i="48" s="1"/>
  <c r="F34" i="49"/>
  <c r="F31" i="49"/>
  <c r="F27" i="49"/>
  <c r="F29" i="49"/>
  <c r="V33" i="49"/>
  <c r="L15" i="50"/>
  <c r="J20" i="50"/>
  <c r="J75" i="51"/>
  <c r="J68" i="51"/>
  <c r="J60" i="51"/>
  <c r="J54" i="51"/>
  <c r="J46" i="51"/>
  <c r="J42" i="51"/>
  <c r="J26" i="51"/>
  <c r="J71" i="51"/>
  <c r="J65" i="51"/>
  <c r="J77" i="51"/>
  <c r="J62" i="51"/>
  <c r="J52" i="51"/>
  <c r="J40" i="51"/>
  <c r="J34" i="51"/>
  <c r="J24" i="51"/>
  <c r="J74" i="51"/>
  <c r="J70" i="51"/>
  <c r="J64" i="51"/>
  <c r="J56" i="51"/>
  <c r="J81" i="51"/>
  <c r="J76" i="51"/>
  <c r="J69" i="51"/>
  <c r="J61" i="51"/>
  <c r="F21" i="51"/>
  <c r="F22" i="51"/>
  <c r="F23" i="51"/>
  <c r="F24" i="51"/>
  <c r="J25" i="51"/>
  <c r="F26" i="51"/>
  <c r="J27" i="51"/>
  <c r="F28" i="51"/>
  <c r="F29" i="51"/>
  <c r="J36" i="51"/>
  <c r="J48" i="51"/>
  <c r="J49" i="51"/>
  <c r="J50" i="51"/>
  <c r="J51" i="51"/>
  <c r="J58" i="51"/>
  <c r="V64" i="51"/>
  <c r="N74" i="51"/>
  <c r="P74" i="51"/>
  <c r="X74" i="51" s="1"/>
  <c r="Z74" i="51" s="1"/>
  <c r="J36" i="52"/>
  <c r="J33" i="52"/>
  <c r="J29" i="52"/>
  <c r="J25" i="52"/>
  <c r="H18" i="52"/>
  <c r="J15" i="52"/>
  <c r="J22" i="52"/>
  <c r="N12" i="52"/>
  <c r="J34" i="52"/>
  <c r="J31" i="52"/>
  <c r="J27" i="52"/>
  <c r="J24" i="52"/>
  <c r="Z16" i="52"/>
  <c r="J21" i="52"/>
  <c r="Z22" i="53"/>
  <c r="X22" i="53"/>
  <c r="H22" i="54"/>
  <c r="N16" i="54"/>
  <c r="D22" i="54"/>
  <c r="L16" i="54"/>
  <c r="Z19" i="55"/>
  <c r="N14" i="56"/>
  <c r="L14" i="56"/>
  <c r="N19" i="56"/>
  <c r="N44" i="56"/>
  <c r="Z18" i="57"/>
  <c r="F21" i="57"/>
  <c r="Z29" i="57"/>
  <c r="X29" i="57"/>
  <c r="F38" i="57"/>
  <c r="F48" i="57"/>
  <c r="N16" i="58"/>
  <c r="H76" i="58"/>
  <c r="N30" i="58"/>
  <c r="N45" i="58"/>
  <c r="N47" i="58"/>
  <c r="D60" i="59"/>
  <c r="R39" i="62"/>
  <c r="V45" i="62"/>
  <c r="L14" i="65"/>
  <c r="D12" i="65"/>
  <c r="R16" i="46"/>
  <c r="J18" i="46"/>
  <c r="R20" i="46"/>
  <c r="V24" i="46"/>
  <c r="F21" i="47"/>
  <c r="V21" i="47"/>
  <c r="R27" i="47"/>
  <c r="R31" i="47"/>
  <c r="V17" i="48"/>
  <c r="V27" i="48"/>
  <c r="R28" i="48"/>
  <c r="V31" i="48"/>
  <c r="R32" i="48"/>
  <c r="V39" i="48"/>
  <c r="R40" i="48"/>
  <c r="V43" i="48"/>
  <c r="V51" i="48"/>
  <c r="R52" i="48"/>
  <c r="R57" i="48"/>
  <c r="R61" i="48"/>
  <c r="V63" i="48"/>
  <c r="R64" i="48"/>
  <c r="V67" i="48"/>
  <c r="R68" i="48"/>
  <c r="R75" i="48"/>
  <c r="J34" i="49"/>
  <c r="J31" i="49"/>
  <c r="J27" i="49"/>
  <c r="J21" i="49"/>
  <c r="J16" i="49"/>
  <c r="J20" i="49"/>
  <c r="J22" i="49"/>
  <c r="F20" i="50"/>
  <c r="F16" i="50"/>
  <c r="F24" i="50"/>
  <c r="F15" i="50"/>
  <c r="X15" i="50"/>
  <c r="P18" i="50"/>
  <c r="F21" i="50"/>
  <c r="F27" i="50"/>
  <c r="R31" i="50"/>
  <c r="L12" i="51"/>
  <c r="N12" i="51" s="1"/>
  <c r="F20" i="51"/>
  <c r="J28" i="51"/>
  <c r="J29" i="51"/>
  <c r="H31" i="51"/>
  <c r="Z62" i="51"/>
  <c r="J67" i="51"/>
  <c r="F72" i="51"/>
  <c r="J18" i="52"/>
  <c r="F18" i="53"/>
  <c r="F36" i="53"/>
  <c r="F33" i="53"/>
  <c r="F29" i="53"/>
  <c r="F25" i="53"/>
  <c r="D18" i="53"/>
  <c r="F15" i="53"/>
  <c r="L12" i="53"/>
  <c r="F22" i="53"/>
  <c r="F20" i="53"/>
  <c r="F16" i="53"/>
  <c r="F34" i="53"/>
  <c r="F31" i="53"/>
  <c r="F27" i="53"/>
  <c r="F21" i="53"/>
  <c r="Z20" i="54"/>
  <c r="R26" i="54"/>
  <c r="V21" i="55"/>
  <c r="T16" i="55"/>
  <c r="V24" i="55"/>
  <c r="V38" i="55"/>
  <c r="V33" i="55"/>
  <c r="V31" i="55"/>
  <c r="V27" i="55"/>
  <c r="V23" i="55"/>
  <c r="V25" i="55"/>
  <c r="V20" i="55"/>
  <c r="Z12" i="55"/>
  <c r="V18" i="55"/>
  <c r="V19" i="55"/>
  <c r="L21" i="55"/>
  <c r="J22" i="55"/>
  <c r="Z25" i="55"/>
  <c r="Z18" i="56"/>
  <c r="N42" i="56"/>
  <c r="L42" i="56"/>
  <c r="X48" i="56"/>
  <c r="Z48" i="56" s="1"/>
  <c r="F25" i="57"/>
  <c r="F26" i="57"/>
  <c r="F37" i="57"/>
  <c r="F49" i="57"/>
  <c r="F50" i="57"/>
  <c r="N14" i="58"/>
  <c r="L14" i="58"/>
  <c r="N19" i="58"/>
  <c r="N57" i="58"/>
  <c r="X60" i="58"/>
  <c r="Z60" i="58" s="1"/>
  <c r="R26" i="59"/>
  <c r="R47" i="59"/>
  <c r="R54" i="59"/>
  <c r="Z56" i="60"/>
  <c r="X56" i="60"/>
  <c r="H61" i="61"/>
  <c r="J21" i="46"/>
  <c r="V31" i="46"/>
  <c r="V34" i="46"/>
  <c r="F24" i="47"/>
  <c r="V24" i="47"/>
  <c r="V20" i="48"/>
  <c r="V28" i="48"/>
  <c r="V32" i="48"/>
  <c r="R33" i="48"/>
  <c r="V40" i="48"/>
  <c r="R41" i="48"/>
  <c r="R46" i="48"/>
  <c r="V48" i="48"/>
  <c r="R49" i="48"/>
  <c r="V52" i="48"/>
  <c r="V64" i="48"/>
  <c r="R65" i="48"/>
  <c r="V68" i="48"/>
  <c r="R72" i="48"/>
  <c r="R77" i="48"/>
  <c r="V15" i="49"/>
  <c r="T18" i="49"/>
  <c r="V24" i="49"/>
  <c r="J29" i="49"/>
  <c r="F33" i="49"/>
  <c r="V36" i="49"/>
  <c r="J24" i="50"/>
  <c r="J18" i="50"/>
  <c r="Z15" i="50"/>
  <c r="R18" i="50"/>
  <c r="R24" i="50"/>
  <c r="J27" i="50"/>
  <c r="F29" i="50"/>
  <c r="R33" i="50"/>
  <c r="J34" i="50"/>
  <c r="F33" i="51"/>
  <c r="Z56" i="51"/>
  <c r="L66" i="51"/>
  <c r="N66" i="51" s="1"/>
  <c r="F71" i="51"/>
  <c r="J72" i="51"/>
  <c r="V21" i="52"/>
  <c r="V18" i="52"/>
  <c r="V36" i="52"/>
  <c r="V33" i="52"/>
  <c r="V29" i="52"/>
  <c r="V25" i="52"/>
  <c r="T18" i="52"/>
  <c r="V15" i="52"/>
  <c r="V20" i="52"/>
  <c r="V16" i="52"/>
  <c r="Z12" i="52"/>
  <c r="X29" i="52"/>
  <c r="N20" i="53"/>
  <c r="L20" i="53"/>
  <c r="F24" i="53"/>
  <c r="P16" i="54"/>
  <c r="R24" i="54"/>
  <c r="X12" i="54"/>
  <c r="R28" i="54"/>
  <c r="N21" i="55"/>
  <c r="T75" i="56"/>
  <c r="N52" i="56"/>
  <c r="X64" i="56"/>
  <c r="Z64" i="56" s="1"/>
  <c r="F30" i="57"/>
  <c r="F44" i="57"/>
  <c r="F56" i="57"/>
  <c r="F60" i="57"/>
  <c r="Z18" i="58"/>
  <c r="R16" i="59"/>
  <c r="R98" i="62"/>
  <c r="R91" i="62"/>
  <c r="R86" i="62"/>
  <c r="R108" i="62"/>
  <c r="R101" i="62"/>
  <c r="R88" i="62"/>
  <c r="R84" i="62"/>
  <c r="R97" i="62"/>
  <c r="R90" i="62"/>
  <c r="R87" i="62"/>
  <c r="R99" i="62"/>
  <c r="R93" i="62"/>
  <c r="R85" i="62"/>
  <c r="R83" i="62"/>
  <c r="R78" i="62"/>
  <c r="R70" i="62"/>
  <c r="R65" i="62"/>
  <c r="R62" i="62"/>
  <c r="R57" i="62"/>
  <c r="R54" i="62"/>
  <c r="R45" i="62"/>
  <c r="R42" i="62"/>
  <c r="R37" i="62"/>
  <c r="R25" i="62"/>
  <c r="P17" i="62"/>
  <c r="R105" i="62"/>
  <c r="R95" i="62"/>
  <c r="R89" i="62"/>
  <c r="R82" i="62"/>
  <c r="R81" i="62"/>
  <c r="R36" i="62"/>
  <c r="R24" i="62"/>
  <c r="R80" i="62"/>
  <c r="R67" i="62"/>
  <c r="R64" i="62"/>
  <c r="R59" i="62"/>
  <c r="R56" i="62"/>
  <c r="R47" i="62"/>
  <c r="R44" i="62"/>
  <c r="R35" i="62"/>
  <c r="R23" i="62"/>
  <c r="R15" i="62"/>
  <c r="R74" i="62"/>
  <c r="R50" i="62"/>
  <c r="R34" i="62"/>
  <c r="R30" i="62"/>
  <c r="R22" i="62"/>
  <c r="R19" i="62"/>
  <c r="R77" i="62"/>
  <c r="R73" i="62"/>
  <c r="R69" i="62"/>
  <c r="R66" i="62"/>
  <c r="R61" i="62"/>
  <c r="R58" i="62"/>
  <c r="R53" i="62"/>
  <c r="R49" i="62"/>
  <c r="R46" i="62"/>
  <c r="R41" i="62"/>
  <c r="R33" i="62"/>
  <c r="R29" i="62"/>
  <c r="R21" i="62"/>
  <c r="R14" i="62"/>
  <c r="R92" i="62"/>
  <c r="R76" i="62"/>
  <c r="R72" i="62"/>
  <c r="R52" i="62"/>
  <c r="R40" i="62"/>
  <c r="R32" i="62"/>
  <c r="R28" i="62"/>
  <c r="X12" i="62"/>
  <c r="R75" i="62"/>
  <c r="R63" i="62"/>
  <c r="R55" i="62"/>
  <c r="R51" i="62"/>
  <c r="R60" i="62"/>
  <c r="R27" i="62"/>
  <c r="R26" i="62"/>
  <c r="R94" i="62"/>
  <c r="R79" i="62"/>
  <c r="R20" i="62"/>
  <c r="R17" i="62"/>
  <c r="R48" i="62"/>
  <c r="R38" i="62"/>
  <c r="Z70" i="62"/>
  <c r="X70" i="62"/>
  <c r="Z12" i="46"/>
  <c r="V16" i="46"/>
  <c r="X12" i="47"/>
  <c r="F27" i="47"/>
  <c r="V27" i="47"/>
  <c r="F31" i="47"/>
  <c r="V31" i="47"/>
  <c r="X12" i="48"/>
  <c r="Z12" i="48" s="1"/>
  <c r="R15" i="48"/>
  <c r="R19" i="48"/>
  <c r="V21" i="48"/>
  <c r="R22" i="48"/>
  <c r="V29" i="48"/>
  <c r="R30" i="48"/>
  <c r="V33" i="48"/>
  <c r="R34" i="48"/>
  <c r="V41" i="48"/>
  <c r="V49" i="48"/>
  <c r="R50" i="48"/>
  <c r="R55" i="48"/>
  <c r="V57" i="48"/>
  <c r="R58" i="48"/>
  <c r="V61" i="48"/>
  <c r="R62" i="48"/>
  <c r="V65" i="48"/>
  <c r="D72" i="48"/>
  <c r="L72" i="48" s="1"/>
  <c r="V77" i="48"/>
  <c r="N12" i="49"/>
  <c r="F18" i="49"/>
  <c r="V18" i="49"/>
  <c r="V21" i="49"/>
  <c r="F24" i="49"/>
  <c r="L12" i="50"/>
  <c r="J15" i="50"/>
  <c r="J21" i="50"/>
  <c r="F36" i="50"/>
  <c r="P12" i="51"/>
  <c r="X19" i="51"/>
  <c r="Z19" i="51" s="1"/>
  <c r="Z34" i="51"/>
  <c r="L45" i="51"/>
  <c r="N45" i="51" s="1"/>
  <c r="V56" i="51"/>
  <c r="Z60" i="51"/>
  <c r="F64" i="51"/>
  <c r="J66" i="51"/>
  <c r="X68" i="51"/>
  <c r="Z68" i="51" s="1"/>
  <c r="V74" i="51"/>
  <c r="X12" i="52"/>
  <c r="J16" i="52"/>
  <c r="R24" i="53"/>
  <c r="R21" i="53"/>
  <c r="R18" i="53"/>
  <c r="R22" i="53"/>
  <c r="X12" i="53"/>
  <c r="R31" i="53"/>
  <c r="R16" i="54"/>
  <c r="R29" i="54"/>
  <c r="J21" i="55"/>
  <c r="Z44" i="56"/>
  <c r="N50" i="56"/>
  <c r="L50" i="56"/>
  <c r="N19" i="57"/>
  <c r="F45" i="57"/>
  <c r="F57" i="57"/>
  <c r="F61" i="57"/>
  <c r="F63" i="57"/>
  <c r="T83" i="58"/>
  <c r="Z53" i="58"/>
  <c r="N14" i="59"/>
  <c r="L14" i="59"/>
  <c r="H16" i="59"/>
  <c r="N29" i="61"/>
  <c r="L29" i="61"/>
  <c r="V108" i="62"/>
  <c r="V103" i="62"/>
  <c r="V101" i="62"/>
  <c r="V85" i="62"/>
  <c r="V97" i="62"/>
  <c r="V87" i="62"/>
  <c r="V83" i="62"/>
  <c r="V90" i="62"/>
  <c r="V105" i="62"/>
  <c r="V99" i="62"/>
  <c r="V93" i="62"/>
  <c r="V89" i="62"/>
  <c r="V92" i="62"/>
  <c r="V95" i="62"/>
  <c r="V86" i="62"/>
  <c r="V84" i="62"/>
  <c r="V82" i="62"/>
  <c r="V81" i="62"/>
  <c r="V80" i="62"/>
  <c r="V64" i="62"/>
  <c r="V56" i="62"/>
  <c r="V44" i="62"/>
  <c r="V36" i="62"/>
  <c r="V24" i="62"/>
  <c r="V88" i="62"/>
  <c r="V67" i="62"/>
  <c r="V59" i="62"/>
  <c r="V47" i="62"/>
  <c r="V35" i="62"/>
  <c r="V23" i="62"/>
  <c r="V19" i="62"/>
  <c r="V15" i="62"/>
  <c r="V91" i="62"/>
  <c r="V74" i="62"/>
  <c r="V66" i="62"/>
  <c r="V58" i="62"/>
  <c r="V50" i="62"/>
  <c r="V46" i="62"/>
  <c r="V34" i="62"/>
  <c r="V30" i="62"/>
  <c r="V22" i="62"/>
  <c r="V14" i="62"/>
  <c r="V77" i="62"/>
  <c r="V73" i="62"/>
  <c r="V69" i="62"/>
  <c r="V61" i="62"/>
  <c r="V53" i="62"/>
  <c r="V49" i="62"/>
  <c r="V41" i="62"/>
  <c r="V33" i="62"/>
  <c r="V29" i="62"/>
  <c r="V21" i="62"/>
  <c r="V76" i="62"/>
  <c r="V72" i="62"/>
  <c r="V68" i="62"/>
  <c r="V60" i="62"/>
  <c r="V52" i="62"/>
  <c r="V48" i="62"/>
  <c r="V40" i="62"/>
  <c r="V32" i="62"/>
  <c r="V28" i="62"/>
  <c r="V20" i="62"/>
  <c r="Z12" i="62"/>
  <c r="V98" i="62"/>
  <c r="V94" i="62"/>
  <c r="V79" i="62"/>
  <c r="V75" i="62"/>
  <c r="V71" i="62"/>
  <c r="V63" i="62"/>
  <c r="V55" i="62"/>
  <c r="V51" i="62"/>
  <c r="V43" i="62"/>
  <c r="V39" i="62"/>
  <c r="V31" i="62"/>
  <c r="V27" i="62"/>
  <c r="V17" i="62"/>
  <c r="V26" i="62"/>
  <c r="T17" i="62"/>
  <c r="V70" i="62"/>
  <c r="V42" i="62"/>
  <c r="V62" i="62"/>
  <c r="V54" i="62"/>
  <c r="V38" i="62"/>
  <c r="R31" i="62"/>
  <c r="X78" i="62"/>
  <c r="Z78" i="62" s="1"/>
  <c r="L80" i="62"/>
  <c r="N80" i="62" s="1"/>
  <c r="F16" i="52"/>
  <c r="F20" i="52"/>
  <c r="V16" i="54"/>
  <c r="V20" i="54"/>
  <c r="J24" i="54"/>
  <c r="V26" i="54"/>
  <c r="L16" i="56"/>
  <c r="J19" i="56"/>
  <c r="R22" i="56"/>
  <c r="J25" i="56"/>
  <c r="F26" i="56"/>
  <c r="F30" i="56"/>
  <c r="R34" i="56"/>
  <c r="J37" i="56"/>
  <c r="F38" i="56"/>
  <c r="J41" i="56"/>
  <c r="J49" i="56"/>
  <c r="R54" i="56"/>
  <c r="R58" i="56"/>
  <c r="J59" i="56"/>
  <c r="F62" i="56"/>
  <c r="J65" i="56"/>
  <c r="J69" i="56"/>
  <c r="R71" i="56"/>
  <c r="J75" i="56"/>
  <c r="R78" i="56"/>
  <c r="V14" i="57"/>
  <c r="V18" i="57"/>
  <c r="V22" i="57"/>
  <c r="J26" i="57"/>
  <c r="J30" i="57"/>
  <c r="V34" i="57"/>
  <c r="J38" i="57"/>
  <c r="V42" i="57"/>
  <c r="J44" i="57"/>
  <c r="J50" i="57"/>
  <c r="V54" i="57"/>
  <c r="J56" i="57"/>
  <c r="P65" i="57"/>
  <c r="F70" i="58"/>
  <c r="F80" i="58"/>
  <c r="F74" i="58"/>
  <c r="J19" i="58"/>
  <c r="R22" i="58"/>
  <c r="J25" i="58"/>
  <c r="F26" i="58"/>
  <c r="R34" i="58"/>
  <c r="J37" i="58"/>
  <c r="F38" i="58"/>
  <c r="F42" i="58"/>
  <c r="R43" i="58"/>
  <c r="F45" i="58"/>
  <c r="R46" i="58"/>
  <c r="J47" i="58"/>
  <c r="F50" i="58"/>
  <c r="R51" i="58"/>
  <c r="F53" i="58"/>
  <c r="R54" i="58"/>
  <c r="F57" i="58"/>
  <c r="R58" i="58"/>
  <c r="R66" i="58"/>
  <c r="R70" i="58"/>
  <c r="F72" i="58"/>
  <c r="Z54" i="59"/>
  <c r="X54" i="59"/>
  <c r="H58" i="60"/>
  <c r="N16" i="60"/>
  <c r="F25" i="60"/>
  <c r="N40" i="61"/>
  <c r="Z44" i="61"/>
  <c r="N47" i="61"/>
  <c r="Z54" i="62"/>
  <c r="X54" i="62"/>
  <c r="X62" i="62"/>
  <c r="Z62" i="62" s="1"/>
  <c r="N70" i="62"/>
  <c r="N31" i="64"/>
  <c r="L31" i="64"/>
  <c r="V62" i="51"/>
  <c r="P18" i="52"/>
  <c r="F22" i="55"/>
  <c r="F25" i="55"/>
  <c r="F14" i="56"/>
  <c r="F18" i="56"/>
  <c r="R23" i="56"/>
  <c r="J26" i="56"/>
  <c r="F27" i="56"/>
  <c r="J30" i="56"/>
  <c r="F31" i="56"/>
  <c r="R35" i="56"/>
  <c r="J38" i="56"/>
  <c r="F39" i="56"/>
  <c r="R40" i="56"/>
  <c r="F42" i="56"/>
  <c r="R43" i="56"/>
  <c r="J44" i="56"/>
  <c r="F47" i="56"/>
  <c r="R48" i="56"/>
  <c r="F50" i="56"/>
  <c r="R51" i="56"/>
  <c r="J52" i="56"/>
  <c r="R55" i="56"/>
  <c r="J56" i="56"/>
  <c r="J62" i="56"/>
  <c r="F63" i="56"/>
  <c r="R64" i="56"/>
  <c r="F66" i="56"/>
  <c r="R67" i="56"/>
  <c r="R73" i="56"/>
  <c r="V23" i="57"/>
  <c r="J27" i="57"/>
  <c r="J31" i="57"/>
  <c r="V35" i="57"/>
  <c r="J39" i="57"/>
  <c r="V43" i="57"/>
  <c r="J47" i="57"/>
  <c r="J51" i="57"/>
  <c r="V55" i="57"/>
  <c r="J59" i="57"/>
  <c r="J63" i="57"/>
  <c r="J69" i="57"/>
  <c r="J80" i="58"/>
  <c r="J74" i="58"/>
  <c r="J78" i="58"/>
  <c r="J72" i="58"/>
  <c r="F14" i="58"/>
  <c r="F18" i="58"/>
  <c r="R23" i="58"/>
  <c r="J26" i="58"/>
  <c r="F27" i="58"/>
  <c r="F31" i="58"/>
  <c r="R35" i="58"/>
  <c r="J38" i="58"/>
  <c r="F39" i="58"/>
  <c r="J42" i="58"/>
  <c r="J50" i="58"/>
  <c r="R55" i="58"/>
  <c r="R59" i="58"/>
  <c r="J60" i="58"/>
  <c r="F63" i="58"/>
  <c r="F68" i="58"/>
  <c r="J76" i="58"/>
  <c r="N40" i="59"/>
  <c r="L40" i="59"/>
  <c r="F47" i="60"/>
  <c r="F36" i="60"/>
  <c r="F24" i="60"/>
  <c r="F19" i="60"/>
  <c r="F65" i="60"/>
  <c r="F58" i="60"/>
  <c r="F43" i="60"/>
  <c r="F35" i="60"/>
  <c r="F23" i="60"/>
  <c r="F16" i="60"/>
  <c r="F53" i="60"/>
  <c r="F49" i="60"/>
  <c r="F46" i="60"/>
  <c r="F34" i="60"/>
  <c r="F29" i="60"/>
  <c r="F22" i="60"/>
  <c r="D16" i="60"/>
  <c r="F45" i="60"/>
  <c r="F40" i="60"/>
  <c r="F33" i="60"/>
  <c r="F21" i="60"/>
  <c r="F52" i="60"/>
  <c r="F48" i="60"/>
  <c r="F32" i="60"/>
  <c r="F28" i="60"/>
  <c r="F20" i="60"/>
  <c r="L12" i="60"/>
  <c r="F62" i="60"/>
  <c r="F56" i="60"/>
  <c r="F51" i="60"/>
  <c r="F42" i="60"/>
  <c r="F39" i="60"/>
  <c r="F31" i="60"/>
  <c r="F27" i="60"/>
  <c r="F18" i="60"/>
  <c r="F14" i="60"/>
  <c r="L19" i="60"/>
  <c r="N19" i="60" s="1"/>
  <c r="N19" i="61"/>
  <c r="L56" i="62"/>
  <c r="N56" i="62" s="1"/>
  <c r="N64" i="62"/>
  <c r="L64" i="62"/>
  <c r="H84" i="63"/>
  <c r="H89" i="65"/>
  <c r="J31" i="65"/>
  <c r="V24" i="50"/>
  <c r="V20" i="51"/>
  <c r="V28" i="51"/>
  <c r="V36" i="51"/>
  <c r="V44" i="51"/>
  <c r="V48" i="51"/>
  <c r="V60" i="51"/>
  <c r="V68" i="51"/>
  <c r="V72" i="51"/>
  <c r="X75" i="51"/>
  <c r="L12" i="52"/>
  <c r="F15" i="52"/>
  <c r="D18" i="52"/>
  <c r="R21" i="52"/>
  <c r="F25" i="52"/>
  <c r="F29" i="52"/>
  <c r="F33" i="52"/>
  <c r="F36" i="52"/>
  <c r="J16" i="53"/>
  <c r="J20" i="53"/>
  <c r="L12" i="55"/>
  <c r="F20" i="55"/>
  <c r="R21" i="55"/>
  <c r="F23" i="55"/>
  <c r="R24" i="55"/>
  <c r="F31" i="55"/>
  <c r="F38" i="55"/>
  <c r="N12" i="56"/>
  <c r="J14" i="56"/>
  <c r="R16" i="56"/>
  <c r="J18" i="56"/>
  <c r="J20" i="56"/>
  <c r="F21" i="56"/>
  <c r="V24" i="56"/>
  <c r="R25" i="56"/>
  <c r="J28" i="56"/>
  <c r="J32" i="56"/>
  <c r="F33" i="56"/>
  <c r="V36" i="56"/>
  <c r="R37" i="56"/>
  <c r="F40" i="56"/>
  <c r="V40" i="56"/>
  <c r="R41" i="56"/>
  <c r="J42" i="56"/>
  <c r="F45" i="56"/>
  <c r="R46" i="56"/>
  <c r="F48" i="56"/>
  <c r="V48" i="56"/>
  <c r="R49" i="56"/>
  <c r="J50" i="56"/>
  <c r="F53" i="56"/>
  <c r="F57" i="56"/>
  <c r="J60" i="56"/>
  <c r="F64" i="56"/>
  <c r="V64" i="56"/>
  <c r="R65" i="56"/>
  <c r="J66" i="56"/>
  <c r="T16" i="57"/>
  <c r="X16" i="57" s="1"/>
  <c r="R19" i="57"/>
  <c r="J21" i="57"/>
  <c r="V25" i="57"/>
  <c r="R26" i="57"/>
  <c r="V29" i="57"/>
  <c r="R30" i="57"/>
  <c r="J33" i="57"/>
  <c r="V37" i="57"/>
  <c r="R38" i="57"/>
  <c r="V41" i="57"/>
  <c r="J45" i="57"/>
  <c r="V49" i="57"/>
  <c r="R50" i="57"/>
  <c r="V53" i="57"/>
  <c r="J57" i="57"/>
  <c r="V61" i="57"/>
  <c r="V65" i="57"/>
  <c r="V67" i="57"/>
  <c r="V72" i="57"/>
  <c r="N12" i="58"/>
  <c r="J14" i="58"/>
  <c r="R16" i="58"/>
  <c r="J18" i="58"/>
  <c r="J20" i="58"/>
  <c r="F21" i="58"/>
  <c r="V24" i="58"/>
  <c r="R25" i="58"/>
  <c r="J28" i="58"/>
  <c r="F29" i="58"/>
  <c r="R30" i="58"/>
  <c r="J32" i="58"/>
  <c r="F33" i="58"/>
  <c r="V36" i="58"/>
  <c r="R37" i="58"/>
  <c r="J40" i="58"/>
  <c r="V44" i="58"/>
  <c r="J48" i="58"/>
  <c r="V52" i="58"/>
  <c r="V56" i="58"/>
  <c r="F61" i="58"/>
  <c r="R62" i="58"/>
  <c r="J64" i="58"/>
  <c r="F65" i="58"/>
  <c r="X67" i="58"/>
  <c r="Z67" i="58" s="1"/>
  <c r="X74" i="58"/>
  <c r="Z16" i="59"/>
  <c r="T60" i="59"/>
  <c r="N29" i="59"/>
  <c r="Z52" i="59"/>
  <c r="Z14" i="60"/>
  <c r="X14" i="60"/>
  <c r="F38" i="60"/>
  <c r="L47" i="60"/>
  <c r="N47" i="60" s="1"/>
  <c r="V64" i="61"/>
  <c r="V59" i="61"/>
  <c r="V57" i="61"/>
  <c r="V53" i="61"/>
  <c r="V49" i="61"/>
  <c r="V41" i="61"/>
  <c r="V37" i="61"/>
  <c r="V29" i="61"/>
  <c r="V25" i="61"/>
  <c r="T16" i="61"/>
  <c r="V52" i="61"/>
  <c r="V40" i="61"/>
  <c r="V36" i="61"/>
  <c r="V24" i="61"/>
  <c r="V43" i="61"/>
  <c r="V35" i="61"/>
  <c r="V23" i="61"/>
  <c r="V46" i="61"/>
  <c r="V42" i="61"/>
  <c r="V34" i="61"/>
  <c r="V22" i="61"/>
  <c r="V18" i="61"/>
  <c r="V14" i="61"/>
  <c r="V61" i="61"/>
  <c r="V55" i="61"/>
  <c r="V45" i="61"/>
  <c r="V33" i="61"/>
  <c r="V21" i="61"/>
  <c r="V48" i="61"/>
  <c r="V44" i="61"/>
  <c r="V32" i="61"/>
  <c r="V28" i="61"/>
  <c r="V20" i="61"/>
  <c r="Z12" i="61"/>
  <c r="V39" i="61"/>
  <c r="Z42" i="61"/>
  <c r="X47" i="61"/>
  <c r="Z47" i="61" s="1"/>
  <c r="V51" i="61"/>
  <c r="N75" i="62"/>
  <c r="F18" i="52"/>
  <c r="R19" i="56"/>
  <c r="R26" i="56"/>
  <c r="R30" i="56"/>
  <c r="F34" i="56"/>
  <c r="R38" i="56"/>
  <c r="J53" i="56"/>
  <c r="F54" i="56"/>
  <c r="J57" i="56"/>
  <c r="F58" i="56"/>
  <c r="R59" i="56"/>
  <c r="F61" i="56"/>
  <c r="R62" i="56"/>
  <c r="R69" i="56"/>
  <c r="J71" i="56"/>
  <c r="R75" i="56"/>
  <c r="J78" i="56"/>
  <c r="V16" i="57"/>
  <c r="V26" i="57"/>
  <c r="V30" i="57"/>
  <c r="V38" i="57"/>
  <c r="V46" i="57"/>
  <c r="V50" i="57"/>
  <c r="V58" i="57"/>
  <c r="J60" i="57"/>
  <c r="R83" i="58"/>
  <c r="R76" i="58"/>
  <c r="R71" i="58"/>
  <c r="R19" i="58"/>
  <c r="J21" i="58"/>
  <c r="F22" i="58"/>
  <c r="R26" i="58"/>
  <c r="J29" i="58"/>
  <c r="J33" i="58"/>
  <c r="F34" i="58"/>
  <c r="R38" i="58"/>
  <c r="F41" i="58"/>
  <c r="R42" i="58"/>
  <c r="J43" i="58"/>
  <c r="F46" i="58"/>
  <c r="R47" i="58"/>
  <c r="F49" i="58"/>
  <c r="R50" i="58"/>
  <c r="J51" i="58"/>
  <c r="F54" i="58"/>
  <c r="F58" i="58"/>
  <c r="J61" i="58"/>
  <c r="J65" i="58"/>
  <c r="F66" i="58"/>
  <c r="R67" i="58"/>
  <c r="J69" i="58"/>
  <c r="R74" i="58"/>
  <c r="F37" i="60"/>
  <c r="F41" i="60"/>
  <c r="X19" i="61"/>
  <c r="Z19" i="61" s="1"/>
  <c r="L49" i="61"/>
  <c r="N49" i="61" s="1"/>
  <c r="Z20" i="62"/>
  <c r="X51" i="62"/>
  <c r="X75" i="62"/>
  <c r="Z75" i="62" s="1"/>
  <c r="R77" i="63"/>
  <c r="R73" i="63"/>
  <c r="R69" i="63"/>
  <c r="R66" i="63"/>
  <c r="R61" i="63"/>
  <c r="R45" i="63"/>
  <c r="R41" i="63"/>
  <c r="R25" i="63"/>
  <c r="R18" i="63"/>
  <c r="R86" i="63"/>
  <c r="R80" i="63"/>
  <c r="R76" i="63"/>
  <c r="R72" i="63"/>
  <c r="R60" i="63"/>
  <c r="R57" i="63"/>
  <c r="R52" i="63"/>
  <c r="R44" i="63"/>
  <c r="R40" i="63"/>
  <c r="R33" i="63"/>
  <c r="R24" i="63"/>
  <c r="R75" i="63"/>
  <c r="R68" i="63"/>
  <c r="R63" i="63"/>
  <c r="R51" i="63"/>
  <c r="R43" i="63"/>
  <c r="R39" i="63"/>
  <c r="R23" i="63"/>
  <c r="R79" i="63"/>
  <c r="R71" i="63"/>
  <c r="R59" i="63"/>
  <c r="R54" i="63"/>
  <c r="R50" i="63"/>
  <c r="R38" i="63"/>
  <c r="P30" i="63"/>
  <c r="R22" i="63"/>
  <c r="R74" i="63"/>
  <c r="R65" i="63"/>
  <c r="R62" i="63"/>
  <c r="R49" i="63"/>
  <c r="R42" i="63"/>
  <c r="R37" i="63"/>
  <c r="R21" i="63"/>
  <c r="R56" i="63"/>
  <c r="R53" i="63"/>
  <c r="R48" i="63"/>
  <c r="R36" i="63"/>
  <c r="R28" i="63"/>
  <c r="R20" i="63"/>
  <c r="X12" i="63"/>
  <c r="R27" i="63"/>
  <c r="R26" i="63"/>
  <c r="R64" i="63"/>
  <c r="R19" i="63"/>
  <c r="R78" i="63"/>
  <c r="R35" i="63"/>
  <c r="R34" i="63"/>
  <c r="R70" i="63"/>
  <c r="R47" i="63"/>
  <c r="R46" i="63"/>
  <c r="R58" i="63"/>
  <c r="R55" i="63"/>
  <c r="N21" i="64"/>
  <c r="L21" i="64"/>
  <c r="Z12" i="50"/>
  <c r="V16" i="50"/>
  <c r="V22" i="51"/>
  <c r="V38" i="51"/>
  <c r="V50" i="51"/>
  <c r="V58" i="51"/>
  <c r="V66" i="51"/>
  <c r="V70" i="51"/>
  <c r="R27" i="52"/>
  <c r="R31" i="52"/>
  <c r="N12" i="53"/>
  <c r="D16" i="55"/>
  <c r="R19" i="55"/>
  <c r="F21" i="55"/>
  <c r="R22" i="55"/>
  <c r="R29" i="55"/>
  <c r="F16" i="56"/>
  <c r="V16" i="56"/>
  <c r="J22" i="56"/>
  <c r="F23" i="56"/>
  <c r="V26" i="56"/>
  <c r="R27" i="56"/>
  <c r="V30" i="56"/>
  <c r="R31" i="56"/>
  <c r="J34" i="56"/>
  <c r="F35" i="56"/>
  <c r="V38" i="56"/>
  <c r="R39" i="56"/>
  <c r="J40" i="56"/>
  <c r="F43" i="56"/>
  <c r="R44" i="56"/>
  <c r="F46" i="56"/>
  <c r="V46" i="56"/>
  <c r="R47" i="56"/>
  <c r="J48" i="56"/>
  <c r="F51" i="56"/>
  <c r="R52" i="56"/>
  <c r="J54" i="56"/>
  <c r="F55" i="56"/>
  <c r="R56" i="56"/>
  <c r="J58" i="56"/>
  <c r="F67" i="56"/>
  <c r="X12" i="57"/>
  <c r="H16" i="57"/>
  <c r="V19" i="57"/>
  <c r="R20" i="57"/>
  <c r="J23" i="57"/>
  <c r="V27" i="57"/>
  <c r="R28" i="57"/>
  <c r="J29" i="57"/>
  <c r="V31" i="57"/>
  <c r="R32" i="57"/>
  <c r="J35" i="57"/>
  <c r="V39" i="57"/>
  <c r="J43" i="57"/>
  <c r="V47" i="57"/>
  <c r="V51" i="57"/>
  <c r="J55" i="57"/>
  <c r="R63" i="57"/>
  <c r="J65" i="57"/>
  <c r="V80" i="58"/>
  <c r="V74" i="58"/>
  <c r="V68" i="58"/>
  <c r="F16" i="58"/>
  <c r="V16" i="58"/>
  <c r="J22" i="58"/>
  <c r="F23" i="58"/>
  <c r="V26" i="58"/>
  <c r="R27" i="58"/>
  <c r="F30" i="58"/>
  <c r="V30" i="58"/>
  <c r="R31" i="58"/>
  <c r="J34" i="58"/>
  <c r="F35" i="58"/>
  <c r="V38" i="58"/>
  <c r="R39" i="58"/>
  <c r="V42" i="58"/>
  <c r="J46" i="58"/>
  <c r="V50" i="58"/>
  <c r="J54" i="58"/>
  <c r="F55" i="58"/>
  <c r="J58" i="58"/>
  <c r="F59" i="58"/>
  <c r="R60" i="58"/>
  <c r="F62" i="58"/>
  <c r="V62" i="58"/>
  <c r="R63" i="58"/>
  <c r="J66" i="58"/>
  <c r="R68" i="58"/>
  <c r="J70" i="58"/>
  <c r="F71" i="58"/>
  <c r="F83" i="58"/>
  <c r="N54" i="59"/>
  <c r="N58" i="59"/>
  <c r="L58" i="59"/>
  <c r="X18" i="60"/>
  <c r="Z18" i="60" s="1"/>
  <c r="Z18" i="61"/>
  <c r="V19" i="61"/>
  <c r="N44" i="61"/>
  <c r="V50" i="61"/>
  <c r="X31" i="62"/>
  <c r="Z31" i="62" s="1"/>
  <c r="N44" i="62"/>
  <c r="L44" i="62"/>
  <c r="Z60" i="62"/>
  <c r="Z87" i="62"/>
  <c r="L98" i="62"/>
  <c r="N98" i="62" s="1"/>
  <c r="D97" i="62"/>
  <c r="L97" i="62" s="1"/>
  <c r="N97" i="62" s="1"/>
  <c r="T33" i="64"/>
  <c r="Z16" i="64"/>
  <c r="V16" i="59"/>
  <c r="J22" i="59"/>
  <c r="V26" i="59"/>
  <c r="V30" i="59"/>
  <c r="J34" i="59"/>
  <c r="F35" i="59"/>
  <c r="V38" i="59"/>
  <c r="J40" i="59"/>
  <c r="F43" i="59"/>
  <c r="J46" i="59"/>
  <c r="J50" i="59"/>
  <c r="F51" i="59"/>
  <c r="F54" i="59"/>
  <c r="V54" i="59"/>
  <c r="J58" i="59"/>
  <c r="J64" i="59"/>
  <c r="V22" i="60"/>
  <c r="J26" i="60"/>
  <c r="J30" i="60"/>
  <c r="V34" i="60"/>
  <c r="J38" i="60"/>
  <c r="R40" i="60"/>
  <c r="V42" i="60"/>
  <c r="R43" i="60"/>
  <c r="J44" i="60"/>
  <c r="V46" i="60"/>
  <c r="J50" i="60"/>
  <c r="J54" i="60"/>
  <c r="V56" i="60"/>
  <c r="J60" i="60"/>
  <c r="V62" i="60"/>
  <c r="R14" i="61"/>
  <c r="R18" i="61"/>
  <c r="R21" i="61"/>
  <c r="F25" i="61"/>
  <c r="R33" i="61"/>
  <c r="F37" i="61"/>
  <c r="F41" i="61"/>
  <c r="R42" i="61"/>
  <c r="F44" i="61"/>
  <c r="R45" i="61"/>
  <c r="F53" i="61"/>
  <c r="F59" i="61"/>
  <c r="J35" i="62"/>
  <c r="J47" i="62"/>
  <c r="J59" i="62"/>
  <c r="J67" i="62"/>
  <c r="F75" i="62"/>
  <c r="J90" i="62"/>
  <c r="N91" i="62"/>
  <c r="H101" i="62"/>
  <c r="X66" i="63"/>
  <c r="V22" i="64"/>
  <c r="X13" i="68"/>
  <c r="Z13" i="68" s="1"/>
  <c r="P12" i="68"/>
  <c r="V31" i="59"/>
  <c r="V39" i="59"/>
  <c r="J43" i="59"/>
  <c r="F44" i="59"/>
  <c r="F47" i="59"/>
  <c r="V47" i="59"/>
  <c r="J51" i="59"/>
  <c r="V55" i="59"/>
  <c r="J31" i="60"/>
  <c r="V35" i="60"/>
  <c r="J39" i="60"/>
  <c r="V43" i="60"/>
  <c r="J51" i="60"/>
  <c r="R53" i="60"/>
  <c r="P58" i="60"/>
  <c r="R22" i="61"/>
  <c r="F26" i="61"/>
  <c r="F30" i="61"/>
  <c r="R34" i="61"/>
  <c r="F38" i="61"/>
  <c r="R46" i="61"/>
  <c r="F50" i="61"/>
  <c r="J53" i="61"/>
  <c r="F55" i="61"/>
  <c r="J59" i="61"/>
  <c r="F61" i="61"/>
  <c r="J24" i="62"/>
  <c r="J36" i="62"/>
  <c r="J42" i="62"/>
  <c r="F48" i="62"/>
  <c r="J54" i="62"/>
  <c r="F57" i="62"/>
  <c r="F60" i="62"/>
  <c r="J62" i="62"/>
  <c r="F65" i="62"/>
  <c r="F68" i="62"/>
  <c r="J70" i="62"/>
  <c r="J78" i="62"/>
  <c r="F81" i="62"/>
  <c r="J82" i="62"/>
  <c r="F83" i="62"/>
  <c r="F84" i="62"/>
  <c r="F85" i="62"/>
  <c r="F86" i="62"/>
  <c r="J101" i="62"/>
  <c r="V86" i="63"/>
  <c r="V80" i="63"/>
  <c r="V76" i="63"/>
  <c r="V72" i="63"/>
  <c r="V68" i="63"/>
  <c r="V60" i="63"/>
  <c r="V52" i="63"/>
  <c r="V44" i="63"/>
  <c r="V40" i="63"/>
  <c r="V24" i="63"/>
  <c r="V79" i="63"/>
  <c r="V75" i="63"/>
  <c r="V71" i="63"/>
  <c r="V63" i="63"/>
  <c r="V59" i="63"/>
  <c r="V51" i="63"/>
  <c r="V43" i="63"/>
  <c r="V39" i="63"/>
  <c r="T30" i="63"/>
  <c r="V30" i="63" s="1"/>
  <c r="V23" i="63"/>
  <c r="V74" i="63"/>
  <c r="V62" i="63"/>
  <c r="V54" i="63"/>
  <c r="V50" i="63"/>
  <c r="V42" i="63"/>
  <c r="V38" i="63"/>
  <c r="V22" i="63"/>
  <c r="V65" i="63"/>
  <c r="V53" i="63"/>
  <c r="V49" i="63"/>
  <c r="V37" i="63"/>
  <c r="V21" i="63"/>
  <c r="V82" i="63"/>
  <c r="V64" i="63"/>
  <c r="V56" i="63"/>
  <c r="V48" i="63"/>
  <c r="V36" i="63"/>
  <c r="V32" i="63"/>
  <c r="V28" i="63"/>
  <c r="V20" i="63"/>
  <c r="Z12" i="63"/>
  <c r="V67" i="63"/>
  <c r="V55" i="63"/>
  <c r="V47" i="63"/>
  <c r="V35" i="63"/>
  <c r="V27" i="63"/>
  <c r="V19" i="63"/>
  <c r="D30" i="63"/>
  <c r="L18" i="63"/>
  <c r="X55" i="63"/>
  <c r="Z55" i="63" s="1"/>
  <c r="L57" i="63"/>
  <c r="N57" i="63" s="1"/>
  <c r="V58" i="63"/>
  <c r="Z66" i="63"/>
  <c r="V31" i="64"/>
  <c r="L68" i="67"/>
  <c r="N68" i="67"/>
  <c r="Z12" i="59"/>
  <c r="J16" i="59"/>
  <c r="V20" i="59"/>
  <c r="J24" i="59"/>
  <c r="F25" i="59"/>
  <c r="V28" i="59"/>
  <c r="V32" i="59"/>
  <c r="J36" i="59"/>
  <c r="F37" i="59"/>
  <c r="F41" i="59"/>
  <c r="J44" i="59"/>
  <c r="V48" i="59"/>
  <c r="F52" i="59"/>
  <c r="V52" i="59"/>
  <c r="J54" i="59"/>
  <c r="V56" i="59"/>
  <c r="F60" i="59"/>
  <c r="V60" i="59"/>
  <c r="V62" i="59"/>
  <c r="F67" i="59"/>
  <c r="V67" i="59"/>
  <c r="N12" i="60"/>
  <c r="J14" i="60"/>
  <c r="R16" i="60"/>
  <c r="J18" i="60"/>
  <c r="J20" i="60"/>
  <c r="V24" i="60"/>
  <c r="R25" i="60"/>
  <c r="J28" i="60"/>
  <c r="J32" i="60"/>
  <c r="V36" i="60"/>
  <c r="R37" i="60"/>
  <c r="V40" i="60"/>
  <c r="R41" i="60"/>
  <c r="J42" i="60"/>
  <c r="J48" i="60"/>
  <c r="J52" i="60"/>
  <c r="J56" i="60"/>
  <c r="R58" i="60"/>
  <c r="J62" i="60"/>
  <c r="R65" i="60"/>
  <c r="F14" i="61"/>
  <c r="F18" i="61"/>
  <c r="R23" i="61"/>
  <c r="J26" i="61"/>
  <c r="F27" i="61"/>
  <c r="J30" i="61"/>
  <c r="F31" i="61"/>
  <c r="R35" i="61"/>
  <c r="J38" i="61"/>
  <c r="F39" i="61"/>
  <c r="R40" i="61"/>
  <c r="F42" i="61"/>
  <c r="R43" i="61"/>
  <c r="J44" i="61"/>
  <c r="J50" i="61"/>
  <c r="F51" i="61"/>
  <c r="R52" i="61"/>
  <c r="F108" i="62"/>
  <c r="F101" i="62"/>
  <c r="F90" i="62"/>
  <c r="F82" i="62"/>
  <c r="F99" i="62"/>
  <c r="F97" i="62"/>
  <c r="F92" i="62"/>
  <c r="F87" i="62"/>
  <c r="F95" i="62"/>
  <c r="F105" i="62"/>
  <c r="F89" i="62"/>
  <c r="F103" i="62"/>
  <c r="F98" i="62"/>
  <c r="J17" i="62"/>
  <c r="J25" i="62"/>
  <c r="F26" i="62"/>
  <c r="J31" i="62"/>
  <c r="J37" i="62"/>
  <c r="F38" i="62"/>
  <c r="J45" i="62"/>
  <c r="J51" i="62"/>
  <c r="J57" i="62"/>
  <c r="J65" i="62"/>
  <c r="J75" i="62"/>
  <c r="J83" i="62"/>
  <c r="J84" i="62"/>
  <c r="J85" i="62"/>
  <c r="L89" i="62"/>
  <c r="Z91" i="62"/>
  <c r="F18" i="63"/>
  <c r="V46" i="63"/>
  <c r="V66" i="63"/>
  <c r="V70" i="63"/>
  <c r="Z56" i="65"/>
  <c r="X56" i="65"/>
  <c r="N68" i="65"/>
  <c r="Z77" i="65"/>
  <c r="X77" i="65"/>
  <c r="L13" i="67"/>
  <c r="N13" i="67" s="1"/>
  <c r="D12" i="67"/>
  <c r="J68" i="67"/>
  <c r="J19" i="59"/>
  <c r="V21" i="59"/>
  <c r="J25" i="59"/>
  <c r="F26" i="59"/>
  <c r="F30" i="59"/>
  <c r="V33" i="59"/>
  <c r="J37" i="59"/>
  <c r="F38" i="59"/>
  <c r="J41" i="59"/>
  <c r="F45" i="59"/>
  <c r="V45" i="59"/>
  <c r="J47" i="59"/>
  <c r="V49" i="59"/>
  <c r="V53" i="59"/>
  <c r="T16" i="60"/>
  <c r="R19" i="60"/>
  <c r="J21" i="60"/>
  <c r="V25" i="60"/>
  <c r="R26" i="60"/>
  <c r="V29" i="60"/>
  <c r="R30" i="60"/>
  <c r="J33" i="60"/>
  <c r="V37" i="60"/>
  <c r="R38" i="60"/>
  <c r="V41" i="60"/>
  <c r="J45" i="60"/>
  <c r="R47" i="60"/>
  <c r="V49" i="60"/>
  <c r="R50" i="60"/>
  <c r="V53" i="60"/>
  <c r="R54" i="60"/>
  <c r="R60" i="60"/>
  <c r="L12" i="61"/>
  <c r="P16" i="61"/>
  <c r="F20" i="61"/>
  <c r="R24" i="61"/>
  <c r="J27" i="61"/>
  <c r="F28" i="61"/>
  <c r="R29" i="61"/>
  <c r="J31" i="61"/>
  <c r="F32" i="61"/>
  <c r="R36" i="61"/>
  <c r="J39" i="61"/>
  <c r="F48" i="61"/>
  <c r="R49" i="61"/>
  <c r="J51" i="61"/>
  <c r="J55" i="61"/>
  <c r="R57" i="61"/>
  <c r="J61" i="61"/>
  <c r="R64" i="61"/>
  <c r="J97" i="62"/>
  <c r="J93" i="62"/>
  <c r="J87" i="62"/>
  <c r="J81" i="62"/>
  <c r="J105" i="62"/>
  <c r="J95" i="62"/>
  <c r="J89" i="62"/>
  <c r="J103" i="62"/>
  <c r="J98" i="62"/>
  <c r="J91" i="62"/>
  <c r="J94" i="62"/>
  <c r="J88" i="62"/>
  <c r="J20" i="62"/>
  <c r="J26" i="62"/>
  <c r="F27" i="62"/>
  <c r="J38" i="62"/>
  <c r="F39" i="62"/>
  <c r="F43" i="62"/>
  <c r="F46" i="62"/>
  <c r="J48" i="62"/>
  <c r="F55" i="62"/>
  <c r="F58" i="62"/>
  <c r="J60" i="62"/>
  <c r="F63" i="62"/>
  <c r="F66" i="62"/>
  <c r="J68" i="62"/>
  <c r="F71" i="62"/>
  <c r="F79" i="62"/>
  <c r="F94" i="62"/>
  <c r="Z97" i="62"/>
  <c r="N18" i="63"/>
  <c r="L33" i="63"/>
  <c r="N33" i="63" s="1"/>
  <c r="V34" i="63"/>
  <c r="J68" i="63"/>
  <c r="V69" i="63"/>
  <c r="V78" i="63"/>
  <c r="R16" i="64"/>
  <c r="R37" i="64"/>
  <c r="R31" i="64"/>
  <c r="R24" i="64"/>
  <c r="R21" i="64"/>
  <c r="P16" i="64"/>
  <c r="R27" i="64"/>
  <c r="R26" i="64"/>
  <c r="R23" i="64"/>
  <c r="R35" i="64"/>
  <c r="R29" i="64"/>
  <c r="R18" i="64"/>
  <c r="R14" i="64"/>
  <c r="R40" i="64"/>
  <c r="R33" i="64"/>
  <c r="R25" i="64"/>
  <c r="R20" i="64"/>
  <c r="X12" i="64"/>
  <c r="R28" i="64"/>
  <c r="L58" i="65"/>
  <c r="N58" i="65" s="1"/>
  <c r="V77" i="65"/>
  <c r="N19" i="69"/>
  <c r="L19" i="69"/>
  <c r="J19" i="69"/>
  <c r="V14" i="59"/>
  <c r="V18" i="59"/>
  <c r="V22" i="59"/>
  <c r="J26" i="59"/>
  <c r="F27" i="59"/>
  <c r="J30" i="59"/>
  <c r="F31" i="59"/>
  <c r="V34" i="59"/>
  <c r="J38" i="59"/>
  <c r="F39" i="59"/>
  <c r="F42" i="59"/>
  <c r="V42" i="59"/>
  <c r="V46" i="59"/>
  <c r="V50" i="59"/>
  <c r="J52" i="59"/>
  <c r="F55" i="59"/>
  <c r="J60" i="59"/>
  <c r="J67" i="59"/>
  <c r="N14" i="60"/>
  <c r="V16" i="60"/>
  <c r="J22" i="60"/>
  <c r="V26" i="60"/>
  <c r="V30" i="60"/>
  <c r="R31" i="60"/>
  <c r="J34" i="60"/>
  <c r="V38" i="60"/>
  <c r="R39" i="60"/>
  <c r="J40" i="60"/>
  <c r="R44" i="60"/>
  <c r="J46" i="60"/>
  <c r="V50" i="60"/>
  <c r="R51" i="60"/>
  <c r="V54" i="60"/>
  <c r="V58" i="60"/>
  <c r="V60" i="60"/>
  <c r="V65" i="60"/>
  <c r="R16" i="61"/>
  <c r="F21" i="61"/>
  <c r="R25" i="61"/>
  <c r="F33" i="61"/>
  <c r="R37" i="61"/>
  <c r="F40" i="61"/>
  <c r="R41" i="61"/>
  <c r="J42" i="61"/>
  <c r="F45" i="61"/>
  <c r="F52" i="61"/>
  <c r="R53" i="61"/>
  <c r="R59" i="61"/>
  <c r="J39" i="62"/>
  <c r="J43" i="62"/>
  <c r="J55" i="62"/>
  <c r="J63" i="62"/>
  <c r="J71" i="62"/>
  <c r="F72" i="62"/>
  <c r="F76" i="62"/>
  <c r="J79" i="62"/>
  <c r="F93" i="62"/>
  <c r="L94" i="62"/>
  <c r="N94" i="62" s="1"/>
  <c r="J99" i="62"/>
  <c r="X18" i="63"/>
  <c r="Z18" i="63" s="1"/>
  <c r="V41" i="63"/>
  <c r="V45" i="63"/>
  <c r="V57" i="63"/>
  <c r="V24" i="64"/>
  <c r="V27" i="64"/>
  <c r="V23" i="64"/>
  <c r="V26" i="64"/>
  <c r="V18" i="64"/>
  <c r="V14" i="64"/>
  <c r="V40" i="64"/>
  <c r="V35" i="64"/>
  <c r="V33" i="64"/>
  <c r="V29" i="64"/>
  <c r="V25" i="64"/>
  <c r="V28" i="64"/>
  <c r="V20" i="64"/>
  <c r="Z12" i="64"/>
  <c r="V19" i="64"/>
  <c r="L16" i="64"/>
  <c r="D33" i="64"/>
  <c r="X64" i="65"/>
  <c r="Z64" i="65" s="1"/>
  <c r="L84" i="65"/>
  <c r="N84" i="65" s="1"/>
  <c r="D83" i="65"/>
  <c r="L83" i="65" s="1"/>
  <c r="N83" i="65" s="1"/>
  <c r="P72" i="68"/>
  <c r="X72" i="68" s="1"/>
  <c r="Z72" i="68" s="1"/>
  <c r="X73" i="68"/>
  <c r="Z73" i="68" s="1"/>
  <c r="V35" i="59"/>
  <c r="J39" i="59"/>
  <c r="V43" i="59"/>
  <c r="J45" i="59"/>
  <c r="F48" i="59"/>
  <c r="F56" i="59"/>
  <c r="J23" i="60"/>
  <c r="V27" i="60"/>
  <c r="J29" i="60"/>
  <c r="V31" i="60"/>
  <c r="J35" i="60"/>
  <c r="V39" i="60"/>
  <c r="J43" i="60"/>
  <c r="V47" i="60"/>
  <c r="R48" i="60"/>
  <c r="J49" i="60"/>
  <c r="D16" i="61"/>
  <c r="R19" i="61"/>
  <c r="F22" i="61"/>
  <c r="R26" i="61"/>
  <c r="F29" i="61"/>
  <c r="R30" i="61"/>
  <c r="F34" i="61"/>
  <c r="R38" i="61"/>
  <c r="F46" i="61"/>
  <c r="R47" i="61"/>
  <c r="F49" i="61"/>
  <c r="F57" i="61"/>
  <c r="J28" i="62"/>
  <c r="J32" i="62"/>
  <c r="J40" i="62"/>
  <c r="J46" i="62"/>
  <c r="J52" i="62"/>
  <c r="F53" i="62"/>
  <c r="F56" i="62"/>
  <c r="J58" i="62"/>
  <c r="F61" i="62"/>
  <c r="F64" i="62"/>
  <c r="J66" i="62"/>
  <c r="F69" i="62"/>
  <c r="J72" i="62"/>
  <c r="F73" i="62"/>
  <c r="J76" i="62"/>
  <c r="F77" i="62"/>
  <c r="F80" i="62"/>
  <c r="J92" i="62"/>
  <c r="V61" i="63"/>
  <c r="Z19" i="64"/>
  <c r="X19" i="64"/>
  <c r="L33" i="65"/>
  <c r="N33" i="65" s="1"/>
  <c r="Z58" i="65"/>
  <c r="L66" i="65"/>
  <c r="N66" i="65" s="1"/>
  <c r="X53" i="67"/>
  <c r="Z53" i="67" s="1"/>
  <c r="J23" i="63"/>
  <c r="F24" i="63"/>
  <c r="J33" i="63"/>
  <c r="J39" i="63"/>
  <c r="F40" i="63"/>
  <c r="J43" i="63"/>
  <c r="F44" i="63"/>
  <c r="J51" i="63"/>
  <c r="F52" i="63"/>
  <c r="F55" i="63"/>
  <c r="J57" i="63"/>
  <c r="F60" i="63"/>
  <c r="J63" i="63"/>
  <c r="F72" i="63"/>
  <c r="J75" i="63"/>
  <c r="F76" i="63"/>
  <c r="F80" i="63"/>
  <c r="F86" i="63"/>
  <c r="H16" i="64"/>
  <c r="F19" i="64"/>
  <c r="J21" i="64"/>
  <c r="F24" i="64"/>
  <c r="J27" i="64"/>
  <c r="J31" i="64"/>
  <c r="J37" i="64"/>
  <c r="J85" i="65"/>
  <c r="J78" i="65"/>
  <c r="J72" i="65"/>
  <c r="J81" i="65"/>
  <c r="J87" i="65"/>
  <c r="J74" i="65"/>
  <c r="J84" i="65"/>
  <c r="J77" i="65"/>
  <c r="J71" i="65"/>
  <c r="J20" i="65"/>
  <c r="V24" i="65"/>
  <c r="J28" i="65"/>
  <c r="T31" i="65"/>
  <c r="J36" i="65"/>
  <c r="V40" i="65"/>
  <c r="J44" i="65"/>
  <c r="J48" i="65"/>
  <c r="V52" i="65"/>
  <c r="V56" i="65"/>
  <c r="J58" i="65"/>
  <c r="V64" i="65"/>
  <c r="J66" i="65"/>
  <c r="J73" i="65"/>
  <c r="X74" i="65"/>
  <c r="Z74" i="65" s="1"/>
  <c r="J83" i="65"/>
  <c r="J20" i="67"/>
  <c r="J28" i="67"/>
  <c r="J36" i="67"/>
  <c r="J51" i="67"/>
  <c r="J65" i="67"/>
  <c r="J66" i="67"/>
  <c r="Z72" i="67"/>
  <c r="Z81" i="67"/>
  <c r="H79" i="68"/>
  <c r="J79" i="68" s="1"/>
  <c r="N49" i="68"/>
  <c r="Z58" i="68"/>
  <c r="X64" i="68"/>
  <c r="Z64" i="68" s="1"/>
  <c r="V66" i="69"/>
  <c r="J18" i="63"/>
  <c r="J24" i="63"/>
  <c r="F25" i="63"/>
  <c r="F32" i="63"/>
  <c r="J40" i="63"/>
  <c r="F41" i="63"/>
  <c r="J44" i="63"/>
  <c r="F45" i="63"/>
  <c r="J52" i="63"/>
  <c r="J60" i="63"/>
  <c r="F61" i="63"/>
  <c r="F64" i="63"/>
  <c r="J66" i="63"/>
  <c r="F69" i="63"/>
  <c r="J72" i="63"/>
  <c r="F73" i="63"/>
  <c r="J76" i="63"/>
  <c r="F77" i="63"/>
  <c r="J80" i="63"/>
  <c r="F82" i="63"/>
  <c r="J86" i="63"/>
  <c r="J24" i="64"/>
  <c r="F28" i="64"/>
  <c r="V25" i="65"/>
  <c r="V31" i="65"/>
  <c r="V41" i="65"/>
  <c r="V45" i="65"/>
  <c r="J49" i="65"/>
  <c r="V53" i="65"/>
  <c r="V57" i="65"/>
  <c r="J61" i="65"/>
  <c r="V65" i="65"/>
  <c r="J69" i="65"/>
  <c r="J79" i="65"/>
  <c r="J27" i="67"/>
  <c r="J35" i="67"/>
  <c r="N42" i="67"/>
  <c r="J49" i="67"/>
  <c r="N74" i="67"/>
  <c r="N86" i="67"/>
  <c r="J72" i="68"/>
  <c r="J25" i="63"/>
  <c r="F26" i="63"/>
  <c r="F34" i="63"/>
  <c r="J41" i="63"/>
  <c r="J45" i="63"/>
  <c r="F46" i="63"/>
  <c r="F53" i="63"/>
  <c r="J55" i="63"/>
  <c r="F58" i="63"/>
  <c r="J61" i="63"/>
  <c r="J69" i="63"/>
  <c r="F70" i="63"/>
  <c r="J73" i="63"/>
  <c r="J77" i="63"/>
  <c r="F78" i="63"/>
  <c r="J19" i="64"/>
  <c r="F22" i="64"/>
  <c r="F25" i="64"/>
  <c r="F33" i="64"/>
  <c r="F40" i="64"/>
  <c r="V26" i="65"/>
  <c r="V34" i="65"/>
  <c r="J38" i="65"/>
  <c r="V42" i="65"/>
  <c r="V46" i="65"/>
  <c r="J50" i="65"/>
  <c r="V54" i="65"/>
  <c r="J56" i="65"/>
  <c r="V62" i="65"/>
  <c r="J64" i="65"/>
  <c r="J70" i="65"/>
  <c r="J80" i="65"/>
  <c r="V87" i="65"/>
  <c r="J99" i="67"/>
  <c r="J89" i="67"/>
  <c r="J85" i="67"/>
  <c r="J79" i="67"/>
  <c r="J73" i="67"/>
  <c r="J105" i="67"/>
  <c r="J96" i="67"/>
  <c r="J92" i="67"/>
  <c r="J88" i="67"/>
  <c r="J84" i="67"/>
  <c r="J76" i="67"/>
  <c r="J70" i="67"/>
  <c r="J60" i="67"/>
  <c r="J48" i="67"/>
  <c r="J32" i="67"/>
  <c r="J24" i="67"/>
  <c r="J95" i="67"/>
  <c r="J91" i="67"/>
  <c r="J87" i="67"/>
  <c r="J81" i="67"/>
  <c r="J75" i="67"/>
  <c r="J67" i="67"/>
  <c r="J59" i="67"/>
  <c r="J53" i="67"/>
  <c r="J47" i="67"/>
  <c r="H40" i="67"/>
  <c r="J40" i="67" s="1"/>
  <c r="J31" i="67"/>
  <c r="J23" i="67"/>
  <c r="J102" i="67"/>
  <c r="J98" i="67"/>
  <c r="J94" i="67"/>
  <c r="J78" i="67"/>
  <c r="J72" i="67"/>
  <c r="J64" i="67"/>
  <c r="J58" i="67"/>
  <c r="J46" i="67"/>
  <c r="J38" i="67"/>
  <c r="J30" i="67"/>
  <c r="J22" i="67"/>
  <c r="J109" i="67"/>
  <c r="J104" i="67"/>
  <c r="J83" i="67"/>
  <c r="J69" i="67"/>
  <c r="J57" i="67"/>
  <c r="J45" i="67"/>
  <c r="J37" i="67"/>
  <c r="J29" i="67"/>
  <c r="J21" i="67"/>
  <c r="J100" i="67"/>
  <c r="J90" i="67"/>
  <c r="J86" i="67"/>
  <c r="J80" i="67"/>
  <c r="J97" i="67"/>
  <c r="J93" i="67"/>
  <c r="J77" i="67"/>
  <c r="J71" i="67"/>
  <c r="J63" i="67"/>
  <c r="J55" i="67"/>
  <c r="J25" i="67"/>
  <c r="J26" i="67"/>
  <c r="J33" i="67"/>
  <c r="J34" i="67"/>
  <c r="J42" i="67"/>
  <c r="J54" i="67"/>
  <c r="J74" i="67"/>
  <c r="J82" i="67"/>
  <c r="Z83" i="67"/>
  <c r="X83" i="67"/>
  <c r="V83" i="67"/>
  <c r="L93" i="67"/>
  <c r="N93" i="67" s="1"/>
  <c r="N97" i="67"/>
  <c r="L97" i="67"/>
  <c r="V33" i="69"/>
  <c r="F19" i="63"/>
  <c r="J26" i="63"/>
  <c r="F27" i="63"/>
  <c r="J32" i="63"/>
  <c r="J34" i="63"/>
  <c r="F35" i="63"/>
  <c r="F42" i="63"/>
  <c r="J46" i="63"/>
  <c r="F47" i="63"/>
  <c r="J58" i="63"/>
  <c r="F62" i="63"/>
  <c r="J64" i="63"/>
  <c r="F67" i="63"/>
  <c r="J70" i="63"/>
  <c r="F74" i="63"/>
  <c r="J78" i="63"/>
  <c r="J82" i="63"/>
  <c r="F14" i="64"/>
  <c r="F18" i="64"/>
  <c r="J22" i="64"/>
  <c r="J28" i="64"/>
  <c r="P12" i="65"/>
  <c r="V19" i="65"/>
  <c r="V27" i="65"/>
  <c r="V35" i="65"/>
  <c r="J39" i="65"/>
  <c r="V43" i="65"/>
  <c r="J45" i="65"/>
  <c r="V47" i="65"/>
  <c r="J51" i="65"/>
  <c r="V55" i="65"/>
  <c r="J59" i="65"/>
  <c r="V63" i="65"/>
  <c r="J67" i="65"/>
  <c r="V71" i="65"/>
  <c r="V74" i="65"/>
  <c r="N77" i="65"/>
  <c r="J91" i="65"/>
  <c r="J43" i="67"/>
  <c r="J44" i="67"/>
  <c r="V66" i="67"/>
  <c r="N26" i="68"/>
  <c r="L26" i="68"/>
  <c r="J26" i="68"/>
  <c r="Z49" i="68"/>
  <c r="N51" i="68"/>
  <c r="F48" i="63"/>
  <c r="J53" i="63"/>
  <c r="F56" i="63"/>
  <c r="F59" i="63"/>
  <c r="J67" i="63"/>
  <c r="F71" i="63"/>
  <c r="F79" i="63"/>
  <c r="V86" i="65"/>
  <c r="V70" i="65"/>
  <c r="V91" i="65"/>
  <c r="V83" i="65"/>
  <c r="V73" i="65"/>
  <c r="V76" i="65"/>
  <c r="V72" i="65"/>
  <c r="V85" i="65"/>
  <c r="V79" i="65"/>
  <c r="V75" i="65"/>
  <c r="V20" i="65"/>
  <c r="V28" i="65"/>
  <c r="V36" i="65"/>
  <c r="V44" i="65"/>
  <c r="V48" i="65"/>
  <c r="V60" i="65"/>
  <c r="J62" i="65"/>
  <c r="V68" i="65"/>
  <c r="J76" i="65"/>
  <c r="V81" i="65"/>
  <c r="P12" i="67"/>
  <c r="X16" i="67"/>
  <c r="J61" i="67"/>
  <c r="J62" i="67"/>
  <c r="Z66" i="67"/>
  <c r="V75" i="69"/>
  <c r="V71" i="69"/>
  <c r="V63" i="69"/>
  <c r="V55" i="69"/>
  <c r="V47" i="69"/>
  <c r="V43" i="69"/>
  <c r="V35" i="69"/>
  <c r="V62" i="69"/>
  <c r="V54" i="69"/>
  <c r="V46" i="69"/>
  <c r="V77" i="69"/>
  <c r="V65" i="69"/>
  <c r="V57" i="69"/>
  <c r="V53" i="69"/>
  <c r="V45" i="69"/>
  <c r="V41" i="69"/>
  <c r="V74" i="69"/>
  <c r="V64" i="69"/>
  <c r="V56" i="69"/>
  <c r="V52" i="69"/>
  <c r="V40" i="69"/>
  <c r="V67" i="69"/>
  <c r="V59" i="69"/>
  <c r="V51" i="69"/>
  <c r="V39" i="69"/>
  <c r="V81" i="69"/>
  <c r="V69" i="69"/>
  <c r="V61" i="69"/>
  <c r="V49" i="69"/>
  <c r="V72" i="69"/>
  <c r="V68" i="69"/>
  <c r="V60" i="69"/>
  <c r="V58" i="69"/>
  <c r="V44" i="69"/>
  <c r="V37" i="69"/>
  <c r="V27" i="69"/>
  <c r="V19" i="69"/>
  <c r="V48" i="69"/>
  <c r="V38" i="69"/>
  <c r="V26" i="69"/>
  <c r="V42" i="69"/>
  <c r="V34" i="69"/>
  <c r="V25" i="69"/>
  <c r="V70" i="69"/>
  <c r="T31" i="69"/>
  <c r="V24" i="69"/>
  <c r="V23" i="69"/>
  <c r="V22" i="69"/>
  <c r="Z12" i="69"/>
  <c r="V76" i="69"/>
  <c r="V36" i="69"/>
  <c r="V29" i="69"/>
  <c r="V21" i="69"/>
  <c r="V28" i="69"/>
  <c r="Z52" i="71"/>
  <c r="N12" i="63"/>
  <c r="J20" i="63"/>
  <c r="F21" i="63"/>
  <c r="J28" i="63"/>
  <c r="F30" i="63"/>
  <c r="J36" i="63"/>
  <c r="F37" i="63"/>
  <c r="J42" i="63"/>
  <c r="J48" i="63"/>
  <c r="F49" i="63"/>
  <c r="J56" i="63"/>
  <c r="J62" i="63"/>
  <c r="F65" i="63"/>
  <c r="F68" i="63"/>
  <c r="N12" i="64"/>
  <c r="J14" i="64"/>
  <c r="J18" i="64"/>
  <c r="F29" i="64"/>
  <c r="J19" i="65"/>
  <c r="V21" i="65"/>
  <c r="J25" i="65"/>
  <c r="V29" i="65"/>
  <c r="V33" i="65"/>
  <c r="V37" i="65"/>
  <c r="J41" i="65"/>
  <c r="V49" i="65"/>
  <c r="J53" i="65"/>
  <c r="J57" i="65"/>
  <c r="V61" i="65"/>
  <c r="J65" i="65"/>
  <c r="V69" i="65"/>
  <c r="Z72" i="65"/>
  <c r="J75" i="65"/>
  <c r="V78" i="65"/>
  <c r="V80" i="65"/>
  <c r="J89" i="65"/>
  <c r="J56" i="67"/>
  <c r="Z64" i="67"/>
  <c r="N72" i="67"/>
  <c r="N77" i="67"/>
  <c r="L77" i="67"/>
  <c r="V20" i="69"/>
  <c r="V20" i="68"/>
  <c r="V28" i="68"/>
  <c r="V40" i="68"/>
  <c r="V52" i="68"/>
  <c r="V64" i="68"/>
  <c r="X12" i="69"/>
  <c r="R22" i="69"/>
  <c r="X33" i="69"/>
  <c r="Z33" i="69" s="1"/>
  <c r="L25" i="70"/>
  <c r="N22" i="71"/>
  <c r="N46" i="71"/>
  <c r="T29" i="72"/>
  <c r="Z16" i="72"/>
  <c r="V41" i="68"/>
  <c r="V49" i="68"/>
  <c r="V65" i="68"/>
  <c r="V69" i="68"/>
  <c r="V73" i="68"/>
  <c r="R23" i="69"/>
  <c r="P31" i="69"/>
  <c r="V25" i="67"/>
  <c r="V33" i="67"/>
  <c r="T40" i="67"/>
  <c r="V49" i="67"/>
  <c r="V53" i="67"/>
  <c r="V61" i="67"/>
  <c r="V65" i="67"/>
  <c r="V73" i="67"/>
  <c r="V81" i="67"/>
  <c r="V85" i="67"/>
  <c r="V89" i="67"/>
  <c r="V105" i="67"/>
  <c r="V30" i="68"/>
  <c r="J34" i="68"/>
  <c r="J38" i="68"/>
  <c r="V42" i="68"/>
  <c r="J46" i="68"/>
  <c r="V50" i="68"/>
  <c r="J54" i="68"/>
  <c r="V58" i="68"/>
  <c r="V62" i="68"/>
  <c r="J64" i="68"/>
  <c r="V66" i="68"/>
  <c r="V70" i="68"/>
  <c r="D12" i="69"/>
  <c r="R24" i="69"/>
  <c r="J27" i="69"/>
  <c r="R31" i="69"/>
  <c r="R34" i="69"/>
  <c r="R35" i="69"/>
  <c r="R39" i="69"/>
  <c r="R49" i="69"/>
  <c r="R56" i="69"/>
  <c r="R59" i="69"/>
  <c r="R67" i="69"/>
  <c r="J82" i="73"/>
  <c r="J78" i="73"/>
  <c r="J86" i="73"/>
  <c r="J80" i="73"/>
  <c r="J76" i="73"/>
  <c r="J79" i="73"/>
  <c r="J75" i="73"/>
  <c r="J59" i="73"/>
  <c r="J45" i="73"/>
  <c r="J39" i="73"/>
  <c r="J27" i="73"/>
  <c r="J19" i="73"/>
  <c r="J77" i="73"/>
  <c r="J74" i="73"/>
  <c r="J56" i="73"/>
  <c r="J50" i="73"/>
  <c r="J38" i="73"/>
  <c r="J26" i="73"/>
  <c r="J18" i="73"/>
  <c r="J73" i="73"/>
  <c r="J69" i="73"/>
  <c r="J65" i="73"/>
  <c r="J61" i="73"/>
  <c r="J53" i="73"/>
  <c r="J47" i="73"/>
  <c r="J37" i="73"/>
  <c r="J33" i="73"/>
  <c r="J25" i="73"/>
  <c r="J23" i="73"/>
  <c r="J17" i="73"/>
  <c r="J72" i="73"/>
  <c r="J68" i="73"/>
  <c r="J64" i="73"/>
  <c r="J58" i="73"/>
  <c r="J52" i="73"/>
  <c r="J44" i="73"/>
  <c r="J36" i="73"/>
  <c r="J32" i="73"/>
  <c r="J71" i="73"/>
  <c r="J67" i="73"/>
  <c r="J63" i="73"/>
  <c r="J55" i="73"/>
  <c r="J49" i="73"/>
  <c r="J43" i="73"/>
  <c r="J35" i="73"/>
  <c r="J31" i="73"/>
  <c r="J57" i="73"/>
  <c r="J51" i="73"/>
  <c r="J41" i="73"/>
  <c r="J29" i="73"/>
  <c r="J21" i="73"/>
  <c r="J70" i="73"/>
  <c r="J66" i="73"/>
  <c r="J62" i="73"/>
  <c r="J54" i="73"/>
  <c r="J48" i="73"/>
  <c r="J40" i="73"/>
  <c r="J34" i="73"/>
  <c r="J28" i="73"/>
  <c r="H21" i="73"/>
  <c r="L16" i="74"/>
  <c r="D12" i="74"/>
  <c r="T28" i="80"/>
  <c r="Z16" i="80"/>
  <c r="V26" i="67"/>
  <c r="V34" i="67"/>
  <c r="V40" i="67"/>
  <c r="V50" i="67"/>
  <c r="V54" i="67"/>
  <c r="V62" i="67"/>
  <c r="V70" i="67"/>
  <c r="V82" i="67"/>
  <c r="D12" i="68"/>
  <c r="J25" i="68"/>
  <c r="J27" i="68"/>
  <c r="V31" i="68"/>
  <c r="J35" i="68"/>
  <c r="J39" i="68"/>
  <c r="V43" i="68"/>
  <c r="V47" i="68"/>
  <c r="J49" i="68"/>
  <c r="J55" i="68"/>
  <c r="V59" i="68"/>
  <c r="V63" i="68"/>
  <c r="V67" i="68"/>
  <c r="J69" i="68"/>
  <c r="J67" i="69"/>
  <c r="J59" i="69"/>
  <c r="J51" i="69"/>
  <c r="J45" i="69"/>
  <c r="J39" i="69"/>
  <c r="J74" i="69"/>
  <c r="J70" i="69"/>
  <c r="J64" i="69"/>
  <c r="J56" i="69"/>
  <c r="J50" i="69"/>
  <c r="J81" i="69"/>
  <c r="J76" i="69"/>
  <c r="J69" i="69"/>
  <c r="J61" i="69"/>
  <c r="J49" i="69"/>
  <c r="J37" i="69"/>
  <c r="J72" i="69"/>
  <c r="J66" i="69"/>
  <c r="J58" i="69"/>
  <c r="J48" i="69"/>
  <c r="J44" i="69"/>
  <c r="J36" i="69"/>
  <c r="J63" i="69"/>
  <c r="J55" i="69"/>
  <c r="J47" i="69"/>
  <c r="J43" i="69"/>
  <c r="J71" i="69"/>
  <c r="J65" i="69"/>
  <c r="J57" i="69"/>
  <c r="J53" i="69"/>
  <c r="J41" i="69"/>
  <c r="J77" i="69"/>
  <c r="J62" i="69"/>
  <c r="J20" i="69"/>
  <c r="R25" i="69"/>
  <c r="J28" i="69"/>
  <c r="N45" i="69"/>
  <c r="J54" i="69"/>
  <c r="N55" i="71"/>
  <c r="N65" i="71"/>
  <c r="J24" i="73"/>
  <c r="J46" i="73"/>
  <c r="X47" i="73"/>
  <c r="L49" i="73"/>
  <c r="N49" i="73" s="1"/>
  <c r="V27" i="67"/>
  <c r="V35" i="67"/>
  <c r="V43" i="67"/>
  <c r="V51" i="67"/>
  <c r="V55" i="67"/>
  <c r="V63" i="67"/>
  <c r="V71" i="67"/>
  <c r="V79" i="67"/>
  <c r="V99" i="67"/>
  <c r="V103" i="67"/>
  <c r="J20" i="68"/>
  <c r="T23" i="68"/>
  <c r="V23" i="68" s="1"/>
  <c r="J28" i="68"/>
  <c r="V32" i="68"/>
  <c r="V36" i="68"/>
  <c r="J40" i="68"/>
  <c r="V44" i="68"/>
  <c r="V48" i="68"/>
  <c r="J52" i="68"/>
  <c r="V56" i="68"/>
  <c r="J58" i="68"/>
  <c r="V60" i="68"/>
  <c r="J62" i="68"/>
  <c r="V68" i="68"/>
  <c r="J73" i="68"/>
  <c r="R19" i="69"/>
  <c r="J21" i="69"/>
  <c r="R26" i="69"/>
  <c r="J29" i="69"/>
  <c r="R38" i="69"/>
  <c r="R64" i="69"/>
  <c r="J42" i="73"/>
  <c r="V20" i="67"/>
  <c r="V28" i="67"/>
  <c r="V36" i="67"/>
  <c r="V44" i="67"/>
  <c r="V52" i="67"/>
  <c r="V56" i="67"/>
  <c r="V68" i="67"/>
  <c r="V80" i="67"/>
  <c r="J21" i="68"/>
  <c r="J29" i="68"/>
  <c r="V33" i="68"/>
  <c r="V37" i="68"/>
  <c r="J41" i="68"/>
  <c r="V45" i="68"/>
  <c r="J47" i="68"/>
  <c r="V53" i="68"/>
  <c r="V57" i="68"/>
  <c r="V61" i="68"/>
  <c r="D72" i="68"/>
  <c r="L72" i="68" s="1"/>
  <c r="N72" i="68" s="1"/>
  <c r="V77" i="68"/>
  <c r="J22" i="69"/>
  <c r="R27" i="69"/>
  <c r="H31" i="69"/>
  <c r="R37" i="69"/>
  <c r="J40" i="69"/>
  <c r="N52" i="71"/>
  <c r="L13" i="73"/>
  <c r="N13" i="73" s="1"/>
  <c r="D12" i="73"/>
  <c r="J16" i="73"/>
  <c r="N23" i="73"/>
  <c r="R28" i="75"/>
  <c r="R20" i="75"/>
  <c r="R24" i="75"/>
  <c r="R19" i="75"/>
  <c r="R32" i="75"/>
  <c r="R26" i="75"/>
  <c r="R18" i="75"/>
  <c r="X12" i="75"/>
  <c r="P22" i="75"/>
  <c r="R25" i="75"/>
  <c r="R17" i="75"/>
  <c r="V26" i="68"/>
  <c r="V34" i="68"/>
  <c r="V38" i="68"/>
  <c r="V46" i="68"/>
  <c r="V54" i="68"/>
  <c r="R72" i="69"/>
  <c r="R48" i="69"/>
  <c r="R44" i="69"/>
  <c r="R36" i="69"/>
  <c r="R33" i="69"/>
  <c r="R75" i="69"/>
  <c r="R68" i="69"/>
  <c r="R63" i="69"/>
  <c r="R60" i="69"/>
  <c r="R55" i="69"/>
  <c r="R47" i="69"/>
  <c r="R43" i="69"/>
  <c r="R71" i="69"/>
  <c r="R54" i="69"/>
  <c r="R46" i="69"/>
  <c r="R42" i="69"/>
  <c r="R77" i="69"/>
  <c r="R65" i="69"/>
  <c r="R62" i="69"/>
  <c r="R57" i="69"/>
  <c r="R53" i="69"/>
  <c r="R41" i="69"/>
  <c r="R52" i="69"/>
  <c r="R45" i="69"/>
  <c r="R40" i="69"/>
  <c r="R76" i="69"/>
  <c r="R70" i="69"/>
  <c r="R50" i="69"/>
  <c r="R81" i="69"/>
  <c r="R69" i="69"/>
  <c r="R66" i="69"/>
  <c r="R61" i="69"/>
  <c r="R58" i="69"/>
  <c r="R20" i="69"/>
  <c r="R28" i="69"/>
  <c r="L29" i="70"/>
  <c r="X20" i="71"/>
  <c r="P72" i="71"/>
  <c r="X52" i="71"/>
  <c r="N60" i="71"/>
  <c r="N12" i="72"/>
  <c r="H29" i="72"/>
  <c r="X23" i="73"/>
  <c r="Z23" i="73" s="1"/>
  <c r="Z49" i="73"/>
  <c r="N60" i="73"/>
  <c r="J16" i="70"/>
  <c r="J20" i="70"/>
  <c r="J23" i="71"/>
  <c r="J29" i="71"/>
  <c r="F30" i="71"/>
  <c r="F34" i="71"/>
  <c r="V37" i="71"/>
  <c r="R38" i="71"/>
  <c r="J41" i="71"/>
  <c r="F42" i="71"/>
  <c r="J45" i="71"/>
  <c r="V49" i="71"/>
  <c r="J53" i="71"/>
  <c r="F54" i="71"/>
  <c r="R55" i="71"/>
  <c r="F57" i="71"/>
  <c r="V57" i="71"/>
  <c r="R58" i="71"/>
  <c r="V61" i="71"/>
  <c r="R62" i="71"/>
  <c r="F65" i="71"/>
  <c r="V65" i="71"/>
  <c r="R66" i="71"/>
  <c r="J67" i="71"/>
  <c r="V19" i="72"/>
  <c r="V23" i="72"/>
  <c r="V29" i="72"/>
  <c r="V32" i="73"/>
  <c r="V36" i="73"/>
  <c r="V44" i="73"/>
  <c r="V52" i="73"/>
  <c r="V60" i="73"/>
  <c r="V64" i="73"/>
  <c r="V68" i="73"/>
  <c r="V72" i="73"/>
  <c r="N76" i="73"/>
  <c r="N18" i="74"/>
  <c r="X80" i="74"/>
  <c r="Z80" i="74" s="1"/>
  <c r="N82" i="74"/>
  <c r="L82" i="74"/>
  <c r="Z16" i="77"/>
  <c r="T26" i="77"/>
  <c r="P74" i="69"/>
  <c r="X74" i="69" s="1"/>
  <c r="Z74" i="69" s="1"/>
  <c r="L12" i="70"/>
  <c r="D18" i="70"/>
  <c r="T18" i="70"/>
  <c r="F25" i="70"/>
  <c r="V25" i="70"/>
  <c r="F29" i="70"/>
  <c r="V29" i="70"/>
  <c r="F33" i="70"/>
  <c r="V33" i="70"/>
  <c r="F36" i="70"/>
  <c r="V36" i="70"/>
  <c r="J16" i="71"/>
  <c r="F22" i="71"/>
  <c r="V22" i="71"/>
  <c r="V26" i="71"/>
  <c r="R27" i="71"/>
  <c r="J30" i="71"/>
  <c r="F31" i="71"/>
  <c r="J34" i="71"/>
  <c r="F35" i="71"/>
  <c r="V38" i="71"/>
  <c r="R39" i="71"/>
  <c r="J42" i="71"/>
  <c r="F43" i="71"/>
  <c r="R44" i="71"/>
  <c r="F46" i="71"/>
  <c r="V46" i="71"/>
  <c r="R47" i="71"/>
  <c r="J48" i="71"/>
  <c r="F51" i="71"/>
  <c r="R52" i="71"/>
  <c r="J54" i="71"/>
  <c r="V58" i="71"/>
  <c r="R59" i="71"/>
  <c r="J60" i="71"/>
  <c r="V62" i="71"/>
  <c r="R63" i="71"/>
  <c r="V66" i="71"/>
  <c r="R70" i="71"/>
  <c r="R76" i="71"/>
  <c r="R16" i="72"/>
  <c r="V49" i="73"/>
  <c r="V53" i="73"/>
  <c r="V61" i="73"/>
  <c r="V65" i="73"/>
  <c r="V69" i="73"/>
  <c r="V73" i="73"/>
  <c r="V77" i="73"/>
  <c r="V79" i="73"/>
  <c r="N85" i="74"/>
  <c r="N56" i="76"/>
  <c r="Z81" i="76"/>
  <c r="Z36" i="82"/>
  <c r="X36" i="82"/>
  <c r="D74" i="69"/>
  <c r="L74" i="69" s="1"/>
  <c r="N74" i="69" s="1"/>
  <c r="J15" i="70"/>
  <c r="H18" i="70"/>
  <c r="F21" i="70"/>
  <c r="V21" i="70"/>
  <c r="J25" i="70"/>
  <c r="R27" i="70"/>
  <c r="J29" i="70"/>
  <c r="R31" i="70"/>
  <c r="J33" i="70"/>
  <c r="R34" i="70"/>
  <c r="J36" i="70"/>
  <c r="N12" i="71"/>
  <c r="F17" i="71"/>
  <c r="R20" i="71"/>
  <c r="J22" i="71"/>
  <c r="J24" i="71"/>
  <c r="F25" i="71"/>
  <c r="V28" i="71"/>
  <c r="R29" i="71"/>
  <c r="J32" i="71"/>
  <c r="J36" i="71"/>
  <c r="F37" i="71"/>
  <c r="V40" i="71"/>
  <c r="R41" i="71"/>
  <c r="F44" i="71"/>
  <c r="V44" i="71"/>
  <c r="R45" i="71"/>
  <c r="J46" i="71"/>
  <c r="F49" i="71"/>
  <c r="R50" i="71"/>
  <c r="F52" i="71"/>
  <c r="V52" i="71"/>
  <c r="R53" i="71"/>
  <c r="X55" i="71"/>
  <c r="Z55" i="71" s="1"/>
  <c r="V56" i="71"/>
  <c r="L57" i="71"/>
  <c r="N57" i="71" s="1"/>
  <c r="F61" i="71"/>
  <c r="V64" i="71"/>
  <c r="L65" i="71"/>
  <c r="J68" i="71"/>
  <c r="F70" i="71"/>
  <c r="V70" i="71"/>
  <c r="J74" i="71"/>
  <c r="F76" i="71"/>
  <c r="Z12" i="72"/>
  <c r="F16" i="72"/>
  <c r="V16" i="72"/>
  <c r="R17" i="72"/>
  <c r="R27" i="72"/>
  <c r="V19" i="73"/>
  <c r="V23" i="73"/>
  <c r="L24" i="73"/>
  <c r="N24" i="73" s="1"/>
  <c r="V27" i="73"/>
  <c r="V39" i="73"/>
  <c r="V47" i="73"/>
  <c r="X58" i="73"/>
  <c r="Z58" i="73" s="1"/>
  <c r="V59" i="73"/>
  <c r="L60" i="73"/>
  <c r="V75" i="73"/>
  <c r="Z76" i="73"/>
  <c r="Z50" i="74"/>
  <c r="D30" i="75"/>
  <c r="F30" i="75" s="1"/>
  <c r="R75" i="76"/>
  <c r="R71" i="76"/>
  <c r="R67" i="76"/>
  <c r="R63" i="76"/>
  <c r="R60" i="76"/>
  <c r="R55" i="76"/>
  <c r="R39" i="76"/>
  <c r="R35" i="76"/>
  <c r="R27" i="76"/>
  <c r="R19" i="76"/>
  <c r="R86" i="76"/>
  <c r="R83" i="76"/>
  <c r="R74" i="76"/>
  <c r="R66" i="76"/>
  <c r="R54" i="76"/>
  <c r="R51" i="76"/>
  <c r="R46" i="76"/>
  <c r="R38" i="76"/>
  <c r="R34" i="76"/>
  <c r="R89" i="76"/>
  <c r="R73" i="76"/>
  <c r="R70" i="76"/>
  <c r="R62" i="76"/>
  <c r="R57" i="76"/>
  <c r="R45" i="76"/>
  <c r="R37" i="76"/>
  <c r="R33" i="76"/>
  <c r="R26" i="76"/>
  <c r="R18" i="76"/>
  <c r="R85" i="76"/>
  <c r="R80" i="76"/>
  <c r="R65" i="76"/>
  <c r="R53" i="76"/>
  <c r="R48" i="76"/>
  <c r="R44" i="76"/>
  <c r="R32" i="76"/>
  <c r="R79" i="76"/>
  <c r="R72" i="76"/>
  <c r="R59" i="76"/>
  <c r="R56" i="76"/>
  <c r="R43" i="76"/>
  <c r="R36" i="76"/>
  <c r="R31" i="76"/>
  <c r="P23" i="76"/>
  <c r="R93" i="76"/>
  <c r="R88" i="76"/>
  <c r="R77" i="76"/>
  <c r="R69" i="76"/>
  <c r="R61" i="76"/>
  <c r="R58" i="76"/>
  <c r="R41" i="76"/>
  <c r="R29" i="76"/>
  <c r="R21" i="76"/>
  <c r="R84" i="76"/>
  <c r="R81" i="76"/>
  <c r="R76" i="76"/>
  <c r="R68" i="76"/>
  <c r="R64" i="76"/>
  <c r="R52" i="76"/>
  <c r="R49" i="76"/>
  <c r="R40" i="76"/>
  <c r="R28" i="76"/>
  <c r="R25" i="76"/>
  <c r="R20" i="76"/>
  <c r="X12" i="76"/>
  <c r="Z12" i="76" s="1"/>
  <c r="F46" i="76"/>
  <c r="F86" i="76"/>
  <c r="X88" i="76"/>
  <c r="X21" i="77"/>
  <c r="R16" i="70"/>
  <c r="J18" i="70"/>
  <c r="R20" i="70"/>
  <c r="F24" i="70"/>
  <c r="V24" i="70"/>
  <c r="J17" i="71"/>
  <c r="F18" i="71"/>
  <c r="D20" i="71"/>
  <c r="T20" i="71"/>
  <c r="R23" i="71"/>
  <c r="J25" i="71"/>
  <c r="F26" i="71"/>
  <c r="V29" i="71"/>
  <c r="R30" i="71"/>
  <c r="F33" i="71"/>
  <c r="V33" i="71"/>
  <c r="R34" i="71"/>
  <c r="J37" i="71"/>
  <c r="F38" i="71"/>
  <c r="V41" i="71"/>
  <c r="R42" i="71"/>
  <c r="V45" i="71"/>
  <c r="J49" i="71"/>
  <c r="V53" i="71"/>
  <c r="R54" i="71"/>
  <c r="J55" i="71"/>
  <c r="F58" i="71"/>
  <c r="J61" i="71"/>
  <c r="F62" i="71"/>
  <c r="F66" i="71"/>
  <c r="R67" i="71"/>
  <c r="V17" i="72"/>
  <c r="F21" i="72"/>
  <c r="V21" i="72"/>
  <c r="V25" i="72"/>
  <c r="V27" i="72"/>
  <c r="V28" i="73"/>
  <c r="V40" i="73"/>
  <c r="V48" i="73"/>
  <c r="V56" i="73"/>
  <c r="N52" i="74"/>
  <c r="Z63" i="74"/>
  <c r="T30" i="75"/>
  <c r="N26" i="76"/>
  <c r="F38" i="76"/>
  <c r="F66" i="76"/>
  <c r="J79" i="78"/>
  <c r="J69" i="78"/>
  <c r="J61" i="78"/>
  <c r="J57" i="78"/>
  <c r="J53" i="78"/>
  <c r="J45" i="78"/>
  <c r="J39" i="78"/>
  <c r="J31" i="78"/>
  <c r="J27" i="78"/>
  <c r="J66" i="78"/>
  <c r="J50" i="78"/>
  <c r="J38" i="78"/>
  <c r="J30" i="78"/>
  <c r="J77" i="78"/>
  <c r="J63" i="78"/>
  <c r="J47" i="78"/>
  <c r="J41" i="78"/>
  <c r="J37" i="78"/>
  <c r="J72" i="78"/>
  <c r="J68" i="78"/>
  <c r="J60" i="78"/>
  <c r="J56" i="78"/>
  <c r="J52" i="78"/>
  <c r="J44" i="78"/>
  <c r="J36" i="78"/>
  <c r="J82" i="78"/>
  <c r="J75" i="78"/>
  <c r="J65" i="78"/>
  <c r="J59" i="78"/>
  <c r="J55" i="78"/>
  <c r="J49" i="78"/>
  <c r="J43" i="78"/>
  <c r="J35" i="78"/>
  <c r="J29" i="78"/>
  <c r="J23" i="78"/>
  <c r="J70" i="78"/>
  <c r="J62" i="78"/>
  <c r="J58" i="78"/>
  <c r="J54" i="78"/>
  <c r="J46" i="78"/>
  <c r="J40" i="78"/>
  <c r="J34" i="78"/>
  <c r="J67" i="78"/>
  <c r="J51" i="78"/>
  <c r="J21" i="78"/>
  <c r="J20" i="78"/>
  <c r="J19" i="78"/>
  <c r="H16" i="78"/>
  <c r="J32" i="78"/>
  <c r="J22" i="78"/>
  <c r="J73" i="78"/>
  <c r="J64" i="78"/>
  <c r="J42" i="78"/>
  <c r="J33" i="78"/>
  <c r="J26" i="78"/>
  <c r="J24" i="78"/>
  <c r="J25" i="78"/>
  <c r="J18" i="78"/>
  <c r="J14" i="78"/>
  <c r="N12" i="78"/>
  <c r="L12" i="78"/>
  <c r="J28" i="78"/>
  <c r="J48" i="78"/>
  <c r="J16" i="78"/>
  <c r="X12" i="70"/>
  <c r="J21" i="70"/>
  <c r="F27" i="70"/>
  <c r="V27" i="70"/>
  <c r="F31" i="70"/>
  <c r="V31" i="70"/>
  <c r="R16" i="71"/>
  <c r="J18" i="71"/>
  <c r="F20" i="71"/>
  <c r="V20" i="71"/>
  <c r="J26" i="71"/>
  <c r="F27" i="71"/>
  <c r="V30" i="71"/>
  <c r="R31" i="71"/>
  <c r="V34" i="71"/>
  <c r="R35" i="71"/>
  <c r="J38" i="71"/>
  <c r="F39" i="71"/>
  <c r="V42" i="71"/>
  <c r="R43" i="71"/>
  <c r="J44" i="71"/>
  <c r="F47" i="71"/>
  <c r="R48" i="71"/>
  <c r="F50" i="71"/>
  <c r="V50" i="71"/>
  <c r="R51" i="71"/>
  <c r="J52" i="71"/>
  <c r="V54" i="71"/>
  <c r="J58" i="71"/>
  <c r="F59" i="71"/>
  <c r="R60" i="71"/>
  <c r="J62" i="71"/>
  <c r="F63" i="71"/>
  <c r="J66" i="71"/>
  <c r="J70" i="71"/>
  <c r="R72" i="71"/>
  <c r="R79" i="71"/>
  <c r="J16" i="72"/>
  <c r="P19" i="72"/>
  <c r="R19" i="72" s="1"/>
  <c r="P12" i="73"/>
  <c r="V29" i="73"/>
  <c r="V41" i="73"/>
  <c r="V45" i="73"/>
  <c r="H24" i="74"/>
  <c r="X52" i="74"/>
  <c r="Z52" i="74" s="1"/>
  <c r="L54" i="74"/>
  <c r="N65" i="74"/>
  <c r="Z76" i="74"/>
  <c r="F24" i="75"/>
  <c r="F25" i="75"/>
  <c r="F17" i="75"/>
  <c r="F22" i="75"/>
  <c r="F28" i="75"/>
  <c r="F19" i="75"/>
  <c r="F32" i="75"/>
  <c r="F26" i="75"/>
  <c r="F18" i="75"/>
  <c r="L12" i="75"/>
  <c r="N12" i="75" s="1"/>
  <c r="F25" i="76"/>
  <c r="R47" i="76"/>
  <c r="Z58" i="76"/>
  <c r="X58" i="76"/>
  <c r="N60" i="76"/>
  <c r="L60" i="76"/>
  <c r="J24" i="70"/>
  <c r="H20" i="71"/>
  <c r="J20" i="71" s="1"/>
  <c r="F23" i="71"/>
  <c r="V23" i="71"/>
  <c r="R24" i="71"/>
  <c r="J27" i="71"/>
  <c r="F28" i="71"/>
  <c r="V31" i="71"/>
  <c r="R32" i="71"/>
  <c r="J33" i="71"/>
  <c r="V35" i="71"/>
  <c r="R36" i="71"/>
  <c r="J39" i="71"/>
  <c r="F40" i="71"/>
  <c r="V43" i="71"/>
  <c r="J47" i="71"/>
  <c r="V51" i="71"/>
  <c r="F56" i="71"/>
  <c r="R57" i="71"/>
  <c r="J59" i="71"/>
  <c r="J63" i="71"/>
  <c r="F64" i="71"/>
  <c r="R65" i="71"/>
  <c r="F67" i="71"/>
  <c r="V67" i="71"/>
  <c r="R68" i="71"/>
  <c r="R74" i="71"/>
  <c r="L12" i="72"/>
  <c r="J21" i="72"/>
  <c r="R23" i="72"/>
  <c r="J25" i="72"/>
  <c r="V86" i="73"/>
  <c r="V80" i="73"/>
  <c r="V76" i="73"/>
  <c r="V82" i="73"/>
  <c r="V78" i="73"/>
  <c r="T21" i="73"/>
  <c r="V30" i="73"/>
  <c r="V34" i="73"/>
  <c r="V42" i="73"/>
  <c r="V46" i="73"/>
  <c r="V54" i="73"/>
  <c r="V62" i="73"/>
  <c r="V66" i="73"/>
  <c r="V70" i="73"/>
  <c r="N54" i="74"/>
  <c r="F79" i="76"/>
  <c r="F70" i="76"/>
  <c r="F62" i="76"/>
  <c r="F59" i="76"/>
  <c r="F43" i="76"/>
  <c r="F31" i="76"/>
  <c r="F26" i="76"/>
  <c r="F18" i="76"/>
  <c r="F85" i="76"/>
  <c r="F82" i="76"/>
  <c r="F78" i="76"/>
  <c r="F65" i="76"/>
  <c r="F53" i="76"/>
  <c r="F50" i="76"/>
  <c r="F42" i="76"/>
  <c r="F30" i="76"/>
  <c r="F23" i="76"/>
  <c r="F93" i="76"/>
  <c r="F77" i="76"/>
  <c r="F72" i="76"/>
  <c r="F69" i="76"/>
  <c r="F61" i="76"/>
  <c r="F56" i="76"/>
  <c r="F41" i="76"/>
  <c r="F36" i="76"/>
  <c r="F29" i="76"/>
  <c r="D23" i="76"/>
  <c r="F21" i="76"/>
  <c r="F84" i="76"/>
  <c r="F76" i="76"/>
  <c r="F68" i="76"/>
  <c r="F64" i="76"/>
  <c r="F52" i="76"/>
  <c r="F47" i="76"/>
  <c r="F40" i="76"/>
  <c r="F28" i="76"/>
  <c r="F20" i="76"/>
  <c r="L12" i="76"/>
  <c r="F88" i="76"/>
  <c r="F75" i="76"/>
  <c r="F71" i="76"/>
  <c r="F67" i="76"/>
  <c r="F63" i="76"/>
  <c r="F58" i="76"/>
  <c r="F55" i="76"/>
  <c r="F39" i="76"/>
  <c r="F35" i="76"/>
  <c r="F27" i="76"/>
  <c r="F19" i="76"/>
  <c r="F73" i="76"/>
  <c r="F60" i="76"/>
  <c r="F57" i="76"/>
  <c r="F45" i="76"/>
  <c r="F37" i="76"/>
  <c r="F33" i="76"/>
  <c r="F89" i="76"/>
  <c r="F83" i="76"/>
  <c r="F80" i="76"/>
  <c r="F51" i="76"/>
  <c r="F48" i="76"/>
  <c r="F44" i="76"/>
  <c r="F32" i="76"/>
  <c r="F49" i="76"/>
  <c r="F81" i="76"/>
  <c r="R82" i="76"/>
  <c r="T75" i="78"/>
  <c r="Z16" i="78"/>
  <c r="R15" i="70"/>
  <c r="P18" i="70"/>
  <c r="R25" i="70"/>
  <c r="J27" i="70"/>
  <c r="R29" i="70"/>
  <c r="J31" i="70"/>
  <c r="R33" i="70"/>
  <c r="Z12" i="71"/>
  <c r="F16" i="71"/>
  <c r="V16" i="71"/>
  <c r="R17" i="71"/>
  <c r="R22" i="71"/>
  <c r="V24" i="71"/>
  <c r="R25" i="71"/>
  <c r="J28" i="71"/>
  <c r="F29" i="71"/>
  <c r="V32" i="71"/>
  <c r="V36" i="71"/>
  <c r="R37" i="71"/>
  <c r="J40" i="71"/>
  <c r="F41" i="71"/>
  <c r="F45" i="71"/>
  <c r="R46" i="71"/>
  <c r="F48" i="71"/>
  <c r="V48" i="71"/>
  <c r="R49" i="71"/>
  <c r="J50" i="71"/>
  <c r="F53" i="71"/>
  <c r="J56" i="71"/>
  <c r="F60" i="71"/>
  <c r="V60" i="71"/>
  <c r="V68" i="71"/>
  <c r="F72" i="71"/>
  <c r="V74" i="71"/>
  <c r="F17" i="72"/>
  <c r="D19" i="72"/>
  <c r="V21" i="73"/>
  <c r="V31" i="73"/>
  <c r="V35" i="73"/>
  <c r="V43" i="73"/>
  <c r="V51" i="73"/>
  <c r="V55" i="73"/>
  <c r="V63" i="73"/>
  <c r="V67" i="73"/>
  <c r="V71" i="73"/>
  <c r="X82" i="73"/>
  <c r="L28" i="75"/>
  <c r="R30" i="76"/>
  <c r="R50" i="76"/>
  <c r="R78" i="76"/>
  <c r="P12" i="74"/>
  <c r="J21" i="74"/>
  <c r="T24" i="74"/>
  <c r="J29" i="74"/>
  <c r="V33" i="74"/>
  <c r="V37" i="74"/>
  <c r="J41" i="74"/>
  <c r="V45" i="74"/>
  <c r="V49" i="74"/>
  <c r="J53" i="74"/>
  <c r="V57" i="74"/>
  <c r="J59" i="74"/>
  <c r="V65" i="74"/>
  <c r="J67" i="74"/>
  <c r="V69" i="74"/>
  <c r="J77" i="74"/>
  <c r="J81" i="74"/>
  <c r="V85" i="74"/>
  <c r="L13" i="75"/>
  <c r="N13" i="75" s="1"/>
  <c r="V19" i="76"/>
  <c r="V27" i="76"/>
  <c r="J31" i="76"/>
  <c r="V35" i="76"/>
  <c r="V39" i="76"/>
  <c r="J43" i="76"/>
  <c r="V51" i="76"/>
  <c r="J53" i="76"/>
  <c r="V55" i="76"/>
  <c r="J59" i="76"/>
  <c r="V63" i="76"/>
  <c r="J65" i="76"/>
  <c r="V67" i="76"/>
  <c r="V71" i="76"/>
  <c r="V75" i="76"/>
  <c r="J79" i="76"/>
  <c r="V83" i="76"/>
  <c r="J85" i="76"/>
  <c r="F14" i="77"/>
  <c r="V14" i="77"/>
  <c r="F18" i="77"/>
  <c r="V18" i="77"/>
  <c r="J22" i="77"/>
  <c r="F24" i="77"/>
  <c r="V24" i="77"/>
  <c r="J28" i="77"/>
  <c r="F30" i="77"/>
  <c r="V30" i="77"/>
  <c r="Z12" i="78"/>
  <c r="V24" i="78"/>
  <c r="V25" i="78"/>
  <c r="R26" i="78"/>
  <c r="V36" i="78"/>
  <c r="L40" i="78"/>
  <c r="N40" i="78" s="1"/>
  <c r="V41" i="78"/>
  <c r="V52" i="78"/>
  <c r="D28" i="80"/>
  <c r="L16" i="80"/>
  <c r="T32" i="81"/>
  <c r="Z28" i="81"/>
  <c r="V18" i="74"/>
  <c r="J22" i="74"/>
  <c r="V24" i="74"/>
  <c r="J30" i="74"/>
  <c r="V34" i="74"/>
  <c r="V38" i="74"/>
  <c r="J42" i="74"/>
  <c r="V46" i="74"/>
  <c r="J48" i="74"/>
  <c r="V54" i="74"/>
  <c r="J56" i="74"/>
  <c r="V58" i="74"/>
  <c r="J62" i="74"/>
  <c r="V66" i="74"/>
  <c r="J74" i="74"/>
  <c r="J78" i="74"/>
  <c r="V82" i="74"/>
  <c r="V86" i="74"/>
  <c r="V92" i="74"/>
  <c r="J18" i="75"/>
  <c r="J24" i="75"/>
  <c r="J26" i="75"/>
  <c r="V28" i="75"/>
  <c r="J32" i="75"/>
  <c r="V20" i="76"/>
  <c r="J26" i="76"/>
  <c r="V28" i="76"/>
  <c r="J32" i="76"/>
  <c r="V40" i="76"/>
  <c r="J44" i="76"/>
  <c r="J48" i="76"/>
  <c r="V52" i="76"/>
  <c r="V60" i="76"/>
  <c r="J62" i="76"/>
  <c r="V64" i="76"/>
  <c r="V68" i="76"/>
  <c r="J70" i="76"/>
  <c r="V76" i="76"/>
  <c r="J80" i="76"/>
  <c r="V84" i="76"/>
  <c r="J89" i="76"/>
  <c r="L12" i="77"/>
  <c r="X14" i="77"/>
  <c r="P16" i="77"/>
  <c r="F20" i="77"/>
  <c r="R21" i="77"/>
  <c r="F73" i="78"/>
  <c r="F67" i="78"/>
  <c r="F64" i="78"/>
  <c r="F51" i="78"/>
  <c r="F48" i="78"/>
  <c r="F32" i="78"/>
  <c r="F28" i="78"/>
  <c r="F20" i="78"/>
  <c r="F42" i="78"/>
  <c r="F39" i="78"/>
  <c r="F31" i="78"/>
  <c r="F27" i="78"/>
  <c r="F79" i="78"/>
  <c r="F69" i="78"/>
  <c r="F66" i="78"/>
  <c r="F61" i="78"/>
  <c r="F57" i="78"/>
  <c r="F53" i="78"/>
  <c r="F50" i="78"/>
  <c r="F45" i="78"/>
  <c r="F38" i="78"/>
  <c r="F30" i="78"/>
  <c r="F77" i="78"/>
  <c r="F41" i="78"/>
  <c r="F37" i="78"/>
  <c r="F68" i="78"/>
  <c r="F63" i="78"/>
  <c r="F60" i="78"/>
  <c r="F56" i="78"/>
  <c r="F52" i="78"/>
  <c r="F47" i="78"/>
  <c r="F44" i="78"/>
  <c r="F36" i="78"/>
  <c r="F24" i="78"/>
  <c r="F19" i="78"/>
  <c r="F72" i="78"/>
  <c r="F59" i="78"/>
  <c r="F55" i="78"/>
  <c r="F43" i="78"/>
  <c r="F35" i="78"/>
  <c r="F82" i="78"/>
  <c r="F75" i="78"/>
  <c r="F70" i="78"/>
  <c r="F65" i="78"/>
  <c r="F62" i="78"/>
  <c r="F58" i="78"/>
  <c r="F54" i="78"/>
  <c r="F49" i="78"/>
  <c r="F46" i="78"/>
  <c r="R21" i="78"/>
  <c r="R22" i="78"/>
  <c r="R23" i="78"/>
  <c r="Z29" i="78"/>
  <c r="Z49" i="78"/>
  <c r="N51" i="78"/>
  <c r="L18" i="79"/>
  <c r="N18" i="79" s="1"/>
  <c r="J18" i="74"/>
  <c r="V20" i="74"/>
  <c r="J24" i="74"/>
  <c r="V28" i="74"/>
  <c r="J32" i="74"/>
  <c r="V36" i="74"/>
  <c r="V40" i="74"/>
  <c r="J44" i="74"/>
  <c r="V52" i="74"/>
  <c r="J54" i="74"/>
  <c r="J60" i="74"/>
  <c r="V64" i="74"/>
  <c r="J68" i="74"/>
  <c r="J72" i="74"/>
  <c r="V76" i="74"/>
  <c r="V80" i="74"/>
  <c r="J82" i="74"/>
  <c r="V84" i="74"/>
  <c r="J20" i="75"/>
  <c r="V22" i="75"/>
  <c r="J28" i="75"/>
  <c r="V30" i="76"/>
  <c r="J34" i="76"/>
  <c r="J38" i="76"/>
  <c r="V42" i="76"/>
  <c r="J46" i="76"/>
  <c r="V50" i="76"/>
  <c r="J54" i="76"/>
  <c r="V58" i="76"/>
  <c r="J60" i="76"/>
  <c r="J66" i="76"/>
  <c r="J74" i="76"/>
  <c r="V78" i="76"/>
  <c r="V82" i="76"/>
  <c r="J86" i="76"/>
  <c r="V88" i="76"/>
  <c r="D16" i="77"/>
  <c r="R19" i="77"/>
  <c r="F21" i="77"/>
  <c r="R22" i="77"/>
  <c r="R28" i="77"/>
  <c r="P79" i="78"/>
  <c r="V89" i="83"/>
  <c r="V77" i="83"/>
  <c r="V73" i="83"/>
  <c r="V53" i="83"/>
  <c r="V45" i="83"/>
  <c r="V41" i="83"/>
  <c r="V33" i="83"/>
  <c r="V29" i="83"/>
  <c r="V80" i="83"/>
  <c r="V76" i="83"/>
  <c r="V72" i="83"/>
  <c r="V64" i="83"/>
  <c r="V56" i="83"/>
  <c r="V44" i="83"/>
  <c r="V40" i="83"/>
  <c r="V28" i="83"/>
  <c r="V79" i="83"/>
  <c r="V71" i="83"/>
  <c r="V63" i="83"/>
  <c r="V59" i="83"/>
  <c r="V55" i="83"/>
  <c r="V47" i="83"/>
  <c r="V82" i="83"/>
  <c r="V70" i="83"/>
  <c r="V66" i="83"/>
  <c r="V62" i="83"/>
  <c r="V58" i="83"/>
  <c r="V85" i="83"/>
  <c r="V81" i="83"/>
  <c r="V69" i="83"/>
  <c r="V65" i="83"/>
  <c r="V61" i="83"/>
  <c r="V57" i="83"/>
  <c r="V49" i="83"/>
  <c r="V37" i="83"/>
  <c r="V75" i="83"/>
  <c r="V67" i="83"/>
  <c r="V51" i="83"/>
  <c r="V43" i="83"/>
  <c r="V35" i="83"/>
  <c r="V31" i="83"/>
  <c r="V84" i="83"/>
  <c r="V78" i="83"/>
  <c r="V74" i="83"/>
  <c r="V54" i="83"/>
  <c r="V42" i="83"/>
  <c r="V34" i="83"/>
  <c r="V30" i="83"/>
  <c r="V68" i="83"/>
  <c r="V60" i="83"/>
  <c r="V46" i="83"/>
  <c r="V36" i="83"/>
  <c r="V27" i="83"/>
  <c r="V22" i="83"/>
  <c r="V18" i="83"/>
  <c r="V52" i="83"/>
  <c r="V48" i="83"/>
  <c r="V32" i="83"/>
  <c r="V16" i="83"/>
  <c r="V24" i="83"/>
  <c r="V50" i="83"/>
  <c r="V26" i="83"/>
  <c r="T20" i="83"/>
  <c r="V39" i="83"/>
  <c r="V20" i="83"/>
  <c r="V25" i="83"/>
  <c r="V38" i="83"/>
  <c r="V23" i="83"/>
  <c r="V17" i="83"/>
  <c r="J27" i="74"/>
  <c r="V29" i="74"/>
  <c r="J33" i="74"/>
  <c r="V41" i="74"/>
  <c r="J45" i="74"/>
  <c r="J49" i="74"/>
  <c r="V53" i="74"/>
  <c r="J57" i="74"/>
  <c r="V61" i="74"/>
  <c r="J63" i="74"/>
  <c r="J69" i="74"/>
  <c r="V73" i="74"/>
  <c r="V77" i="74"/>
  <c r="V81" i="74"/>
  <c r="V17" i="75"/>
  <c r="H22" i="75"/>
  <c r="V25" i="75"/>
  <c r="X16" i="76"/>
  <c r="J19" i="76"/>
  <c r="J25" i="76"/>
  <c r="J27" i="76"/>
  <c r="V31" i="76"/>
  <c r="J35" i="76"/>
  <c r="J39" i="76"/>
  <c r="V43" i="76"/>
  <c r="V47" i="76"/>
  <c r="J49" i="76"/>
  <c r="J55" i="76"/>
  <c r="V59" i="76"/>
  <c r="J63" i="76"/>
  <c r="J67" i="76"/>
  <c r="J71" i="76"/>
  <c r="J75" i="76"/>
  <c r="V79" i="76"/>
  <c r="J81" i="76"/>
  <c r="F16" i="77"/>
  <c r="V16" i="77"/>
  <c r="V22" i="77"/>
  <c r="F26" i="77"/>
  <c r="V26" i="77"/>
  <c r="V28" i="77"/>
  <c r="F33" i="77"/>
  <c r="V33" i="77"/>
  <c r="X19" i="78"/>
  <c r="Z19" i="78" s="1"/>
  <c r="F26" i="78"/>
  <c r="F33" i="78"/>
  <c r="V22" i="74"/>
  <c r="V26" i="74"/>
  <c r="V30" i="74"/>
  <c r="J34" i="74"/>
  <c r="J38" i="74"/>
  <c r="V42" i="74"/>
  <c r="J46" i="74"/>
  <c r="V50" i="74"/>
  <c r="J52" i="74"/>
  <c r="J58" i="74"/>
  <c r="V62" i="74"/>
  <c r="J66" i="74"/>
  <c r="V70" i="74"/>
  <c r="V74" i="74"/>
  <c r="J76" i="74"/>
  <c r="V78" i="74"/>
  <c r="J80" i="74"/>
  <c r="J86" i="74"/>
  <c r="V88" i="74"/>
  <c r="J92" i="74"/>
  <c r="Z12" i="75"/>
  <c r="V18" i="75"/>
  <c r="J22" i="75"/>
  <c r="V26" i="75"/>
  <c r="V30" i="75"/>
  <c r="V32" i="75"/>
  <c r="N12" i="76"/>
  <c r="J20" i="76"/>
  <c r="T23" i="76"/>
  <c r="J28" i="76"/>
  <c r="V32" i="76"/>
  <c r="V36" i="76"/>
  <c r="J40" i="76"/>
  <c r="V44" i="76"/>
  <c r="V48" i="76"/>
  <c r="J52" i="76"/>
  <c r="V56" i="76"/>
  <c r="J58" i="76"/>
  <c r="J64" i="76"/>
  <c r="J68" i="76"/>
  <c r="V72" i="76"/>
  <c r="J76" i="76"/>
  <c r="V80" i="76"/>
  <c r="J84" i="76"/>
  <c r="J88" i="76"/>
  <c r="X12" i="77"/>
  <c r="H16" i="77"/>
  <c r="F19" i="77"/>
  <c r="V19" i="77"/>
  <c r="R20" i="77"/>
  <c r="J21" i="77"/>
  <c r="R82" i="78"/>
  <c r="R75" i="78"/>
  <c r="R68" i="78"/>
  <c r="R65" i="78"/>
  <c r="R60" i="78"/>
  <c r="R56" i="78"/>
  <c r="R52" i="78"/>
  <c r="R49" i="78"/>
  <c r="R44" i="78"/>
  <c r="R36" i="78"/>
  <c r="R29" i="78"/>
  <c r="R24" i="78"/>
  <c r="R59" i="78"/>
  <c r="R55" i="78"/>
  <c r="R43" i="78"/>
  <c r="R40" i="78"/>
  <c r="R35" i="78"/>
  <c r="R70" i="78"/>
  <c r="R67" i="78"/>
  <c r="R62" i="78"/>
  <c r="R58" i="78"/>
  <c r="R54" i="78"/>
  <c r="R51" i="78"/>
  <c r="R46" i="78"/>
  <c r="R34" i="78"/>
  <c r="R73" i="78"/>
  <c r="R42" i="78"/>
  <c r="R33" i="78"/>
  <c r="R79" i="78"/>
  <c r="R69" i="78"/>
  <c r="R64" i="78"/>
  <c r="R61" i="78"/>
  <c r="R57" i="78"/>
  <c r="R53" i="78"/>
  <c r="R48" i="78"/>
  <c r="R45" i="78"/>
  <c r="R32" i="78"/>
  <c r="R28" i="78"/>
  <c r="R20" i="78"/>
  <c r="R39" i="78"/>
  <c r="R31" i="78"/>
  <c r="R27" i="78"/>
  <c r="R66" i="78"/>
  <c r="R63" i="78"/>
  <c r="R50" i="78"/>
  <c r="R47" i="78"/>
  <c r="D16" i="78"/>
  <c r="F22" i="78"/>
  <c r="R38" i="78"/>
  <c r="V31" i="74"/>
  <c r="J35" i="74"/>
  <c r="J39" i="74"/>
  <c r="V43" i="74"/>
  <c r="J47" i="74"/>
  <c r="V51" i="74"/>
  <c r="J55" i="74"/>
  <c r="V59" i="74"/>
  <c r="J61" i="74"/>
  <c r="V67" i="74"/>
  <c r="V71" i="74"/>
  <c r="J73" i="74"/>
  <c r="V75" i="74"/>
  <c r="V79" i="74"/>
  <c r="J83" i="74"/>
  <c r="J17" i="75"/>
  <c r="V19" i="75"/>
  <c r="J25" i="75"/>
  <c r="J21" i="76"/>
  <c r="V23" i="76"/>
  <c r="J29" i="76"/>
  <c r="V33" i="76"/>
  <c r="V37" i="76"/>
  <c r="J41" i="76"/>
  <c r="V45" i="76"/>
  <c r="J47" i="76"/>
  <c r="V53" i="76"/>
  <c r="V57" i="76"/>
  <c r="J61" i="76"/>
  <c r="V65" i="76"/>
  <c r="J69" i="76"/>
  <c r="V73" i="76"/>
  <c r="J77" i="76"/>
  <c r="V85" i="76"/>
  <c r="V89" i="76"/>
  <c r="J93" i="76"/>
  <c r="R14" i="77"/>
  <c r="J16" i="77"/>
  <c r="R18" i="77"/>
  <c r="R24" i="77"/>
  <c r="J26" i="77"/>
  <c r="V67" i="78"/>
  <c r="V59" i="78"/>
  <c r="V55" i="78"/>
  <c r="V51" i="78"/>
  <c r="V43" i="78"/>
  <c r="V35" i="78"/>
  <c r="V23" i="78"/>
  <c r="V70" i="78"/>
  <c r="V62" i="78"/>
  <c r="V58" i="78"/>
  <c r="V54" i="78"/>
  <c r="V46" i="78"/>
  <c r="V42" i="78"/>
  <c r="V34" i="78"/>
  <c r="V79" i="78"/>
  <c r="V73" i="78"/>
  <c r="V69" i="78"/>
  <c r="V61" i="78"/>
  <c r="V57" i="78"/>
  <c r="V53" i="78"/>
  <c r="V45" i="78"/>
  <c r="V33" i="78"/>
  <c r="V64" i="78"/>
  <c r="V48" i="78"/>
  <c r="V32" i="78"/>
  <c r="V28" i="78"/>
  <c r="V63" i="78"/>
  <c r="V47" i="78"/>
  <c r="V39" i="78"/>
  <c r="V31" i="78"/>
  <c r="V27" i="78"/>
  <c r="V19" i="78"/>
  <c r="V72" i="78"/>
  <c r="V66" i="78"/>
  <c r="V50" i="78"/>
  <c r="V38" i="78"/>
  <c r="V30" i="78"/>
  <c r="V26" i="78"/>
  <c r="V82" i="78"/>
  <c r="V77" i="78"/>
  <c r="V75" i="78"/>
  <c r="V65" i="78"/>
  <c r="V49" i="78"/>
  <c r="F16" i="78"/>
  <c r="V16" i="78"/>
  <c r="N19" i="78"/>
  <c r="F21" i="78"/>
  <c r="F23" i="78"/>
  <c r="F29" i="78"/>
  <c r="R30" i="78"/>
  <c r="R37" i="78"/>
  <c r="V60" i="78"/>
  <c r="X65" i="78"/>
  <c r="L67" i="78"/>
  <c r="L14" i="79"/>
  <c r="R16" i="80"/>
  <c r="R30" i="80"/>
  <c r="R24" i="80"/>
  <c r="R21" i="80"/>
  <c r="P16" i="80"/>
  <c r="R35" i="80"/>
  <c r="R28" i="80"/>
  <c r="R23" i="80"/>
  <c r="R18" i="80"/>
  <c r="R14" i="80"/>
  <c r="R20" i="80"/>
  <c r="X12" i="80"/>
  <c r="R32" i="80"/>
  <c r="R26" i="80"/>
  <c r="R19" i="80"/>
  <c r="J20" i="74"/>
  <c r="J26" i="74"/>
  <c r="J28" i="74"/>
  <c r="V32" i="74"/>
  <c r="J36" i="74"/>
  <c r="J40" i="74"/>
  <c r="V44" i="74"/>
  <c r="V48" i="74"/>
  <c r="J50" i="74"/>
  <c r="V56" i="74"/>
  <c r="V60" i="74"/>
  <c r="J64" i="74"/>
  <c r="V68" i="74"/>
  <c r="J70" i="74"/>
  <c r="J84" i="74"/>
  <c r="J88" i="74"/>
  <c r="V20" i="75"/>
  <c r="V18" i="76"/>
  <c r="H23" i="76"/>
  <c r="V26" i="76"/>
  <c r="J30" i="76"/>
  <c r="V34" i="76"/>
  <c r="J36" i="76"/>
  <c r="V38" i="76"/>
  <c r="J42" i="76"/>
  <c r="V46" i="76"/>
  <c r="J50" i="76"/>
  <c r="V54" i="76"/>
  <c r="J56" i="76"/>
  <c r="V62" i="76"/>
  <c r="V66" i="76"/>
  <c r="V70" i="76"/>
  <c r="J72" i="76"/>
  <c r="V74" i="76"/>
  <c r="J78" i="76"/>
  <c r="F22" i="77"/>
  <c r="X16" i="78"/>
  <c r="F40" i="78"/>
  <c r="V68" i="78"/>
  <c r="H16" i="79"/>
  <c r="N14" i="79"/>
  <c r="P30" i="79"/>
  <c r="Z19" i="80"/>
  <c r="V16" i="80"/>
  <c r="V22" i="80"/>
  <c r="R94" i="82"/>
  <c r="R89" i="82"/>
  <c r="R82" i="82"/>
  <c r="R78" i="82"/>
  <c r="R85" i="82"/>
  <c r="R77" i="82"/>
  <c r="R73" i="82"/>
  <c r="R69" i="82"/>
  <c r="R65" i="82"/>
  <c r="R62" i="82"/>
  <c r="R57" i="82"/>
  <c r="R45" i="82"/>
  <c r="R37" i="82"/>
  <c r="R33" i="82"/>
  <c r="R26" i="82"/>
  <c r="R18" i="82"/>
  <c r="R87" i="82"/>
  <c r="R84" i="82"/>
  <c r="R75" i="82"/>
  <c r="R72" i="82"/>
  <c r="R64" i="82"/>
  <c r="R59" i="82"/>
  <c r="R56" i="82"/>
  <c r="R43" i="82"/>
  <c r="R36" i="82"/>
  <c r="R31" i="82"/>
  <c r="P23" i="82"/>
  <c r="R90" i="82"/>
  <c r="R67" i="82"/>
  <c r="R50" i="82"/>
  <c r="R47" i="82"/>
  <c r="R42" i="82"/>
  <c r="R30" i="82"/>
  <c r="R80" i="82"/>
  <c r="R52" i="82"/>
  <c r="R49" i="82"/>
  <c r="R40" i="82"/>
  <c r="R28" i="82"/>
  <c r="R25" i="82"/>
  <c r="R20" i="82"/>
  <c r="X12" i="82"/>
  <c r="Z12" i="82" s="1"/>
  <c r="R83" i="82"/>
  <c r="R79" i="82"/>
  <c r="R71" i="82"/>
  <c r="R63" i="82"/>
  <c r="R60" i="82"/>
  <c r="R55" i="82"/>
  <c r="R39" i="82"/>
  <c r="R35" i="82"/>
  <c r="R27" i="82"/>
  <c r="R19" i="82"/>
  <c r="R21" i="82"/>
  <c r="R51" i="82"/>
  <c r="R81" i="82"/>
  <c r="D16" i="79"/>
  <c r="T16" i="79"/>
  <c r="X16" i="79" s="1"/>
  <c r="R19" i="79"/>
  <c r="F21" i="79"/>
  <c r="V21" i="79"/>
  <c r="R22" i="79"/>
  <c r="F26" i="79"/>
  <c r="F32" i="79"/>
  <c r="H16" i="80"/>
  <c r="F19" i="80"/>
  <c r="V19" i="80"/>
  <c r="J21" i="80"/>
  <c r="F24" i="80"/>
  <c r="F30" i="80"/>
  <c r="F35" i="81"/>
  <c r="F28" i="81"/>
  <c r="F30" i="81"/>
  <c r="F24" i="81"/>
  <c r="F19" i="81"/>
  <c r="F16" i="81"/>
  <c r="F14" i="81"/>
  <c r="D16" i="81"/>
  <c r="F22" i="81"/>
  <c r="N62" i="82"/>
  <c r="X64" i="82"/>
  <c r="Z64" i="82" s="1"/>
  <c r="Z81" i="82"/>
  <c r="X84" i="82"/>
  <c r="Z84" i="82"/>
  <c r="F16" i="79"/>
  <c r="V16" i="79"/>
  <c r="X21" i="79"/>
  <c r="V22" i="79"/>
  <c r="L23" i="79"/>
  <c r="J26" i="79"/>
  <c r="F28" i="79"/>
  <c r="V28" i="79"/>
  <c r="J32" i="79"/>
  <c r="F34" i="79"/>
  <c r="V34" i="79"/>
  <c r="Z12" i="80"/>
  <c r="J16" i="80"/>
  <c r="X19" i="80"/>
  <c r="V20" i="80"/>
  <c r="L21" i="80"/>
  <c r="J24" i="80"/>
  <c r="F26" i="80"/>
  <c r="V26" i="80"/>
  <c r="J30" i="80"/>
  <c r="F32" i="80"/>
  <c r="V32" i="80"/>
  <c r="J20" i="81"/>
  <c r="J18" i="81"/>
  <c r="J14" i="81"/>
  <c r="N12" i="81"/>
  <c r="J32" i="81"/>
  <c r="J26" i="81"/>
  <c r="J21" i="81"/>
  <c r="J35" i="81"/>
  <c r="J28" i="81"/>
  <c r="H16" i="81"/>
  <c r="X18" i="81"/>
  <c r="J22" i="81"/>
  <c r="F23" i="81"/>
  <c r="R34" i="82"/>
  <c r="R38" i="82"/>
  <c r="R46" i="82"/>
  <c r="X56" i="82"/>
  <c r="Z56" i="82" s="1"/>
  <c r="R68" i="82"/>
  <c r="Z72" i="82"/>
  <c r="L86" i="82"/>
  <c r="N86" i="82" s="1"/>
  <c r="L90" i="82"/>
  <c r="D89" i="82"/>
  <c r="L89" i="82" s="1"/>
  <c r="L16" i="83"/>
  <c r="H20" i="83"/>
  <c r="N16" i="83"/>
  <c r="F46" i="83"/>
  <c r="X12" i="79"/>
  <c r="F19" i="79"/>
  <c r="V19" i="79"/>
  <c r="R20" i="79"/>
  <c r="F24" i="79"/>
  <c r="R25" i="79"/>
  <c r="J19" i="80"/>
  <c r="F22" i="80"/>
  <c r="L12" i="81"/>
  <c r="J16" i="81"/>
  <c r="F18" i="81"/>
  <c r="F26" i="81"/>
  <c r="X26" i="82"/>
  <c r="Z26" i="82" s="1"/>
  <c r="L36" i="82"/>
  <c r="N36" i="82" s="1"/>
  <c r="R48" i="82"/>
  <c r="N60" i="82"/>
  <c r="X62" i="82"/>
  <c r="Z62" i="82" s="1"/>
  <c r="R66" i="82"/>
  <c r="X72" i="82"/>
  <c r="R30" i="79"/>
  <c r="R37" i="79"/>
  <c r="V14" i="80"/>
  <c r="V18" i="80"/>
  <c r="J22" i="80"/>
  <c r="J26" i="80"/>
  <c r="J32" i="80"/>
  <c r="R16" i="81"/>
  <c r="R35" i="81"/>
  <c r="R28" i="81"/>
  <c r="R20" i="81"/>
  <c r="R32" i="81"/>
  <c r="R26" i="81"/>
  <c r="R21" i="81"/>
  <c r="R30" i="81"/>
  <c r="X25" i="82"/>
  <c r="Z25" i="82" s="1"/>
  <c r="R29" i="82"/>
  <c r="R41" i="82"/>
  <c r="R54" i="82"/>
  <c r="R61" i="82"/>
  <c r="N74" i="82"/>
  <c r="R76" i="82"/>
  <c r="R86" i="82"/>
  <c r="F22" i="79"/>
  <c r="F25" i="79"/>
  <c r="R26" i="79"/>
  <c r="V23" i="80"/>
  <c r="R22" i="81"/>
  <c r="D12" i="82"/>
  <c r="L58" i="82"/>
  <c r="R70" i="82"/>
  <c r="L74" i="82"/>
  <c r="F94" i="83"/>
  <c r="F87" i="83"/>
  <c r="F82" i="83"/>
  <c r="F70" i="83"/>
  <c r="F66" i="83"/>
  <c r="F62" i="83"/>
  <c r="F58" i="83"/>
  <c r="F53" i="83"/>
  <c r="F50" i="83"/>
  <c r="F38" i="83"/>
  <c r="F33" i="83"/>
  <c r="F26" i="83"/>
  <c r="F76" i="83"/>
  <c r="F69" i="83"/>
  <c r="F61" i="83"/>
  <c r="F49" i="83"/>
  <c r="F44" i="83"/>
  <c r="F37" i="83"/>
  <c r="F85" i="83"/>
  <c r="F79" i="83"/>
  <c r="F68" i="83"/>
  <c r="F55" i="83"/>
  <c r="F52" i="83"/>
  <c r="F75" i="83"/>
  <c r="F91" i="83"/>
  <c r="F81" i="83"/>
  <c r="F78" i="83"/>
  <c r="F74" i="83"/>
  <c r="F65" i="83"/>
  <c r="F57" i="83"/>
  <c r="F54" i="83"/>
  <c r="F42" i="83"/>
  <c r="F34" i="83"/>
  <c r="F30" i="83"/>
  <c r="F80" i="83"/>
  <c r="F72" i="83"/>
  <c r="F67" i="83"/>
  <c r="F64" i="83"/>
  <c r="F56" i="83"/>
  <c r="F51" i="83"/>
  <c r="F40" i="83"/>
  <c r="F28" i="83"/>
  <c r="F84" i="83"/>
  <c r="F71" i="83"/>
  <c r="F63" i="83"/>
  <c r="F59" i="83"/>
  <c r="F47" i="83"/>
  <c r="F39" i="83"/>
  <c r="F27" i="83"/>
  <c r="F73" i="83"/>
  <c r="F48" i="83"/>
  <c r="F25" i="83"/>
  <c r="L12" i="83"/>
  <c r="N12" i="83" s="1"/>
  <c r="F43" i="83"/>
  <c r="F24" i="83"/>
  <c r="F22" i="83"/>
  <c r="F89" i="83"/>
  <c r="F35" i="83"/>
  <c r="F36" i="83"/>
  <c r="F31" i="83"/>
  <c r="F16" i="83"/>
  <c r="F77" i="83"/>
  <c r="F45" i="83"/>
  <c r="F23" i="83"/>
  <c r="F32" i="83"/>
  <c r="F29" i="83"/>
  <c r="D20" i="83"/>
  <c r="F18" i="83"/>
  <c r="F17" i="83"/>
  <c r="Z81" i="83"/>
  <c r="X81" i="83"/>
  <c r="F14" i="79"/>
  <c r="V14" i="79"/>
  <c r="F18" i="79"/>
  <c r="V18" i="79"/>
  <c r="V26" i="79"/>
  <c r="F30" i="79"/>
  <c r="V30" i="79"/>
  <c r="V32" i="79"/>
  <c r="N12" i="80"/>
  <c r="J14" i="80"/>
  <c r="J18" i="80"/>
  <c r="V24" i="80"/>
  <c r="F28" i="80"/>
  <c r="V28" i="80"/>
  <c r="V30" i="80"/>
  <c r="X12" i="81"/>
  <c r="P16" i="81"/>
  <c r="J19" i="81"/>
  <c r="X23" i="81"/>
  <c r="R23" i="82"/>
  <c r="R32" i="82"/>
  <c r="R44" i="82"/>
  <c r="N51" i="82"/>
  <c r="R53" i="82"/>
  <c r="Z60" i="82"/>
  <c r="L72" i="82"/>
  <c r="N72" i="82" s="1"/>
  <c r="V16" i="81"/>
  <c r="V22" i="81"/>
  <c r="V18" i="82"/>
  <c r="H23" i="82"/>
  <c r="V26" i="82"/>
  <c r="J30" i="82"/>
  <c r="V34" i="82"/>
  <c r="J36" i="82"/>
  <c r="V38" i="82"/>
  <c r="J42" i="82"/>
  <c r="V46" i="82"/>
  <c r="J50" i="82"/>
  <c r="V54" i="82"/>
  <c r="J56" i="82"/>
  <c r="V62" i="82"/>
  <c r="J64" i="82"/>
  <c r="V66" i="82"/>
  <c r="V70" i="82"/>
  <c r="J72" i="82"/>
  <c r="V78" i="82"/>
  <c r="V82" i="82"/>
  <c r="J84" i="82"/>
  <c r="V94" i="82"/>
  <c r="Z22" i="83"/>
  <c r="J42" i="83"/>
  <c r="J56" i="83"/>
  <c r="X57" i="83"/>
  <c r="Z57" i="83" s="1"/>
  <c r="J64" i="83"/>
  <c r="L67" i="83"/>
  <c r="N67" i="83" s="1"/>
  <c r="N81" i="83"/>
  <c r="J84" i="83"/>
  <c r="F21" i="85"/>
  <c r="D16" i="85"/>
  <c r="F20" i="85"/>
  <c r="L12" i="85"/>
  <c r="F19" i="85"/>
  <c r="F33" i="85"/>
  <c r="F18" i="85"/>
  <c r="F26" i="85"/>
  <c r="F24" i="85"/>
  <c r="F22" i="85"/>
  <c r="F30" i="85"/>
  <c r="F28" i="85"/>
  <c r="F16" i="85"/>
  <c r="F14" i="85"/>
  <c r="N15" i="86"/>
  <c r="L15" i="86"/>
  <c r="N21" i="86"/>
  <c r="L21" i="86"/>
  <c r="V19" i="81"/>
  <c r="V19" i="82"/>
  <c r="J23" i="82"/>
  <c r="V27" i="82"/>
  <c r="J31" i="82"/>
  <c r="V35" i="82"/>
  <c r="V39" i="82"/>
  <c r="J43" i="82"/>
  <c r="V51" i="82"/>
  <c r="J53" i="82"/>
  <c r="V55" i="82"/>
  <c r="J59" i="82"/>
  <c r="V63" i="82"/>
  <c r="V71" i="82"/>
  <c r="J75" i="82"/>
  <c r="V79" i="82"/>
  <c r="J81" i="82"/>
  <c r="V83" i="82"/>
  <c r="J87" i="82"/>
  <c r="V89" i="82"/>
  <c r="P12" i="83"/>
  <c r="J17" i="83"/>
  <c r="J48" i="83"/>
  <c r="X65" i="83"/>
  <c r="Z65" i="83" s="1"/>
  <c r="J72" i="83"/>
  <c r="Z76" i="83"/>
  <c r="J80" i="83"/>
  <c r="N16" i="84"/>
  <c r="H51" i="84"/>
  <c r="Z27" i="86"/>
  <c r="X27" i="86"/>
  <c r="J33" i="82"/>
  <c r="J37" i="82"/>
  <c r="V41" i="82"/>
  <c r="J45" i="82"/>
  <c r="V49" i="82"/>
  <c r="J51" i="82"/>
  <c r="J57" i="82"/>
  <c r="V61" i="82"/>
  <c r="J65" i="82"/>
  <c r="J69" i="82"/>
  <c r="J73" i="82"/>
  <c r="J77" i="82"/>
  <c r="J85" i="82"/>
  <c r="J89" i="82"/>
  <c r="V30" i="82"/>
  <c r="J34" i="82"/>
  <c r="J38" i="82"/>
  <c r="V42" i="82"/>
  <c r="J46" i="82"/>
  <c r="V50" i="82"/>
  <c r="J54" i="82"/>
  <c r="V58" i="82"/>
  <c r="J60" i="82"/>
  <c r="J66" i="82"/>
  <c r="J70" i="82"/>
  <c r="V74" i="82"/>
  <c r="J78" i="82"/>
  <c r="J82" i="82"/>
  <c r="V86" i="82"/>
  <c r="V90" i="82"/>
  <c r="J94" i="82"/>
  <c r="J20" i="83"/>
  <c r="Z48" i="84"/>
  <c r="N51" i="83"/>
  <c r="P16" i="84"/>
  <c r="X14" i="84"/>
  <c r="N29" i="87"/>
  <c r="L29" i="87"/>
  <c r="V24" i="81"/>
  <c r="V28" i="81"/>
  <c r="V30" i="81"/>
  <c r="J20" i="82"/>
  <c r="T23" i="82"/>
  <c r="J28" i="82"/>
  <c r="V32" i="82"/>
  <c r="V36" i="82"/>
  <c r="J40" i="82"/>
  <c r="V44" i="82"/>
  <c r="V48" i="82"/>
  <c r="J52" i="82"/>
  <c r="V56" i="82"/>
  <c r="J58" i="82"/>
  <c r="V64" i="82"/>
  <c r="V68" i="82"/>
  <c r="V72" i="82"/>
  <c r="J74" i="82"/>
  <c r="V76" i="82"/>
  <c r="J80" i="82"/>
  <c r="J86" i="82"/>
  <c r="J79" i="83"/>
  <c r="J69" i="83"/>
  <c r="J61" i="83"/>
  <c r="J55" i="83"/>
  <c r="J49" i="83"/>
  <c r="J37" i="83"/>
  <c r="J25" i="83"/>
  <c r="J85" i="83"/>
  <c r="J68" i="83"/>
  <c r="J52" i="83"/>
  <c r="J46" i="83"/>
  <c r="J36" i="83"/>
  <c r="J32" i="83"/>
  <c r="J81" i="83"/>
  <c r="J75" i="83"/>
  <c r="J65" i="83"/>
  <c r="J57" i="83"/>
  <c r="J43" i="83"/>
  <c r="J78" i="83"/>
  <c r="J74" i="83"/>
  <c r="J60" i="83"/>
  <c r="J54" i="83"/>
  <c r="J89" i="83"/>
  <c r="J77" i="83"/>
  <c r="J73" i="83"/>
  <c r="J67" i="83"/>
  <c r="J51" i="83"/>
  <c r="J45" i="83"/>
  <c r="J41" i="83"/>
  <c r="J29" i="83"/>
  <c r="J71" i="83"/>
  <c r="J63" i="83"/>
  <c r="J59" i="83"/>
  <c r="J53" i="83"/>
  <c r="J47" i="83"/>
  <c r="J39" i="83"/>
  <c r="J33" i="83"/>
  <c r="J27" i="83"/>
  <c r="J82" i="83"/>
  <c r="J76" i="83"/>
  <c r="J70" i="83"/>
  <c r="J66" i="83"/>
  <c r="J62" i="83"/>
  <c r="J58" i="83"/>
  <c r="J50" i="83"/>
  <c r="J44" i="83"/>
  <c r="J38" i="83"/>
  <c r="J26" i="83"/>
  <c r="J16" i="83"/>
  <c r="J35" i="83"/>
  <c r="L51" i="83"/>
  <c r="Z55" i="83"/>
  <c r="N57" i="83"/>
  <c r="R63" i="87"/>
  <c r="R57" i="87"/>
  <c r="R61" i="87"/>
  <c r="R66" i="87"/>
  <c r="R59" i="87"/>
  <c r="R55" i="87"/>
  <c r="R52" i="87"/>
  <c r="R43" i="87"/>
  <c r="R40" i="87"/>
  <c r="R35" i="87"/>
  <c r="R23" i="87"/>
  <c r="R34" i="87"/>
  <c r="R22" i="87"/>
  <c r="R54" i="87"/>
  <c r="R45" i="87"/>
  <c r="R42" i="87"/>
  <c r="R33" i="87"/>
  <c r="R21" i="87"/>
  <c r="R18" i="87"/>
  <c r="R14" i="87"/>
  <c r="R48" i="87"/>
  <c r="R32" i="87"/>
  <c r="R28" i="87"/>
  <c r="R20" i="87"/>
  <c r="X12" i="87"/>
  <c r="R53" i="87"/>
  <c r="R46" i="87"/>
  <c r="R41" i="87"/>
  <c r="R37" i="87"/>
  <c r="R25" i="87"/>
  <c r="R16" i="87"/>
  <c r="R49" i="87"/>
  <c r="R36" i="87"/>
  <c r="R29" i="87"/>
  <c r="R24" i="87"/>
  <c r="P16" i="87"/>
  <c r="R50" i="87"/>
  <c r="R51" i="87"/>
  <c r="R47" i="87"/>
  <c r="R44" i="87"/>
  <c r="R39" i="87"/>
  <c r="R38" i="87"/>
  <c r="R19" i="87"/>
  <c r="R27" i="87"/>
  <c r="R26" i="87"/>
  <c r="X34" i="86"/>
  <c r="R34" i="86"/>
  <c r="T96" i="88"/>
  <c r="D16" i="84"/>
  <c r="T16" i="84"/>
  <c r="R19" i="84"/>
  <c r="J21" i="84"/>
  <c r="F22" i="84"/>
  <c r="V25" i="84"/>
  <c r="R26" i="84"/>
  <c r="V29" i="84"/>
  <c r="R30" i="84"/>
  <c r="J33" i="84"/>
  <c r="F34" i="84"/>
  <c r="V37" i="84"/>
  <c r="R38" i="84"/>
  <c r="J39" i="84"/>
  <c r="F42" i="84"/>
  <c r="R43" i="84"/>
  <c r="F45" i="84"/>
  <c r="R46" i="84"/>
  <c r="F58" i="84"/>
  <c r="J18" i="85"/>
  <c r="V22" i="85"/>
  <c r="V26" i="85"/>
  <c r="H18" i="86"/>
  <c r="J36" i="86"/>
  <c r="X46" i="87"/>
  <c r="Z46" i="87" s="1"/>
  <c r="L49" i="87"/>
  <c r="N49" i="87" s="1"/>
  <c r="V50" i="87"/>
  <c r="V55" i="84"/>
  <c r="V49" i="84"/>
  <c r="F16" i="84"/>
  <c r="V16" i="84"/>
  <c r="J22" i="84"/>
  <c r="F23" i="84"/>
  <c r="V26" i="84"/>
  <c r="R27" i="84"/>
  <c r="J28" i="84"/>
  <c r="V30" i="84"/>
  <c r="R31" i="84"/>
  <c r="J34" i="84"/>
  <c r="F35" i="84"/>
  <c r="V38" i="84"/>
  <c r="J42" i="84"/>
  <c r="V46" i="84"/>
  <c r="P48" i="84"/>
  <c r="X48" i="84" s="1"/>
  <c r="F49" i="84"/>
  <c r="V51" i="84"/>
  <c r="J18" i="86"/>
  <c r="J24" i="86"/>
  <c r="L52" i="87"/>
  <c r="N52" i="87" s="1"/>
  <c r="Z26" i="88"/>
  <c r="J16" i="84"/>
  <c r="J24" i="84"/>
  <c r="F25" i="84"/>
  <c r="F29" i="84"/>
  <c r="V32" i="84"/>
  <c r="R33" i="84"/>
  <c r="J36" i="84"/>
  <c r="J40" i="84"/>
  <c r="V44" i="84"/>
  <c r="J33" i="85"/>
  <c r="J26" i="85"/>
  <c r="J16" i="85"/>
  <c r="J21" i="85"/>
  <c r="H16" i="85"/>
  <c r="X19" i="85"/>
  <c r="Z19" i="85" s="1"/>
  <c r="P36" i="86"/>
  <c r="J23" i="86"/>
  <c r="V63" i="87"/>
  <c r="V57" i="87"/>
  <c r="V54" i="87"/>
  <c r="V42" i="87"/>
  <c r="V34" i="87"/>
  <c r="V22" i="87"/>
  <c r="V18" i="87"/>
  <c r="V14" i="87"/>
  <c r="V59" i="87"/>
  <c r="V45" i="87"/>
  <c r="V33" i="87"/>
  <c r="V21" i="87"/>
  <c r="V66" i="87"/>
  <c r="V48" i="87"/>
  <c r="V44" i="87"/>
  <c r="V32" i="87"/>
  <c r="V28" i="87"/>
  <c r="V20" i="87"/>
  <c r="Z12" i="87"/>
  <c r="V51" i="87"/>
  <c r="V47" i="87"/>
  <c r="V39" i="87"/>
  <c r="V31" i="87"/>
  <c r="V27" i="87"/>
  <c r="V19" i="87"/>
  <c r="V52" i="87"/>
  <c r="V40" i="87"/>
  <c r="V36" i="87"/>
  <c r="V24" i="87"/>
  <c r="V55" i="87"/>
  <c r="V43" i="87"/>
  <c r="V35" i="87"/>
  <c r="V23" i="87"/>
  <c r="D59" i="87"/>
  <c r="V25" i="87"/>
  <c r="V30" i="87"/>
  <c r="Z42" i="87"/>
  <c r="V49" i="87"/>
  <c r="V53" i="87"/>
  <c r="F55" i="84"/>
  <c r="F53" i="84"/>
  <c r="J19" i="84"/>
  <c r="J25" i="84"/>
  <c r="F26" i="84"/>
  <c r="J29" i="84"/>
  <c r="F30" i="84"/>
  <c r="J37" i="84"/>
  <c r="F38" i="84"/>
  <c r="F41" i="84"/>
  <c r="J43" i="84"/>
  <c r="F46" i="84"/>
  <c r="J51" i="84"/>
  <c r="R58" i="84"/>
  <c r="X19" i="87"/>
  <c r="Z19" i="87" s="1"/>
  <c r="N44" i="87"/>
  <c r="V89" i="88"/>
  <c r="X87" i="88"/>
  <c r="Z87" i="88"/>
  <c r="F14" i="84"/>
  <c r="F18" i="84"/>
  <c r="J26" i="84"/>
  <c r="F27" i="84"/>
  <c r="J30" i="84"/>
  <c r="F31" i="84"/>
  <c r="J38" i="84"/>
  <c r="J46" i="84"/>
  <c r="F48" i="84"/>
  <c r="L13" i="86"/>
  <c r="D12" i="86"/>
  <c r="R23" i="86"/>
  <c r="X23" i="86"/>
  <c r="Z23" i="86" s="1"/>
  <c r="N29" i="86"/>
  <c r="L29" i="86"/>
  <c r="L75" i="88"/>
  <c r="N75" i="88" s="1"/>
  <c r="L12" i="84"/>
  <c r="F20" i="84"/>
  <c r="V23" i="84"/>
  <c r="R24" i="84"/>
  <c r="J27" i="84"/>
  <c r="J31" i="84"/>
  <c r="F32" i="84"/>
  <c r="V35" i="84"/>
  <c r="R36" i="84"/>
  <c r="F39" i="84"/>
  <c r="V39" i="84"/>
  <c r="R40" i="84"/>
  <c r="J41" i="84"/>
  <c r="F44" i="84"/>
  <c r="R45" i="84"/>
  <c r="R49" i="84"/>
  <c r="V53" i="84"/>
  <c r="V21" i="85"/>
  <c r="T16" i="85"/>
  <c r="V20" i="85"/>
  <c r="Z12" i="85"/>
  <c r="V19" i="85"/>
  <c r="V14" i="85"/>
  <c r="J24" i="85"/>
  <c r="J40" i="86"/>
  <c r="J34" i="86"/>
  <c r="J30" i="86"/>
  <c r="J22" i="86"/>
  <c r="J27" i="86"/>
  <c r="J15" i="86"/>
  <c r="J38" i="86"/>
  <c r="J32" i="86"/>
  <c r="J29" i="86"/>
  <c r="J21" i="86"/>
  <c r="J28" i="86"/>
  <c r="J16" i="86"/>
  <c r="J25" i="86"/>
  <c r="Z15" i="86"/>
  <c r="T18" i="86"/>
  <c r="T16" i="87"/>
  <c r="Z18" i="87"/>
  <c r="J93" i="89"/>
  <c r="J87" i="89"/>
  <c r="J79" i="89"/>
  <c r="J75" i="89"/>
  <c r="J71" i="89"/>
  <c r="J67" i="89"/>
  <c r="J59" i="89"/>
  <c r="J51" i="89"/>
  <c r="J43" i="89"/>
  <c r="J37" i="89"/>
  <c r="J31" i="89"/>
  <c r="J23" i="89"/>
  <c r="J84" i="89"/>
  <c r="J78" i="89"/>
  <c r="J70" i="89"/>
  <c r="J64" i="89"/>
  <c r="J56" i="89"/>
  <c r="J48" i="89"/>
  <c r="J42" i="89"/>
  <c r="J30" i="89"/>
  <c r="J77" i="89"/>
  <c r="J61" i="89"/>
  <c r="J53" i="89"/>
  <c r="J41" i="89"/>
  <c r="J29" i="89"/>
  <c r="J21" i="89"/>
  <c r="J86" i="89"/>
  <c r="J74" i="89"/>
  <c r="J66" i="89"/>
  <c r="J58" i="89"/>
  <c r="J50" i="89"/>
  <c r="J40" i="89"/>
  <c r="J36" i="89"/>
  <c r="J28" i="89"/>
  <c r="J20" i="89"/>
  <c r="J83" i="89"/>
  <c r="J69" i="89"/>
  <c r="J63" i="89"/>
  <c r="J55" i="89"/>
  <c r="J47" i="89"/>
  <c r="J39" i="89"/>
  <c r="J35" i="89"/>
  <c r="J27" i="89"/>
  <c r="J25" i="89"/>
  <c r="J19" i="89"/>
  <c r="J89" i="89"/>
  <c r="J85" i="89"/>
  <c r="J81" i="89"/>
  <c r="J73" i="89"/>
  <c r="J65" i="89"/>
  <c r="J57" i="89"/>
  <c r="J49" i="89"/>
  <c r="J45" i="89"/>
  <c r="J33" i="89"/>
  <c r="J80" i="89"/>
  <c r="J72" i="89"/>
  <c r="J68" i="89"/>
  <c r="J62" i="89"/>
  <c r="J54" i="89"/>
  <c r="J44" i="89"/>
  <c r="J32" i="89"/>
  <c r="J26" i="89"/>
  <c r="J52" i="89"/>
  <c r="J82" i="89"/>
  <c r="J60" i="89"/>
  <c r="J38" i="89"/>
  <c r="J76" i="89"/>
  <c r="H23" i="89"/>
  <c r="J18" i="89"/>
  <c r="J34" i="89"/>
  <c r="J46" i="89"/>
  <c r="Z25" i="89"/>
  <c r="D84" i="83"/>
  <c r="L84" i="83" s="1"/>
  <c r="N12" i="84"/>
  <c r="J14" i="84"/>
  <c r="R16" i="84"/>
  <c r="J18" i="84"/>
  <c r="J20" i="84"/>
  <c r="F21" i="84"/>
  <c r="V24" i="84"/>
  <c r="R25" i="84"/>
  <c r="F28" i="84"/>
  <c r="V28" i="84"/>
  <c r="R29" i="84"/>
  <c r="J32" i="84"/>
  <c r="F33" i="84"/>
  <c r="V36" i="84"/>
  <c r="R37" i="84"/>
  <c r="V40" i="84"/>
  <c r="J44" i="84"/>
  <c r="J48" i="84"/>
  <c r="R51" i="84"/>
  <c r="Z14" i="85"/>
  <c r="J20" i="85"/>
  <c r="N12" i="86"/>
  <c r="J26" i="86"/>
  <c r="V16" i="87"/>
  <c r="L40" i="87"/>
  <c r="Z48" i="88"/>
  <c r="X12" i="85"/>
  <c r="R20" i="85"/>
  <c r="R21" i="86"/>
  <c r="V23" i="86"/>
  <c r="R24" i="86"/>
  <c r="R29" i="86"/>
  <c r="V31" i="86"/>
  <c r="R32" i="86"/>
  <c r="L34" i="86"/>
  <c r="R38" i="86"/>
  <c r="L12" i="87"/>
  <c r="X14" i="87"/>
  <c r="F20" i="87"/>
  <c r="J27" i="87"/>
  <c r="F28" i="87"/>
  <c r="J31" i="87"/>
  <c r="F32" i="87"/>
  <c r="J39" i="87"/>
  <c r="X42" i="87"/>
  <c r="L44" i="87"/>
  <c r="J47" i="87"/>
  <c r="F48" i="87"/>
  <c r="J51" i="87"/>
  <c r="D12" i="88"/>
  <c r="Z64" i="88"/>
  <c r="R14" i="85"/>
  <c r="R18" i="85"/>
  <c r="R24" i="85"/>
  <c r="R30" i="85"/>
  <c r="V18" i="86"/>
  <c r="V24" i="86"/>
  <c r="V32" i="86"/>
  <c r="V36" i="86"/>
  <c r="V38" i="86"/>
  <c r="V43" i="86"/>
  <c r="N12" i="87"/>
  <c r="J14" i="87"/>
  <c r="J18" i="87"/>
  <c r="J20" i="87"/>
  <c r="F21" i="87"/>
  <c r="J28" i="87"/>
  <c r="J32" i="87"/>
  <c r="F33" i="87"/>
  <c r="F40" i="87"/>
  <c r="J42" i="87"/>
  <c r="F45" i="87"/>
  <c r="J48" i="87"/>
  <c r="F52" i="87"/>
  <c r="J54" i="87"/>
  <c r="L52" i="88"/>
  <c r="N52" i="88" s="1"/>
  <c r="L54" i="88"/>
  <c r="L84" i="88"/>
  <c r="N84" i="88" s="1"/>
  <c r="P16" i="85"/>
  <c r="R21" i="85"/>
  <c r="R25" i="86"/>
  <c r="R28" i="86"/>
  <c r="H16" i="87"/>
  <c r="L16" i="87" s="1"/>
  <c r="F19" i="87"/>
  <c r="J23" i="87"/>
  <c r="F24" i="87"/>
  <c r="J29" i="87"/>
  <c r="J35" i="87"/>
  <c r="F36" i="87"/>
  <c r="J43" i="87"/>
  <c r="J49" i="87"/>
  <c r="J55" i="87"/>
  <c r="F57" i="87"/>
  <c r="Z60" i="88"/>
  <c r="J36" i="87"/>
  <c r="J46" i="87"/>
  <c r="J18" i="88"/>
  <c r="Z52" i="88"/>
  <c r="Z84" i="88"/>
  <c r="R19" i="85"/>
  <c r="R22" i="85"/>
  <c r="R26" i="86"/>
  <c r="J19" i="87"/>
  <c r="J25" i="87"/>
  <c r="F26" i="87"/>
  <c r="F30" i="87"/>
  <c r="J37" i="87"/>
  <c r="F38" i="87"/>
  <c r="J41" i="87"/>
  <c r="F50" i="87"/>
  <c r="X14" i="88"/>
  <c r="Z14" i="88" s="1"/>
  <c r="P12" i="88"/>
  <c r="L18" i="88"/>
  <c r="N18" i="88" s="1"/>
  <c r="N26" i="88"/>
  <c r="N50" i="88"/>
  <c r="X52" i="88"/>
  <c r="X84" i="88"/>
  <c r="J61" i="87"/>
  <c r="J66" i="87"/>
  <c r="J59" i="87"/>
  <c r="J63" i="87"/>
  <c r="J57" i="87"/>
  <c r="J26" i="87"/>
  <c r="J30" i="87"/>
  <c r="J38" i="87"/>
  <c r="F42" i="87"/>
  <c r="J44" i="87"/>
  <c r="F47" i="87"/>
  <c r="J50" i="87"/>
  <c r="F51" i="87"/>
  <c r="F54" i="87"/>
  <c r="F61" i="87"/>
  <c r="N62" i="88"/>
  <c r="L13" i="89"/>
  <c r="D12" i="89"/>
  <c r="X14" i="89"/>
  <c r="Z14" i="89" s="1"/>
  <c r="P12" i="89"/>
  <c r="V30" i="88"/>
  <c r="J34" i="88"/>
  <c r="J38" i="88"/>
  <c r="V42" i="88"/>
  <c r="J46" i="88"/>
  <c r="V50" i="88"/>
  <c r="J52" i="88"/>
  <c r="V58" i="88"/>
  <c r="J60" i="88"/>
  <c r="V66" i="88"/>
  <c r="V70" i="88"/>
  <c r="J74" i="88"/>
  <c r="J78" i="88"/>
  <c r="V82" i="88"/>
  <c r="J84" i="88"/>
  <c r="V18" i="89"/>
  <c r="N25" i="89"/>
  <c r="N37" i="89"/>
  <c r="Z66" i="89"/>
  <c r="J25" i="88"/>
  <c r="J27" i="88"/>
  <c r="V31" i="88"/>
  <c r="J35" i="88"/>
  <c r="J39" i="88"/>
  <c r="V43" i="88"/>
  <c r="J47" i="88"/>
  <c r="V51" i="88"/>
  <c r="J55" i="88"/>
  <c r="V59" i="88"/>
  <c r="J63" i="88"/>
  <c r="V67" i="88"/>
  <c r="V71" i="88"/>
  <c r="V75" i="88"/>
  <c r="J79" i="88"/>
  <c r="V83" i="88"/>
  <c r="V89" i="89"/>
  <c r="V83" i="89"/>
  <c r="V63" i="89"/>
  <c r="V55" i="89"/>
  <c r="V47" i="89"/>
  <c r="V39" i="89"/>
  <c r="V35" i="89"/>
  <c r="V27" i="89"/>
  <c r="V19" i="89"/>
  <c r="V82" i="89"/>
  <c r="V62" i="89"/>
  <c r="V54" i="89"/>
  <c r="V46" i="89"/>
  <c r="V38" i="89"/>
  <c r="V34" i="89"/>
  <c r="V85" i="89"/>
  <c r="V81" i="89"/>
  <c r="V73" i="89"/>
  <c r="V65" i="89"/>
  <c r="V57" i="89"/>
  <c r="V49" i="89"/>
  <c r="V45" i="89"/>
  <c r="V37" i="89"/>
  <c r="V33" i="89"/>
  <c r="V84" i="89"/>
  <c r="V80" i="89"/>
  <c r="V72" i="89"/>
  <c r="V68" i="89"/>
  <c r="V64" i="89"/>
  <c r="V56" i="89"/>
  <c r="V48" i="89"/>
  <c r="V44" i="89"/>
  <c r="V32" i="89"/>
  <c r="T23" i="89"/>
  <c r="V23" i="89" s="1"/>
  <c r="V93" i="89"/>
  <c r="V87" i="89"/>
  <c r="V79" i="89"/>
  <c r="V75" i="89"/>
  <c r="V71" i="89"/>
  <c r="V67" i="89"/>
  <c r="V59" i="89"/>
  <c r="V51" i="89"/>
  <c r="V43" i="89"/>
  <c r="V31" i="89"/>
  <c r="V77" i="89"/>
  <c r="V69" i="89"/>
  <c r="V61" i="89"/>
  <c r="V53" i="89"/>
  <c r="V41" i="89"/>
  <c r="V29" i="89"/>
  <c r="V25" i="89"/>
  <c r="V21" i="89"/>
  <c r="V76" i="89"/>
  <c r="V60" i="89"/>
  <c r="V52" i="89"/>
  <c r="V40" i="89"/>
  <c r="V36" i="89"/>
  <c r="V28" i="89"/>
  <c r="V42" i="89"/>
  <c r="V66" i="89"/>
  <c r="J21" i="88"/>
  <c r="V23" i="88"/>
  <c r="J29" i="88"/>
  <c r="V33" i="88"/>
  <c r="V37" i="88"/>
  <c r="J41" i="88"/>
  <c r="V45" i="88"/>
  <c r="V49" i="88"/>
  <c r="J53" i="88"/>
  <c r="V57" i="88"/>
  <c r="J61" i="88"/>
  <c r="V65" i="88"/>
  <c r="V69" i="88"/>
  <c r="V73" i="88"/>
  <c r="J75" i="88"/>
  <c r="V77" i="88"/>
  <c r="J81" i="88"/>
  <c r="J85" i="88"/>
  <c r="V87" i="88"/>
  <c r="J91" i="88"/>
  <c r="V93" i="88"/>
  <c r="Z26" i="89"/>
  <c r="V58" i="89"/>
  <c r="N84" i="89"/>
  <c r="F85" i="90"/>
  <c r="F82" i="90"/>
  <c r="F42" i="90"/>
  <c r="F37" i="90"/>
  <c r="F30" i="90"/>
  <c r="F81" i="90"/>
  <c r="F64" i="90"/>
  <c r="F61" i="90"/>
  <c r="F56" i="90"/>
  <c r="F53" i="90"/>
  <c r="F48" i="90"/>
  <c r="F41" i="90"/>
  <c r="F87" i="90"/>
  <c r="F84" i="90"/>
  <c r="F80" i="90"/>
  <c r="F75" i="90"/>
  <c r="F40" i="90"/>
  <c r="F36" i="90"/>
  <c r="F79" i="90"/>
  <c r="F70" i="90"/>
  <c r="F66" i="90"/>
  <c r="F63" i="90"/>
  <c r="F58" i="90"/>
  <c r="F55" i="90"/>
  <c r="F50" i="90"/>
  <c r="F47" i="90"/>
  <c r="F39" i="90"/>
  <c r="F86" i="90"/>
  <c r="F78" i="90"/>
  <c r="F74" i="90"/>
  <c r="F46" i="90"/>
  <c r="F38" i="90"/>
  <c r="F34" i="90"/>
  <c r="F94" i="90"/>
  <c r="F88" i="90"/>
  <c r="F83" i="90"/>
  <c r="F76" i="90"/>
  <c r="F72" i="90"/>
  <c r="F68" i="90"/>
  <c r="F71" i="90"/>
  <c r="F67" i="90"/>
  <c r="F62" i="90"/>
  <c r="F59" i="90"/>
  <c r="F54" i="90"/>
  <c r="F52" i="90"/>
  <c r="F31" i="90"/>
  <c r="F73" i="90"/>
  <c r="F33" i="90"/>
  <c r="F32" i="90"/>
  <c r="F26" i="90"/>
  <c r="F18" i="90"/>
  <c r="F90" i="90"/>
  <c r="F60" i="90"/>
  <c r="F57" i="90"/>
  <c r="F49" i="90"/>
  <c r="F77" i="90"/>
  <c r="F65" i="90"/>
  <c r="F43" i="90"/>
  <c r="D23" i="90"/>
  <c r="F23" i="90" s="1"/>
  <c r="F21" i="90"/>
  <c r="F69" i="90"/>
  <c r="F45" i="90"/>
  <c r="F35" i="90"/>
  <c r="F29" i="90"/>
  <c r="F27" i="90"/>
  <c r="F19" i="90"/>
  <c r="F51" i="90"/>
  <c r="F28" i="90"/>
  <c r="F25" i="90"/>
  <c r="F20" i="90"/>
  <c r="V18" i="88"/>
  <c r="H23" i="88"/>
  <c r="V26" i="88"/>
  <c r="J30" i="88"/>
  <c r="V34" i="88"/>
  <c r="V38" i="88"/>
  <c r="J42" i="88"/>
  <c r="V46" i="88"/>
  <c r="J48" i="88"/>
  <c r="V54" i="88"/>
  <c r="J56" i="88"/>
  <c r="V62" i="88"/>
  <c r="J64" i="88"/>
  <c r="V74" i="88"/>
  <c r="V78" i="88"/>
  <c r="J82" i="88"/>
  <c r="V26" i="89"/>
  <c r="Z50" i="89"/>
  <c r="V70" i="89"/>
  <c r="V20" i="88"/>
  <c r="J26" i="88"/>
  <c r="V28" i="88"/>
  <c r="J32" i="88"/>
  <c r="V36" i="88"/>
  <c r="V40" i="88"/>
  <c r="J44" i="88"/>
  <c r="V52" i="88"/>
  <c r="J54" i="88"/>
  <c r="V60" i="88"/>
  <c r="J62" i="88"/>
  <c r="J68" i="88"/>
  <c r="J72" i="88"/>
  <c r="V80" i="88"/>
  <c r="N52" i="89"/>
  <c r="N69" i="89"/>
  <c r="L69" i="89"/>
  <c r="F44" i="90"/>
  <c r="V21" i="90"/>
  <c r="V25" i="90"/>
  <c r="J30" i="90"/>
  <c r="V46" i="90"/>
  <c r="X52" i="90"/>
  <c r="Z52" i="90" s="1"/>
  <c r="Z60" i="90"/>
  <c r="X60" i="90"/>
  <c r="J87" i="90"/>
  <c r="J81" i="90"/>
  <c r="J75" i="90"/>
  <c r="J61" i="90"/>
  <c r="J53" i="90"/>
  <c r="J41" i="90"/>
  <c r="J29" i="90"/>
  <c r="J84" i="90"/>
  <c r="J80" i="90"/>
  <c r="J70" i="90"/>
  <c r="J66" i="90"/>
  <c r="J58" i="90"/>
  <c r="J50" i="90"/>
  <c r="J40" i="90"/>
  <c r="J36" i="90"/>
  <c r="J79" i="90"/>
  <c r="J63" i="90"/>
  <c r="J55" i="90"/>
  <c r="J47" i="90"/>
  <c r="J39" i="90"/>
  <c r="J35" i="90"/>
  <c r="J90" i="90"/>
  <c r="J86" i="90"/>
  <c r="J78" i="90"/>
  <c r="J74" i="90"/>
  <c r="J60" i="90"/>
  <c r="J52" i="90"/>
  <c r="J46" i="90"/>
  <c r="J38" i="90"/>
  <c r="J83" i="90"/>
  <c r="J77" i="90"/>
  <c r="J73" i="90"/>
  <c r="J69" i="90"/>
  <c r="J65" i="90"/>
  <c r="J57" i="90"/>
  <c r="J49" i="90"/>
  <c r="J45" i="90"/>
  <c r="J33" i="90"/>
  <c r="J85" i="90"/>
  <c r="J71" i="90"/>
  <c r="J67" i="90"/>
  <c r="J82" i="90"/>
  <c r="J64" i="90"/>
  <c r="J56" i="90"/>
  <c r="J28" i="90"/>
  <c r="V38" i="90"/>
  <c r="J51" i="90"/>
  <c r="L54" i="90"/>
  <c r="N54" i="90" s="1"/>
  <c r="V60" i="90"/>
  <c r="N62" i="90"/>
  <c r="L62" i="90"/>
  <c r="V63" i="90"/>
  <c r="V80" i="90"/>
  <c r="V90" i="90"/>
  <c r="N20" i="91"/>
  <c r="X86" i="89"/>
  <c r="Z86" i="89" s="1"/>
  <c r="N12" i="90"/>
  <c r="J20" i="90"/>
  <c r="T96" i="90"/>
  <c r="V96" i="90" s="1"/>
  <c r="L25" i="90"/>
  <c r="N25" i="90" s="1"/>
  <c r="V30" i="90"/>
  <c r="J34" i="90"/>
  <c r="J44" i="90"/>
  <c r="J54" i="90"/>
  <c r="J68" i="90"/>
  <c r="Z75" i="90"/>
  <c r="J94" i="90"/>
  <c r="N31" i="91"/>
  <c r="V36" i="92"/>
  <c r="V33" i="92"/>
  <c r="V29" i="92"/>
  <c r="V25" i="92"/>
  <c r="T18" i="92"/>
  <c r="V15" i="92"/>
  <c r="V22" i="92"/>
  <c r="V20" i="92"/>
  <c r="V16" i="92"/>
  <c r="Z12" i="92"/>
  <c r="V34" i="92"/>
  <c r="V31" i="92"/>
  <c r="V27" i="92"/>
  <c r="V21" i="92"/>
  <c r="V18" i="92"/>
  <c r="V24" i="92"/>
  <c r="P12" i="90"/>
  <c r="J21" i="90"/>
  <c r="V23" i="90"/>
  <c r="J43" i="90"/>
  <c r="N19" i="91"/>
  <c r="J21" i="94"/>
  <c r="J18" i="94"/>
  <c r="J36" i="94"/>
  <c r="J33" i="94"/>
  <c r="J29" i="94"/>
  <c r="J25" i="94"/>
  <c r="H18" i="94"/>
  <c r="J15" i="94"/>
  <c r="J22" i="94"/>
  <c r="N12" i="94"/>
  <c r="J34" i="94"/>
  <c r="J31" i="94"/>
  <c r="J27" i="94"/>
  <c r="J24" i="94"/>
  <c r="J16" i="94"/>
  <c r="J20" i="94"/>
  <c r="V85" i="90"/>
  <c r="V77" i="90"/>
  <c r="V73" i="90"/>
  <c r="V69" i="90"/>
  <c r="V65" i="90"/>
  <c r="V57" i="90"/>
  <c r="V49" i="90"/>
  <c r="V45" i="90"/>
  <c r="V37" i="90"/>
  <c r="V33" i="90"/>
  <c r="V94" i="90"/>
  <c r="V92" i="90"/>
  <c r="V88" i="90"/>
  <c r="V76" i="90"/>
  <c r="V72" i="90"/>
  <c r="V68" i="90"/>
  <c r="V64" i="90"/>
  <c r="V56" i="90"/>
  <c r="V48" i="90"/>
  <c r="V44" i="90"/>
  <c r="V32" i="90"/>
  <c r="V87" i="90"/>
  <c r="V75" i="90"/>
  <c r="V71" i="90"/>
  <c r="V67" i="90"/>
  <c r="V59" i="90"/>
  <c r="V51" i="90"/>
  <c r="V43" i="90"/>
  <c r="V82" i="90"/>
  <c r="V70" i="90"/>
  <c r="V66" i="90"/>
  <c r="V58" i="90"/>
  <c r="V50" i="90"/>
  <c r="V42" i="90"/>
  <c r="V81" i="90"/>
  <c r="V61" i="90"/>
  <c r="V53" i="90"/>
  <c r="V41" i="90"/>
  <c r="V29" i="90"/>
  <c r="V83" i="90"/>
  <c r="V79" i="90"/>
  <c r="V86" i="90"/>
  <c r="V78" i="90"/>
  <c r="V74" i="90"/>
  <c r="V62" i="90"/>
  <c r="V54" i="90"/>
  <c r="V18" i="90"/>
  <c r="H23" i="90"/>
  <c r="J23" i="90" s="1"/>
  <c r="V26" i="90"/>
  <c r="V27" i="90"/>
  <c r="V28" i="90"/>
  <c r="V34" i="90"/>
  <c r="V40" i="90"/>
  <c r="J48" i="90"/>
  <c r="J76" i="90"/>
  <c r="X19" i="91"/>
  <c r="Z19" i="91" s="1"/>
  <c r="J32" i="90"/>
  <c r="J42" i="90"/>
  <c r="J88" i="90"/>
  <c r="J18" i="90"/>
  <c r="V20" i="90"/>
  <c r="J26" i="90"/>
  <c r="J31" i="90"/>
  <c r="N37" i="90"/>
  <c r="V39" i="90"/>
  <c r="V47" i="90"/>
  <c r="N52" i="90"/>
  <c r="J59" i="90"/>
  <c r="J72" i="90"/>
  <c r="L83" i="90"/>
  <c r="N83" i="90" s="1"/>
  <c r="V84" i="90"/>
  <c r="P75" i="91"/>
  <c r="R75" i="91" s="1"/>
  <c r="R17" i="91"/>
  <c r="V77" i="91"/>
  <c r="V65" i="91"/>
  <c r="V61" i="91"/>
  <c r="V57" i="91"/>
  <c r="V49" i="91"/>
  <c r="V41" i="91"/>
  <c r="V68" i="91"/>
  <c r="V64" i="91"/>
  <c r="V67" i="91"/>
  <c r="V63" i="91"/>
  <c r="V51" i="91"/>
  <c r="V43" i="91"/>
  <c r="V39" i="91"/>
  <c r="V70" i="91"/>
  <c r="V54" i="91"/>
  <c r="V42" i="91"/>
  <c r="V38" i="91"/>
  <c r="V73" i="91"/>
  <c r="V69" i="91"/>
  <c r="V59" i="91"/>
  <c r="V55" i="91"/>
  <c r="V72" i="91"/>
  <c r="V66" i="91"/>
  <c r="V62" i="91"/>
  <c r="V58" i="91"/>
  <c r="H79" i="91"/>
  <c r="V20" i="91"/>
  <c r="J24" i="91"/>
  <c r="V28" i="91"/>
  <c r="V32" i="91"/>
  <c r="R35" i="91"/>
  <c r="R36" i="91"/>
  <c r="R37" i="91"/>
  <c r="R38" i="91"/>
  <c r="V44" i="91"/>
  <c r="R46" i="91"/>
  <c r="V47" i="91"/>
  <c r="J49" i="91"/>
  <c r="V52" i="91"/>
  <c r="J72" i="91"/>
  <c r="L15" i="93"/>
  <c r="X12" i="91"/>
  <c r="Z12" i="91" s="1"/>
  <c r="R15" i="91"/>
  <c r="J17" i="91"/>
  <c r="R19" i="91"/>
  <c r="X20" i="91"/>
  <c r="Z20" i="91" s="1"/>
  <c r="V21" i="91"/>
  <c r="J25" i="91"/>
  <c r="V29" i="91"/>
  <c r="R30" i="91"/>
  <c r="J31" i="91"/>
  <c r="V33" i="91"/>
  <c r="R34" i="91"/>
  <c r="V35" i="91"/>
  <c r="V36" i="91"/>
  <c r="V37" i="91"/>
  <c r="Z53" i="91"/>
  <c r="R73" i="91"/>
  <c r="D12" i="91"/>
  <c r="V15" i="91"/>
  <c r="V19" i="91"/>
  <c r="L20" i="91"/>
  <c r="V23" i="91"/>
  <c r="R24" i="91"/>
  <c r="J27" i="91"/>
  <c r="J40" i="91"/>
  <c r="R49" i="91"/>
  <c r="Z51" i="91"/>
  <c r="L25" i="93"/>
  <c r="L29" i="93"/>
  <c r="L33" i="93"/>
  <c r="J67" i="91"/>
  <c r="J63" i="91"/>
  <c r="J51" i="91"/>
  <c r="J45" i="91"/>
  <c r="J37" i="91"/>
  <c r="J73" i="91"/>
  <c r="J60" i="91"/>
  <c r="J56" i="91"/>
  <c r="J69" i="91"/>
  <c r="J59" i="91"/>
  <c r="J53" i="91"/>
  <c r="J47" i="91"/>
  <c r="J66" i="91"/>
  <c r="J62" i="91"/>
  <c r="J58" i="91"/>
  <c r="J50" i="91"/>
  <c r="J44" i="91"/>
  <c r="J77" i="91"/>
  <c r="J75" i="91"/>
  <c r="J61" i="91"/>
  <c r="J57" i="91"/>
  <c r="J70" i="91"/>
  <c r="X15" i="91"/>
  <c r="V24" i="91"/>
  <c r="R25" i="91"/>
  <c r="J28" i="91"/>
  <c r="J32" i="91"/>
  <c r="J42" i="91"/>
  <c r="J43" i="91"/>
  <c r="N46" i="91"/>
  <c r="V48" i="91"/>
  <c r="J54" i="91"/>
  <c r="N55" i="91"/>
  <c r="V60" i="91"/>
  <c r="R63" i="91"/>
  <c r="R67" i="91"/>
  <c r="X21" i="93"/>
  <c r="J15" i="91"/>
  <c r="J19" i="91"/>
  <c r="J21" i="91"/>
  <c r="V25" i="91"/>
  <c r="J29" i="91"/>
  <c r="J33" i="91"/>
  <c r="J36" i="91"/>
  <c r="J38" i="91"/>
  <c r="J39" i="91"/>
  <c r="J46" i="91"/>
  <c r="J55" i="91"/>
  <c r="V56" i="91"/>
  <c r="J65" i="91"/>
  <c r="T17" i="91"/>
  <c r="X17" i="91" s="1"/>
  <c r="J22" i="91"/>
  <c r="V26" i="91"/>
  <c r="J30" i="91"/>
  <c r="J34" i="91"/>
  <c r="J35" i="91"/>
  <c r="V40" i="91"/>
  <c r="R41" i="91"/>
  <c r="X42" i="91"/>
  <c r="Z42" i="91" s="1"/>
  <c r="R44" i="91"/>
  <c r="J52" i="91"/>
  <c r="N53" i="91"/>
  <c r="R66" i="91"/>
  <c r="R62" i="91"/>
  <c r="R58" i="91"/>
  <c r="R55" i="91"/>
  <c r="R50" i="91"/>
  <c r="R77" i="91"/>
  <c r="R72" i="91"/>
  <c r="R65" i="91"/>
  <c r="R68" i="91"/>
  <c r="R64" i="91"/>
  <c r="R61" i="91"/>
  <c r="R57" i="91"/>
  <c r="R52" i="91"/>
  <c r="R40" i="91"/>
  <c r="R48" i="91"/>
  <c r="R43" i="91"/>
  <c r="R39" i="91"/>
  <c r="R70" i="91"/>
  <c r="R69" i="91"/>
  <c r="R60" i="91"/>
  <c r="R56" i="91"/>
  <c r="R53" i="91"/>
  <c r="R59" i="91"/>
  <c r="V17" i="91"/>
  <c r="J23" i="91"/>
  <c r="V27" i="91"/>
  <c r="R28" i="91"/>
  <c r="V31" i="91"/>
  <c r="R32" i="91"/>
  <c r="R42" i="91"/>
  <c r="Z44" i="91"/>
  <c r="V45" i="91"/>
  <c r="R47" i="91"/>
  <c r="J48" i="91"/>
  <c r="N51" i="91"/>
  <c r="R54" i="91"/>
  <c r="J64" i="91"/>
  <c r="J68" i="91"/>
  <c r="X69" i="91"/>
  <c r="X15" i="94"/>
  <c r="J22" i="92"/>
  <c r="R24" i="92"/>
  <c r="J16" i="93"/>
  <c r="J20" i="93"/>
  <c r="F16" i="94"/>
  <c r="F20" i="94"/>
  <c r="H18" i="92"/>
  <c r="J25" i="92"/>
  <c r="R27" i="92"/>
  <c r="J29" i="92"/>
  <c r="R31" i="92"/>
  <c r="J33" i="92"/>
  <c r="R34" i="92"/>
  <c r="J36" i="92"/>
  <c r="D18" i="93"/>
  <c r="T18" i="93"/>
  <c r="X12" i="92"/>
  <c r="J21" i="92"/>
  <c r="F27" i="92"/>
  <c r="F31" i="92"/>
  <c r="F34" i="92"/>
  <c r="J15" i="93"/>
  <c r="H18" i="93"/>
  <c r="F21" i="93"/>
  <c r="V21" i="93"/>
  <c r="J25" i="93"/>
  <c r="R27" i="93"/>
  <c r="J29" i="93"/>
  <c r="R31" i="93"/>
  <c r="J33" i="93"/>
  <c r="R34" i="93"/>
  <c r="J36" i="93"/>
  <c r="L12" i="94"/>
  <c r="F15" i="94"/>
  <c r="V15" i="94"/>
  <c r="D18" i="94"/>
  <c r="T18" i="94"/>
  <c r="R21" i="94"/>
  <c r="F25" i="94"/>
  <c r="V25" i="94"/>
  <c r="F29" i="94"/>
  <c r="V29" i="94"/>
  <c r="F33" i="94"/>
  <c r="V33" i="94"/>
  <c r="F36" i="94"/>
  <c r="V36" i="94"/>
  <c r="X73" i="91"/>
  <c r="Z73" i="91" s="1"/>
  <c r="F16" i="92"/>
  <c r="R22" i="92"/>
  <c r="J24" i="92"/>
  <c r="R16" i="93"/>
  <c r="J18" i="93"/>
  <c r="R20" i="93"/>
  <c r="F24" i="93"/>
  <c r="V24" i="93"/>
  <c r="F18" i="94"/>
  <c r="V18" i="94"/>
  <c r="R24" i="94"/>
  <c r="R15" i="92"/>
  <c r="P18" i="92"/>
  <c r="R25" i="92"/>
  <c r="J27" i="92"/>
  <c r="R29" i="92"/>
  <c r="J31" i="92"/>
  <c r="R33" i="92"/>
  <c r="J34" i="92"/>
  <c r="R36" i="92"/>
  <c r="X12" i="93"/>
  <c r="J21" i="93"/>
  <c r="F27" i="93"/>
  <c r="V27" i="93"/>
  <c r="F31" i="93"/>
  <c r="V31" i="93"/>
  <c r="F21" i="94"/>
  <c r="V21" i="94"/>
  <c r="R27" i="94"/>
  <c r="R31" i="94"/>
  <c r="J16" i="92"/>
  <c r="R18" i="92"/>
  <c r="J20" i="92"/>
  <c r="J24" i="93"/>
  <c r="F24" i="94"/>
  <c r="V24" i="94"/>
  <c r="R25" i="93"/>
  <c r="J27" i="93"/>
  <c r="R29" i="93"/>
  <c r="J31" i="93"/>
  <c r="R33" i="93"/>
  <c r="X12" i="94"/>
  <c r="F27" i="94"/>
  <c r="V27" i="94"/>
  <c r="F31" i="94"/>
  <c r="V31" i="94"/>
  <c r="N18" i="19" l="1"/>
  <c r="N18" i="5"/>
  <c r="D27" i="49"/>
  <c r="L27" i="49" s="1"/>
  <c r="Z18" i="19"/>
  <c r="N18" i="49"/>
  <c r="H31" i="14"/>
  <c r="Z18" i="31"/>
  <c r="Z18" i="46"/>
  <c r="Z18" i="40"/>
  <c r="Z18" i="44"/>
  <c r="Z31" i="44"/>
  <c r="Z27" i="44"/>
  <c r="N18" i="26"/>
  <c r="X18" i="53"/>
  <c r="L18" i="50"/>
  <c r="N27" i="10"/>
  <c r="X18" i="93"/>
  <c r="X18" i="46"/>
  <c r="X18" i="94"/>
  <c r="T27" i="34"/>
  <c r="Z27" i="34" s="1"/>
  <c r="X18" i="13"/>
  <c r="P27" i="46"/>
  <c r="L18" i="46"/>
  <c r="N18" i="53"/>
  <c r="H31" i="5"/>
  <c r="H36" i="5" s="1"/>
  <c r="N36" i="5" s="1"/>
  <c r="X18" i="28"/>
  <c r="N18" i="10"/>
  <c r="Z18" i="50"/>
  <c r="L18" i="25"/>
  <c r="N18" i="14"/>
  <c r="N18" i="50"/>
  <c r="N18" i="23"/>
  <c r="X18" i="22"/>
  <c r="X18" i="44"/>
  <c r="X18" i="40"/>
  <c r="H27" i="31"/>
  <c r="N18" i="31"/>
  <c r="T31" i="19"/>
  <c r="N18" i="40"/>
  <c r="P27" i="40"/>
  <c r="X27" i="40" s="1"/>
  <c r="H31" i="40"/>
  <c r="H36" i="40" s="1"/>
  <c r="N36" i="40" s="1"/>
  <c r="H27" i="34"/>
  <c r="N18" i="34"/>
  <c r="L18" i="93"/>
  <c r="D27" i="93"/>
  <c r="D36" i="92"/>
  <c r="R86" i="90"/>
  <c r="R83" i="90"/>
  <c r="R78" i="90"/>
  <c r="R74" i="90"/>
  <c r="R46" i="90"/>
  <c r="R38" i="90"/>
  <c r="R34" i="90"/>
  <c r="R77" i="90"/>
  <c r="R73" i="90"/>
  <c r="R69" i="90"/>
  <c r="R65" i="90"/>
  <c r="R62" i="90"/>
  <c r="R57" i="90"/>
  <c r="R54" i="90"/>
  <c r="R49" i="90"/>
  <c r="R45" i="90"/>
  <c r="R33" i="90"/>
  <c r="R94" i="90"/>
  <c r="R88" i="90"/>
  <c r="R85" i="90"/>
  <c r="R76" i="90"/>
  <c r="R72" i="90"/>
  <c r="R68" i="90"/>
  <c r="R44" i="90"/>
  <c r="R37" i="90"/>
  <c r="R71" i="90"/>
  <c r="R67" i="90"/>
  <c r="R64" i="90"/>
  <c r="R59" i="90"/>
  <c r="R56" i="90"/>
  <c r="R51" i="90"/>
  <c r="R48" i="90"/>
  <c r="R43" i="90"/>
  <c r="R87" i="90"/>
  <c r="R82" i="90"/>
  <c r="R75" i="90"/>
  <c r="R42" i="90"/>
  <c r="R30" i="90"/>
  <c r="R84" i="90"/>
  <c r="R80" i="90"/>
  <c r="R90" i="90"/>
  <c r="R79" i="90"/>
  <c r="R63" i="90"/>
  <c r="R60" i="90"/>
  <c r="R55" i="90"/>
  <c r="R52" i="90"/>
  <c r="R81" i="90"/>
  <c r="R21" i="90"/>
  <c r="R53" i="90"/>
  <c r="R47" i="90"/>
  <c r="R39" i="90"/>
  <c r="R25" i="90"/>
  <c r="R20" i="90"/>
  <c r="X12" i="90"/>
  <c r="Z12" i="90" s="1"/>
  <c r="R61" i="90"/>
  <c r="R50" i="90"/>
  <c r="R19" i="90"/>
  <c r="R58" i="90"/>
  <c r="R40" i="90"/>
  <c r="R29" i="90"/>
  <c r="R28" i="90"/>
  <c r="R27" i="90"/>
  <c r="R66" i="90"/>
  <c r="R41" i="90"/>
  <c r="R35" i="90"/>
  <c r="R26" i="90"/>
  <c r="R18" i="90"/>
  <c r="R70" i="90"/>
  <c r="R36" i="90"/>
  <c r="R32" i="90"/>
  <c r="R31" i="90"/>
  <c r="P23" i="90"/>
  <c r="R23" i="90" s="1"/>
  <c r="D87" i="83"/>
  <c r="L20" i="83"/>
  <c r="N20" i="83" s="1"/>
  <c r="H87" i="83"/>
  <c r="X23" i="82"/>
  <c r="P92" i="82"/>
  <c r="H91" i="76"/>
  <c r="D32" i="80"/>
  <c r="T90" i="74"/>
  <c r="H90" i="74"/>
  <c r="J31" i="69"/>
  <c r="H79" i="69"/>
  <c r="D84" i="63"/>
  <c r="L30" i="63"/>
  <c r="N30" i="63" s="1"/>
  <c r="D58" i="60"/>
  <c r="L16" i="60"/>
  <c r="H62" i="60"/>
  <c r="R74" i="51"/>
  <c r="R67" i="51"/>
  <c r="R64" i="51"/>
  <c r="R59" i="51"/>
  <c r="R56" i="51"/>
  <c r="R51" i="51"/>
  <c r="R39" i="51"/>
  <c r="P31" i="51"/>
  <c r="R23" i="51"/>
  <c r="R76" i="51"/>
  <c r="R70" i="51"/>
  <c r="R81" i="51"/>
  <c r="R69" i="51"/>
  <c r="R66" i="51"/>
  <c r="R61" i="51"/>
  <c r="R58" i="51"/>
  <c r="R49" i="51"/>
  <c r="R37" i="51"/>
  <c r="R29" i="51"/>
  <c r="R21" i="51"/>
  <c r="R75" i="51"/>
  <c r="R68" i="51"/>
  <c r="R63" i="51"/>
  <c r="R60" i="51"/>
  <c r="R55" i="51"/>
  <c r="R71" i="51"/>
  <c r="R50" i="51"/>
  <c r="R48" i="51"/>
  <c r="R36" i="51"/>
  <c r="R27" i="51"/>
  <c r="R26" i="51"/>
  <c r="R25" i="51"/>
  <c r="R24" i="51"/>
  <c r="R52" i="51"/>
  <c r="R47" i="51"/>
  <c r="R46" i="51"/>
  <c r="R35" i="51"/>
  <c r="R34" i="51"/>
  <c r="R57" i="51"/>
  <c r="R54" i="51"/>
  <c r="R53" i="51"/>
  <c r="R45" i="51"/>
  <c r="R38" i="51"/>
  <c r="R62" i="51"/>
  <c r="R44" i="51"/>
  <c r="R42" i="51"/>
  <c r="R41" i="51"/>
  <c r="R40" i="51"/>
  <c r="R33" i="51"/>
  <c r="R77" i="51"/>
  <c r="R43" i="51"/>
  <c r="R20" i="51"/>
  <c r="X12" i="51"/>
  <c r="Z12" i="51" s="1"/>
  <c r="R22" i="51"/>
  <c r="R31" i="51"/>
  <c r="R28" i="51"/>
  <c r="R19" i="51"/>
  <c r="R65" i="51"/>
  <c r="R72" i="51"/>
  <c r="T27" i="49"/>
  <c r="Z18" i="49"/>
  <c r="D26" i="54"/>
  <c r="L22" i="54"/>
  <c r="T75" i="48"/>
  <c r="H75" i="56"/>
  <c r="D79" i="51"/>
  <c r="L31" i="51"/>
  <c r="P27" i="49"/>
  <c r="X18" i="49"/>
  <c r="X18" i="43"/>
  <c r="P27" i="43"/>
  <c r="F104" i="39"/>
  <c r="F99" i="39"/>
  <c r="F88" i="39"/>
  <c r="F84" i="39"/>
  <c r="F80" i="39"/>
  <c r="F76" i="39"/>
  <c r="F72" i="39"/>
  <c r="F55" i="39"/>
  <c r="F52" i="39"/>
  <c r="F44" i="39"/>
  <c r="F32" i="39"/>
  <c r="L12" i="39"/>
  <c r="N12" i="39" s="1"/>
  <c r="F95" i="39"/>
  <c r="F87" i="39"/>
  <c r="F79" i="39"/>
  <c r="F75" i="39"/>
  <c r="F71" i="39"/>
  <c r="F66" i="39"/>
  <c r="F63" i="39"/>
  <c r="F58" i="39"/>
  <c r="F43" i="39"/>
  <c r="F38" i="39"/>
  <c r="F31" i="39"/>
  <c r="D25" i="39"/>
  <c r="F23" i="39"/>
  <c r="F107" i="39"/>
  <c r="F101" i="39"/>
  <c r="F98" i="39"/>
  <c r="F94" i="39"/>
  <c r="F86" i="39"/>
  <c r="F78" i="39"/>
  <c r="F54" i="39"/>
  <c r="F49" i="39"/>
  <c r="F42" i="39"/>
  <c r="F30" i="39"/>
  <c r="F22" i="39"/>
  <c r="F97" i="39"/>
  <c r="F93" i="39"/>
  <c r="F68" i="39"/>
  <c r="F65" i="39"/>
  <c r="F60" i="39"/>
  <c r="F57" i="39"/>
  <c r="F41" i="39"/>
  <c r="F37" i="39"/>
  <c r="F29" i="39"/>
  <c r="F21" i="39"/>
  <c r="F109" i="39"/>
  <c r="F103" i="39"/>
  <c r="F100" i="39"/>
  <c r="F92" i="39"/>
  <c r="F83" i="39"/>
  <c r="F56" i="39"/>
  <c r="F51" i="39"/>
  <c r="F48" i="39"/>
  <c r="F40" i="39"/>
  <c r="F36" i="39"/>
  <c r="F27" i="39"/>
  <c r="F102" i="39"/>
  <c r="F90" i="39"/>
  <c r="F85" i="39"/>
  <c r="F82" i="39"/>
  <c r="F77" i="39"/>
  <c r="F53" i="39"/>
  <c r="F50" i="39"/>
  <c r="F46" i="39"/>
  <c r="F34" i="39"/>
  <c r="F96" i="39"/>
  <c r="F91" i="39"/>
  <c r="F61" i="39"/>
  <c r="F106" i="39"/>
  <c r="F28" i="39"/>
  <c r="F73" i="39"/>
  <c r="F69" i="39"/>
  <c r="F35" i="39"/>
  <c r="F89" i="39"/>
  <c r="F62" i="39"/>
  <c r="F59" i="39"/>
  <c r="F47" i="39"/>
  <c r="F39" i="39"/>
  <c r="F108" i="39"/>
  <c r="F81" i="39"/>
  <c r="F64" i="39"/>
  <c r="F45" i="39"/>
  <c r="F33" i="39"/>
  <c r="F20" i="39"/>
  <c r="F74" i="39"/>
  <c r="F70" i="39"/>
  <c r="F67" i="39"/>
  <c r="F113" i="39"/>
  <c r="X18" i="47"/>
  <c r="P27" i="47"/>
  <c r="X18" i="41"/>
  <c r="P27" i="41"/>
  <c r="T27" i="38"/>
  <c r="Z18" i="38"/>
  <c r="D27" i="35"/>
  <c r="L18" i="35"/>
  <c r="T27" i="32"/>
  <c r="Z18" i="32"/>
  <c r="X18" i="32"/>
  <c r="P27" i="32"/>
  <c r="F97" i="45"/>
  <c r="F92" i="45"/>
  <c r="F84" i="45"/>
  <c r="F79" i="45"/>
  <c r="F76" i="45"/>
  <c r="F101" i="45"/>
  <c r="F95" i="45"/>
  <c r="F94" i="45"/>
  <c r="F82" i="45"/>
  <c r="F78" i="45"/>
  <c r="F74" i="45"/>
  <c r="F88" i="45"/>
  <c r="F81" i="45"/>
  <c r="F93" i="45"/>
  <c r="F90" i="45"/>
  <c r="F86" i="45"/>
  <c r="F85" i="45"/>
  <c r="F68" i="45"/>
  <c r="F65" i="45"/>
  <c r="F60" i="45"/>
  <c r="F57" i="45"/>
  <c r="F52" i="45"/>
  <c r="F49" i="45"/>
  <c r="F45" i="45"/>
  <c r="F33" i="45"/>
  <c r="F89" i="45"/>
  <c r="F72" i="45"/>
  <c r="F44" i="45"/>
  <c r="F32" i="45"/>
  <c r="F71" i="45"/>
  <c r="F67" i="45"/>
  <c r="F62" i="45"/>
  <c r="F59" i="45"/>
  <c r="F54" i="45"/>
  <c r="F51" i="45"/>
  <c r="F43" i="45"/>
  <c r="F31" i="45"/>
  <c r="F26" i="45"/>
  <c r="F18" i="45"/>
  <c r="F70" i="45"/>
  <c r="F42" i="45"/>
  <c r="F37" i="45"/>
  <c r="F30" i="45"/>
  <c r="F23" i="45"/>
  <c r="F69" i="45"/>
  <c r="F64" i="45"/>
  <c r="F61" i="45"/>
  <c r="F56" i="45"/>
  <c r="F53" i="45"/>
  <c r="F48" i="45"/>
  <c r="F41" i="45"/>
  <c r="F29" i="45"/>
  <c r="D23" i="45"/>
  <c r="F21" i="45"/>
  <c r="F87" i="45"/>
  <c r="F83" i="45"/>
  <c r="F73" i="45"/>
  <c r="F40" i="45"/>
  <c r="F36" i="45"/>
  <c r="F28" i="45"/>
  <c r="F20" i="45"/>
  <c r="L12" i="45"/>
  <c r="N12" i="45" s="1"/>
  <c r="F91" i="45"/>
  <c r="F77" i="45"/>
  <c r="F75" i="45"/>
  <c r="F66" i="45"/>
  <c r="F63" i="45"/>
  <c r="F58" i="45"/>
  <c r="F55" i="45"/>
  <c r="F50" i="45"/>
  <c r="F47" i="45"/>
  <c r="F39" i="45"/>
  <c r="F35" i="45"/>
  <c r="F27" i="45"/>
  <c r="F19" i="45"/>
  <c r="F80" i="45"/>
  <c r="F38" i="45"/>
  <c r="F46" i="45"/>
  <c r="F25" i="45"/>
  <c r="F34" i="45"/>
  <c r="D89" i="27"/>
  <c r="L31" i="27"/>
  <c r="H159" i="18"/>
  <c r="F114" i="30"/>
  <c r="T84" i="24"/>
  <c r="T27" i="23"/>
  <c r="Z18" i="23"/>
  <c r="P36" i="16"/>
  <c r="P27" i="19"/>
  <c r="X18" i="19"/>
  <c r="R144" i="15"/>
  <c r="J54" i="12"/>
  <c r="H158" i="12"/>
  <c r="T27" i="11"/>
  <c r="Z18" i="11"/>
  <c r="D27" i="16"/>
  <c r="L18" i="16"/>
  <c r="L18" i="5"/>
  <c r="D27" i="5"/>
  <c r="Z18" i="8"/>
  <c r="T27" i="8"/>
  <c r="T27" i="4"/>
  <c r="X27" i="4" s="1"/>
  <c r="Z18" i="4"/>
  <c r="H82" i="91"/>
  <c r="H27" i="93"/>
  <c r="N18" i="93"/>
  <c r="H27" i="92"/>
  <c r="N18" i="92"/>
  <c r="L18" i="92"/>
  <c r="H89" i="88"/>
  <c r="J23" i="88"/>
  <c r="T26" i="85"/>
  <c r="Z16" i="85"/>
  <c r="D63" i="87"/>
  <c r="H36" i="86"/>
  <c r="N18" i="86"/>
  <c r="V96" i="88"/>
  <c r="P34" i="79"/>
  <c r="T87" i="83"/>
  <c r="D91" i="76"/>
  <c r="L23" i="76"/>
  <c r="N23" i="76" s="1"/>
  <c r="T34" i="75"/>
  <c r="Z20" i="71"/>
  <c r="T72" i="71"/>
  <c r="H27" i="70"/>
  <c r="N18" i="70"/>
  <c r="F76" i="73"/>
  <c r="F82" i="73"/>
  <c r="F77" i="73"/>
  <c r="F51" i="73"/>
  <c r="F48" i="73"/>
  <c r="F40" i="73"/>
  <c r="F28" i="73"/>
  <c r="F75" i="73"/>
  <c r="F70" i="73"/>
  <c r="F66" i="73"/>
  <c r="F62" i="73"/>
  <c r="F59" i="73"/>
  <c r="F54" i="73"/>
  <c r="F39" i="73"/>
  <c r="F34" i="73"/>
  <c r="F27" i="73"/>
  <c r="D21" i="73"/>
  <c r="F21" i="73" s="1"/>
  <c r="F19" i="73"/>
  <c r="F78" i="73"/>
  <c r="F74" i="73"/>
  <c r="F50" i="73"/>
  <c r="F45" i="73"/>
  <c r="F38" i="73"/>
  <c r="F26" i="73"/>
  <c r="F18" i="73"/>
  <c r="F86" i="73"/>
  <c r="F80" i="73"/>
  <c r="F73" i="73"/>
  <c r="F69" i="73"/>
  <c r="F65" i="73"/>
  <c r="F61" i="73"/>
  <c r="F56" i="73"/>
  <c r="F53" i="73"/>
  <c r="F37" i="73"/>
  <c r="F33" i="73"/>
  <c r="F25" i="73"/>
  <c r="F17" i="73"/>
  <c r="F79" i="73"/>
  <c r="F72" i="73"/>
  <c r="F68" i="73"/>
  <c r="F64" i="73"/>
  <c r="F52" i="73"/>
  <c r="F47" i="73"/>
  <c r="F44" i="73"/>
  <c r="F36" i="73"/>
  <c r="F32" i="73"/>
  <c r="F23" i="73"/>
  <c r="L12" i="73"/>
  <c r="N12" i="73" s="1"/>
  <c r="F49" i="73"/>
  <c r="F46" i="73"/>
  <c r="F42" i="73"/>
  <c r="F30" i="73"/>
  <c r="F60" i="73"/>
  <c r="F57" i="73"/>
  <c r="F41" i="73"/>
  <c r="F29" i="73"/>
  <c r="F24" i="73"/>
  <c r="F16" i="73"/>
  <c r="F55" i="73"/>
  <c r="F35" i="73"/>
  <c r="F67" i="73"/>
  <c r="F71" i="73"/>
  <c r="F58" i="73"/>
  <c r="F43" i="73"/>
  <c r="F31" i="73"/>
  <c r="F63" i="73"/>
  <c r="F77" i="69"/>
  <c r="F71" i="69"/>
  <c r="F52" i="69"/>
  <c r="F40" i="69"/>
  <c r="F67" i="69"/>
  <c r="F62" i="69"/>
  <c r="F59" i="69"/>
  <c r="F51" i="69"/>
  <c r="F70" i="69"/>
  <c r="F50" i="69"/>
  <c r="F45" i="69"/>
  <c r="F38" i="69"/>
  <c r="F81" i="69"/>
  <c r="F76" i="69"/>
  <c r="F74" i="69"/>
  <c r="F69" i="69"/>
  <c r="F64" i="69"/>
  <c r="F61" i="69"/>
  <c r="F56" i="69"/>
  <c r="F49" i="69"/>
  <c r="F37" i="69"/>
  <c r="F72" i="69"/>
  <c r="F48" i="69"/>
  <c r="F44" i="69"/>
  <c r="F36" i="69"/>
  <c r="F75" i="69"/>
  <c r="F54" i="69"/>
  <c r="F46" i="69"/>
  <c r="F42" i="69"/>
  <c r="F68" i="69"/>
  <c r="F65" i="69"/>
  <c r="F60" i="69"/>
  <c r="F57" i="69"/>
  <c r="F47" i="69"/>
  <c r="F24" i="69"/>
  <c r="F19" i="69"/>
  <c r="F23" i="69"/>
  <c r="F34" i="69"/>
  <c r="F31" i="69"/>
  <c r="F22" i="69"/>
  <c r="L12" i="69"/>
  <c r="N12" i="69" s="1"/>
  <c r="F66" i="69"/>
  <c r="F41" i="69"/>
  <c r="D31" i="69"/>
  <c r="F29" i="69"/>
  <c r="F21" i="69"/>
  <c r="F63" i="69"/>
  <c r="F28" i="69"/>
  <c r="F20" i="69"/>
  <c r="F58" i="69"/>
  <c r="F55" i="69"/>
  <c r="F27" i="69"/>
  <c r="F43" i="69"/>
  <c r="F39" i="69"/>
  <c r="F33" i="69"/>
  <c r="F26" i="69"/>
  <c r="F35" i="69"/>
  <c r="F53" i="69"/>
  <c r="F25" i="69"/>
  <c r="T107" i="67"/>
  <c r="T32" i="72"/>
  <c r="R80" i="65"/>
  <c r="R71" i="65"/>
  <c r="R86" i="65"/>
  <c r="R91" i="65"/>
  <c r="R73" i="65"/>
  <c r="R83" i="65"/>
  <c r="R76" i="65"/>
  <c r="R77" i="65"/>
  <c r="R50" i="65"/>
  <c r="R38" i="65"/>
  <c r="R22" i="65"/>
  <c r="X12" i="65"/>
  <c r="Z12" i="65" s="1"/>
  <c r="R79" i="65"/>
  <c r="R78" i="65"/>
  <c r="R72" i="65"/>
  <c r="R70" i="65"/>
  <c r="R69" i="65"/>
  <c r="R66" i="65"/>
  <c r="R61" i="65"/>
  <c r="R58" i="65"/>
  <c r="R49" i="65"/>
  <c r="R37" i="65"/>
  <c r="R29" i="65"/>
  <c r="R21" i="65"/>
  <c r="R85" i="65"/>
  <c r="R81" i="65"/>
  <c r="R48" i="65"/>
  <c r="R44" i="65"/>
  <c r="R36" i="65"/>
  <c r="R33" i="65"/>
  <c r="R28" i="65"/>
  <c r="R20" i="65"/>
  <c r="R84" i="65"/>
  <c r="R68" i="65"/>
  <c r="R63" i="65"/>
  <c r="R60" i="65"/>
  <c r="R55" i="65"/>
  <c r="R47" i="65"/>
  <c r="R43" i="65"/>
  <c r="R35" i="65"/>
  <c r="R27" i="65"/>
  <c r="R87" i="65"/>
  <c r="R74" i="65"/>
  <c r="R54" i="65"/>
  <c r="R46" i="65"/>
  <c r="R42" i="65"/>
  <c r="R26" i="65"/>
  <c r="R19" i="65"/>
  <c r="R75" i="65"/>
  <c r="R65" i="65"/>
  <c r="R62" i="65"/>
  <c r="R57" i="65"/>
  <c r="R53" i="65"/>
  <c r="R41" i="65"/>
  <c r="R34" i="65"/>
  <c r="R25" i="65"/>
  <c r="R67" i="65"/>
  <c r="R31" i="65"/>
  <c r="R64" i="65"/>
  <c r="R40" i="65"/>
  <c r="R39" i="65"/>
  <c r="P31" i="65"/>
  <c r="R59" i="65"/>
  <c r="R24" i="65"/>
  <c r="R23" i="65"/>
  <c r="R56" i="65"/>
  <c r="R52" i="65"/>
  <c r="R51" i="65"/>
  <c r="R45" i="65"/>
  <c r="H33" i="64"/>
  <c r="L33" i="64" s="1"/>
  <c r="N16" i="64"/>
  <c r="P57" i="61"/>
  <c r="X16" i="61"/>
  <c r="R64" i="68"/>
  <c r="R55" i="68"/>
  <c r="R39" i="68"/>
  <c r="R35" i="68"/>
  <c r="R27" i="68"/>
  <c r="R54" i="68"/>
  <c r="R51" i="68"/>
  <c r="R46" i="68"/>
  <c r="R38" i="68"/>
  <c r="R34" i="68"/>
  <c r="R19" i="68"/>
  <c r="R77" i="68"/>
  <c r="R72" i="68"/>
  <c r="R61" i="68"/>
  <c r="R57" i="68"/>
  <c r="R45" i="68"/>
  <c r="R37" i="68"/>
  <c r="R33" i="68"/>
  <c r="R26" i="68"/>
  <c r="R68" i="68"/>
  <c r="R60" i="68"/>
  <c r="R53" i="68"/>
  <c r="R48" i="68"/>
  <c r="R44" i="68"/>
  <c r="R32" i="68"/>
  <c r="R67" i="68"/>
  <c r="R63" i="68"/>
  <c r="R59" i="68"/>
  <c r="R56" i="68"/>
  <c r="R43" i="68"/>
  <c r="R36" i="68"/>
  <c r="R31" i="68"/>
  <c r="P23" i="68"/>
  <c r="R70" i="68"/>
  <c r="R66" i="68"/>
  <c r="R50" i="68"/>
  <c r="R47" i="68"/>
  <c r="R42" i="68"/>
  <c r="R30" i="68"/>
  <c r="X12" i="68"/>
  <c r="Z12" i="68" s="1"/>
  <c r="R73" i="68"/>
  <c r="R65" i="68"/>
  <c r="R62" i="68"/>
  <c r="R58" i="68"/>
  <c r="R41" i="68"/>
  <c r="R29" i="68"/>
  <c r="R21" i="68"/>
  <c r="R40" i="68"/>
  <c r="R69" i="68"/>
  <c r="R52" i="68"/>
  <c r="R49" i="68"/>
  <c r="R20" i="68"/>
  <c r="R25" i="68"/>
  <c r="R28" i="68"/>
  <c r="T37" i="64"/>
  <c r="X18" i="52"/>
  <c r="P27" i="52"/>
  <c r="F79" i="65"/>
  <c r="F75" i="65"/>
  <c r="F85" i="65"/>
  <c r="F83" i="65"/>
  <c r="F78" i="65"/>
  <c r="F81" i="65"/>
  <c r="F72" i="65"/>
  <c r="F87" i="65"/>
  <c r="F54" i="65"/>
  <c r="F46" i="65"/>
  <c r="F42" i="65"/>
  <c r="F33" i="65"/>
  <c r="F26" i="65"/>
  <c r="F68" i="65"/>
  <c r="F65" i="65"/>
  <c r="F60" i="65"/>
  <c r="F57" i="65"/>
  <c r="F53" i="65"/>
  <c r="F41" i="65"/>
  <c r="F25" i="65"/>
  <c r="F76" i="65"/>
  <c r="F52" i="65"/>
  <c r="F40" i="65"/>
  <c r="F24" i="65"/>
  <c r="F19" i="65"/>
  <c r="F91" i="65"/>
  <c r="F77" i="65"/>
  <c r="F67" i="65"/>
  <c r="F62" i="65"/>
  <c r="F59" i="65"/>
  <c r="F51" i="65"/>
  <c r="F39" i="65"/>
  <c r="F34" i="65"/>
  <c r="F23" i="65"/>
  <c r="F70" i="65"/>
  <c r="F50" i="65"/>
  <c r="F45" i="65"/>
  <c r="F38" i="65"/>
  <c r="F22" i="65"/>
  <c r="L12" i="65"/>
  <c r="N12" i="65" s="1"/>
  <c r="F84" i="65"/>
  <c r="F80" i="65"/>
  <c r="F71" i="65"/>
  <c r="F69" i="65"/>
  <c r="F64" i="65"/>
  <c r="F61" i="65"/>
  <c r="F56" i="65"/>
  <c r="F49" i="65"/>
  <c r="F37" i="65"/>
  <c r="D31" i="65"/>
  <c r="F29" i="65"/>
  <c r="F21" i="65"/>
  <c r="F20" i="65"/>
  <c r="F73" i="65"/>
  <c r="F66" i="65"/>
  <c r="F35" i="65"/>
  <c r="F74" i="65"/>
  <c r="F63" i="65"/>
  <c r="F58" i="65"/>
  <c r="F36" i="65"/>
  <c r="F47" i="65"/>
  <c r="F43" i="65"/>
  <c r="F27" i="65"/>
  <c r="F28" i="65"/>
  <c r="F55" i="65"/>
  <c r="F86" i="65"/>
  <c r="F48" i="65"/>
  <c r="F44" i="65"/>
  <c r="T31" i="46"/>
  <c r="Z27" i="46"/>
  <c r="H31" i="49"/>
  <c r="N27" i="49"/>
  <c r="L18" i="47"/>
  <c r="D27" i="47"/>
  <c r="D27" i="32"/>
  <c r="L18" i="32"/>
  <c r="D27" i="40"/>
  <c r="L18" i="40"/>
  <c r="T117" i="36"/>
  <c r="V25" i="36"/>
  <c r="T119" i="30"/>
  <c r="V40" i="30"/>
  <c r="X18" i="25"/>
  <c r="P27" i="25"/>
  <c r="T27" i="29"/>
  <c r="X27" i="29" s="1"/>
  <c r="Z18" i="29"/>
  <c r="H89" i="27"/>
  <c r="N31" i="27"/>
  <c r="J31" i="27"/>
  <c r="R140" i="18"/>
  <c r="R136" i="18"/>
  <c r="R113" i="18"/>
  <c r="R108" i="18"/>
  <c r="R105" i="18"/>
  <c r="R96" i="18"/>
  <c r="R93" i="18"/>
  <c r="R84" i="18"/>
  <c r="R81" i="18"/>
  <c r="R76" i="18"/>
  <c r="R64" i="18"/>
  <c r="P56" i="18"/>
  <c r="R48" i="18"/>
  <c r="R40" i="18"/>
  <c r="R32" i="18"/>
  <c r="R24" i="18"/>
  <c r="R155" i="18"/>
  <c r="R150" i="18"/>
  <c r="R139" i="18"/>
  <c r="R135" i="18"/>
  <c r="R75" i="18"/>
  <c r="R63" i="18"/>
  <c r="R47" i="18"/>
  <c r="R39" i="18"/>
  <c r="R31" i="18"/>
  <c r="R23" i="18"/>
  <c r="R152" i="18"/>
  <c r="R146" i="18"/>
  <c r="R142" i="18"/>
  <c r="R134" i="18"/>
  <c r="R126" i="18"/>
  <c r="R122" i="18"/>
  <c r="R110" i="18"/>
  <c r="R107" i="18"/>
  <c r="R98" i="18"/>
  <c r="R95" i="18"/>
  <c r="R86" i="18"/>
  <c r="R83" i="18"/>
  <c r="R74" i="18"/>
  <c r="R62" i="18"/>
  <c r="R54" i="18"/>
  <c r="R46" i="18"/>
  <c r="R38" i="18"/>
  <c r="R30" i="18"/>
  <c r="R22" i="18"/>
  <c r="R157" i="18"/>
  <c r="R145" i="18"/>
  <c r="R138" i="18"/>
  <c r="R133" i="18"/>
  <c r="R129" i="18"/>
  <c r="R125" i="18"/>
  <c r="R121" i="18"/>
  <c r="R117" i="18"/>
  <c r="R101" i="18"/>
  <c r="R89" i="18"/>
  <c r="R73" i="18"/>
  <c r="R69" i="18"/>
  <c r="R61" i="18"/>
  <c r="R58" i="18"/>
  <c r="R53" i="18"/>
  <c r="R45" i="18"/>
  <c r="R37" i="18"/>
  <c r="R29" i="18"/>
  <c r="R154" i="18"/>
  <c r="R148" i="18"/>
  <c r="R144" i="18"/>
  <c r="R141" i="18"/>
  <c r="R132" i="18"/>
  <c r="R128" i="18"/>
  <c r="R124" i="18"/>
  <c r="R120" i="18"/>
  <c r="R116" i="18"/>
  <c r="R112" i="18"/>
  <c r="R109" i="18"/>
  <c r="R104" i="18"/>
  <c r="R100" i="18"/>
  <c r="R97" i="18"/>
  <c r="R92" i="18"/>
  <c r="R88" i="18"/>
  <c r="R85" i="18"/>
  <c r="R80" i="18"/>
  <c r="R72" i="18"/>
  <c r="R68" i="18"/>
  <c r="R60" i="18"/>
  <c r="R52" i="18"/>
  <c r="R44" i="18"/>
  <c r="R36" i="18"/>
  <c r="R28" i="18"/>
  <c r="R21" i="18"/>
  <c r="R156" i="18"/>
  <c r="R147" i="18"/>
  <c r="R143" i="18"/>
  <c r="R127" i="18"/>
  <c r="R123" i="18"/>
  <c r="R114" i="18"/>
  <c r="R111" i="18"/>
  <c r="R106" i="18"/>
  <c r="R99" i="18"/>
  <c r="R94" i="18"/>
  <c r="R87" i="18"/>
  <c r="R82" i="18"/>
  <c r="R78" i="18"/>
  <c r="R66" i="18"/>
  <c r="R59" i="18"/>
  <c r="R50" i="18"/>
  <c r="R42" i="18"/>
  <c r="R34" i="18"/>
  <c r="R26" i="18"/>
  <c r="X12" i="18"/>
  <c r="Z12" i="18" s="1"/>
  <c r="R161" i="18"/>
  <c r="R153" i="18"/>
  <c r="R137" i="18"/>
  <c r="R130" i="18"/>
  <c r="R118" i="18"/>
  <c r="R102" i="18"/>
  <c r="R90" i="18"/>
  <c r="R77" i="18"/>
  <c r="R70" i="18"/>
  <c r="R65" i="18"/>
  <c r="R56" i="18"/>
  <c r="R49" i="18"/>
  <c r="R41" i="18"/>
  <c r="R33" i="18"/>
  <c r="R25" i="18"/>
  <c r="R115" i="18"/>
  <c r="R67" i="18"/>
  <c r="R131" i="18"/>
  <c r="R103" i="18"/>
  <c r="R91" i="18"/>
  <c r="R27" i="18"/>
  <c r="R151" i="18"/>
  <c r="R35" i="18"/>
  <c r="R119" i="18"/>
  <c r="R71" i="18"/>
  <c r="R43" i="18"/>
  <c r="R79" i="18"/>
  <c r="R51" i="18"/>
  <c r="J56" i="18"/>
  <c r="D84" i="24"/>
  <c r="L30" i="24"/>
  <c r="N30" i="24" s="1"/>
  <c r="L18" i="23"/>
  <c r="D27" i="23"/>
  <c r="L18" i="11"/>
  <c r="H27" i="11"/>
  <c r="N18" i="11"/>
  <c r="T94" i="21"/>
  <c r="T27" i="22"/>
  <c r="X27" i="22" s="1"/>
  <c r="Z18" i="22"/>
  <c r="D90" i="21"/>
  <c r="L23" i="21"/>
  <c r="P31" i="13"/>
  <c r="N18" i="8"/>
  <c r="H27" i="8"/>
  <c r="D27" i="8"/>
  <c r="L18" i="8"/>
  <c r="D27" i="4"/>
  <c r="L18" i="4"/>
  <c r="T27" i="7"/>
  <c r="Z18" i="7"/>
  <c r="H175" i="3"/>
  <c r="H31" i="6"/>
  <c r="N26" i="6"/>
  <c r="T30" i="79"/>
  <c r="Z16" i="79"/>
  <c r="H26" i="77"/>
  <c r="N16" i="77"/>
  <c r="R82" i="74"/>
  <c r="R69" i="74"/>
  <c r="R57" i="74"/>
  <c r="R54" i="74"/>
  <c r="R49" i="74"/>
  <c r="R45" i="74"/>
  <c r="R33" i="74"/>
  <c r="R24" i="74"/>
  <c r="R18" i="74"/>
  <c r="R85" i="74"/>
  <c r="R72" i="74"/>
  <c r="R68" i="74"/>
  <c r="R65" i="74"/>
  <c r="R60" i="74"/>
  <c r="R44" i="74"/>
  <c r="R37" i="74"/>
  <c r="R32" i="74"/>
  <c r="P24" i="74"/>
  <c r="R79" i="74"/>
  <c r="R75" i="74"/>
  <c r="R71" i="74"/>
  <c r="R56" i="74"/>
  <c r="R51" i="74"/>
  <c r="R48" i="74"/>
  <c r="R43" i="74"/>
  <c r="R31" i="74"/>
  <c r="R78" i="74"/>
  <c r="R74" i="74"/>
  <c r="R67" i="74"/>
  <c r="R62" i="74"/>
  <c r="R59" i="74"/>
  <c r="R42" i="74"/>
  <c r="R30" i="74"/>
  <c r="R22" i="74"/>
  <c r="R88" i="74"/>
  <c r="R81" i="74"/>
  <c r="R77" i="74"/>
  <c r="R70" i="74"/>
  <c r="R53" i="74"/>
  <c r="R50" i="74"/>
  <c r="R41" i="74"/>
  <c r="R29" i="74"/>
  <c r="R26" i="74"/>
  <c r="R21" i="74"/>
  <c r="R83" i="74"/>
  <c r="R80" i="74"/>
  <c r="R76" i="74"/>
  <c r="R55" i="74"/>
  <c r="R52" i="74"/>
  <c r="R47" i="74"/>
  <c r="R39" i="74"/>
  <c r="R35" i="74"/>
  <c r="R19" i="74"/>
  <c r="R92" i="74"/>
  <c r="R86" i="74"/>
  <c r="R66" i="74"/>
  <c r="R63" i="74"/>
  <c r="R58" i="74"/>
  <c r="R46" i="74"/>
  <c r="R38" i="74"/>
  <c r="R34" i="74"/>
  <c r="R27" i="74"/>
  <c r="R20" i="74"/>
  <c r="X12" i="74"/>
  <c r="Z12" i="74" s="1"/>
  <c r="R73" i="74"/>
  <c r="R84" i="74"/>
  <c r="R28" i="74"/>
  <c r="R64" i="74"/>
  <c r="R36" i="74"/>
  <c r="R61" i="74"/>
  <c r="R40" i="74"/>
  <c r="T79" i="78"/>
  <c r="D72" i="71"/>
  <c r="L20" i="71"/>
  <c r="T27" i="70"/>
  <c r="Z18" i="70"/>
  <c r="P76" i="71"/>
  <c r="X72" i="71"/>
  <c r="X22" i="75"/>
  <c r="Z22" i="75" s="1"/>
  <c r="P30" i="75"/>
  <c r="T32" i="80"/>
  <c r="T79" i="69"/>
  <c r="D37" i="64"/>
  <c r="P62" i="60"/>
  <c r="H65" i="57"/>
  <c r="N16" i="57"/>
  <c r="L16" i="55"/>
  <c r="D31" i="55"/>
  <c r="P101" i="62"/>
  <c r="X17" i="62"/>
  <c r="Z16" i="55"/>
  <c r="T31" i="55"/>
  <c r="H79" i="51"/>
  <c r="N31" i="51"/>
  <c r="J31" i="51"/>
  <c r="P27" i="50"/>
  <c r="X18" i="50"/>
  <c r="H80" i="58"/>
  <c r="L76" i="58"/>
  <c r="N76" i="58" s="1"/>
  <c r="H26" i="54"/>
  <c r="N22" i="54"/>
  <c r="D65" i="57"/>
  <c r="L16" i="57"/>
  <c r="P31" i="55"/>
  <c r="X16" i="55"/>
  <c r="H31" i="50"/>
  <c r="N27" i="50"/>
  <c r="H31" i="55"/>
  <c r="N16" i="55"/>
  <c r="R93" i="45"/>
  <c r="R80" i="45"/>
  <c r="R77" i="45"/>
  <c r="R87" i="45"/>
  <c r="R97" i="45"/>
  <c r="R90" i="45"/>
  <c r="R86" i="45"/>
  <c r="R79" i="45"/>
  <c r="R89" i="45"/>
  <c r="R85" i="45"/>
  <c r="R94" i="45"/>
  <c r="R91" i="45"/>
  <c r="R82" i="45"/>
  <c r="R78" i="45"/>
  <c r="R101" i="45"/>
  <c r="R69" i="45"/>
  <c r="R66" i="45"/>
  <c r="R61" i="45"/>
  <c r="R58" i="45"/>
  <c r="R53" i="45"/>
  <c r="R50" i="45"/>
  <c r="R41" i="45"/>
  <c r="R29" i="45"/>
  <c r="R21" i="45"/>
  <c r="R95" i="45"/>
  <c r="R40" i="45"/>
  <c r="R36" i="45"/>
  <c r="R28" i="45"/>
  <c r="R25" i="45"/>
  <c r="R20" i="45"/>
  <c r="X12" i="45"/>
  <c r="Z12" i="45" s="1"/>
  <c r="R68" i="45"/>
  <c r="R63" i="45"/>
  <c r="R60" i="45"/>
  <c r="R55" i="45"/>
  <c r="R52" i="45"/>
  <c r="R47" i="45"/>
  <c r="R39" i="45"/>
  <c r="R35" i="45"/>
  <c r="R27" i="45"/>
  <c r="R19" i="45"/>
  <c r="R83" i="45"/>
  <c r="R75" i="45"/>
  <c r="R74" i="45"/>
  <c r="R73" i="45"/>
  <c r="R72" i="45"/>
  <c r="R46" i="45"/>
  <c r="R38" i="45"/>
  <c r="R34" i="45"/>
  <c r="R88" i="45"/>
  <c r="R84" i="45"/>
  <c r="R76" i="45"/>
  <c r="R65" i="45"/>
  <c r="R62" i="45"/>
  <c r="R57" i="45"/>
  <c r="R54" i="45"/>
  <c r="R49" i="45"/>
  <c r="R45" i="45"/>
  <c r="R33" i="45"/>
  <c r="R26" i="45"/>
  <c r="R18" i="45"/>
  <c r="R92" i="45"/>
  <c r="R44" i="45"/>
  <c r="R37" i="45"/>
  <c r="R32" i="45"/>
  <c r="R67" i="45"/>
  <c r="R64" i="45"/>
  <c r="R59" i="45"/>
  <c r="R56" i="45"/>
  <c r="R51" i="45"/>
  <c r="R48" i="45"/>
  <c r="R43" i="45"/>
  <c r="R31" i="45"/>
  <c r="P23" i="45"/>
  <c r="R23" i="45" s="1"/>
  <c r="R71" i="45"/>
  <c r="R81" i="45"/>
  <c r="R42" i="45"/>
  <c r="R70" i="45"/>
  <c r="R30" i="45"/>
  <c r="H27" i="44"/>
  <c r="N18" i="44"/>
  <c r="T106" i="45"/>
  <c r="T111" i="39"/>
  <c r="R73" i="33"/>
  <c r="R65" i="33"/>
  <c r="R62" i="33"/>
  <c r="R58" i="33"/>
  <c r="R41" i="33"/>
  <c r="R29" i="33"/>
  <c r="R21" i="33"/>
  <c r="R69" i="33"/>
  <c r="R52" i="33"/>
  <c r="R49" i="33"/>
  <c r="R40" i="33"/>
  <c r="R28" i="33"/>
  <c r="R25" i="33"/>
  <c r="R20" i="33"/>
  <c r="R64" i="33"/>
  <c r="R55" i="33"/>
  <c r="R39" i="33"/>
  <c r="R35" i="33"/>
  <c r="R27" i="33"/>
  <c r="R54" i="33"/>
  <c r="R51" i="33"/>
  <c r="R46" i="33"/>
  <c r="R38" i="33"/>
  <c r="R34" i="33"/>
  <c r="R19" i="33"/>
  <c r="R77" i="33"/>
  <c r="R72" i="33"/>
  <c r="R61" i="33"/>
  <c r="R57" i="33"/>
  <c r="R45" i="33"/>
  <c r="R37" i="33"/>
  <c r="R33" i="33"/>
  <c r="R26" i="33"/>
  <c r="R68" i="33"/>
  <c r="R60" i="33"/>
  <c r="R53" i="33"/>
  <c r="R48" i="33"/>
  <c r="R44" i="33"/>
  <c r="R32" i="33"/>
  <c r="R67" i="33"/>
  <c r="R63" i="33"/>
  <c r="R59" i="33"/>
  <c r="R56" i="33"/>
  <c r="R43" i="33"/>
  <c r="R36" i="33"/>
  <c r="R31" i="33"/>
  <c r="P23" i="33"/>
  <c r="R50" i="33"/>
  <c r="R30" i="33"/>
  <c r="R66" i="33"/>
  <c r="R47" i="33"/>
  <c r="R42" i="33"/>
  <c r="X12" i="33"/>
  <c r="Z12" i="33" s="1"/>
  <c r="R70" i="33"/>
  <c r="P27" i="37"/>
  <c r="X18" i="37"/>
  <c r="X18" i="35"/>
  <c r="P27" i="35"/>
  <c r="P27" i="26"/>
  <c r="X18" i="26"/>
  <c r="T27" i="17"/>
  <c r="Z18" i="17"/>
  <c r="H27" i="13"/>
  <c r="N18" i="13"/>
  <c r="T27" i="10"/>
  <c r="Z18" i="10"/>
  <c r="P96" i="9"/>
  <c r="X16" i="9"/>
  <c r="L18" i="7"/>
  <c r="D27" i="7"/>
  <c r="H100" i="9"/>
  <c r="X18" i="7"/>
  <c r="P27" i="7"/>
  <c r="D96" i="9"/>
  <c r="L16" i="9"/>
  <c r="H92" i="90"/>
  <c r="L18" i="94"/>
  <c r="D27" i="94"/>
  <c r="P36" i="93"/>
  <c r="T99" i="90"/>
  <c r="H59" i="87"/>
  <c r="N16" i="87"/>
  <c r="F30" i="86"/>
  <c r="F25" i="86"/>
  <c r="F22" i="86"/>
  <c r="L12" i="86"/>
  <c r="F34" i="86"/>
  <c r="F38" i="86"/>
  <c r="F32" i="86"/>
  <c r="F27" i="86"/>
  <c r="F24" i="86"/>
  <c r="F15" i="86"/>
  <c r="F18" i="86"/>
  <c r="F31" i="86"/>
  <c r="F28" i="86"/>
  <c r="F23" i="86"/>
  <c r="D18" i="86"/>
  <c r="F16" i="86"/>
  <c r="F26" i="86"/>
  <c r="F29" i="86"/>
  <c r="F21" i="86"/>
  <c r="F20" i="86"/>
  <c r="T92" i="82"/>
  <c r="Z23" i="82"/>
  <c r="V23" i="82"/>
  <c r="D26" i="85"/>
  <c r="L16" i="85"/>
  <c r="P28" i="81"/>
  <c r="X16" i="81"/>
  <c r="N16" i="80"/>
  <c r="H28" i="80"/>
  <c r="D30" i="79"/>
  <c r="L16" i="79"/>
  <c r="N16" i="79"/>
  <c r="H30" i="79"/>
  <c r="H30" i="75"/>
  <c r="L16" i="77"/>
  <c r="D26" i="77"/>
  <c r="D25" i="72"/>
  <c r="L19" i="72"/>
  <c r="N19" i="72" s="1"/>
  <c r="F19" i="72"/>
  <c r="D34" i="75"/>
  <c r="L18" i="70"/>
  <c r="D27" i="70"/>
  <c r="R22" i="75"/>
  <c r="F81" i="74"/>
  <c r="F77" i="74"/>
  <c r="F56" i="74"/>
  <c r="F53" i="74"/>
  <c r="F48" i="74"/>
  <c r="F41" i="74"/>
  <c r="F29" i="74"/>
  <c r="F21" i="74"/>
  <c r="F84" i="74"/>
  <c r="F67" i="74"/>
  <c r="F64" i="74"/>
  <c r="F59" i="74"/>
  <c r="F40" i="74"/>
  <c r="F36" i="74"/>
  <c r="F28" i="74"/>
  <c r="F20" i="74"/>
  <c r="F88" i="74"/>
  <c r="F83" i="74"/>
  <c r="F70" i="74"/>
  <c r="F55" i="74"/>
  <c r="F50" i="74"/>
  <c r="F47" i="74"/>
  <c r="F39" i="74"/>
  <c r="F35" i="74"/>
  <c r="F26" i="74"/>
  <c r="F19" i="74"/>
  <c r="F92" i="74"/>
  <c r="F86" i="74"/>
  <c r="F73" i="74"/>
  <c r="F66" i="74"/>
  <c r="F61" i="74"/>
  <c r="F58" i="74"/>
  <c r="F46" i="74"/>
  <c r="F38" i="74"/>
  <c r="F34" i="74"/>
  <c r="F80" i="74"/>
  <c r="F76" i="74"/>
  <c r="F69" i="74"/>
  <c r="F57" i="74"/>
  <c r="F52" i="74"/>
  <c r="F49" i="74"/>
  <c r="F45" i="74"/>
  <c r="F33" i="74"/>
  <c r="F82" i="74"/>
  <c r="F79" i="74"/>
  <c r="F75" i="74"/>
  <c r="F71" i="74"/>
  <c r="F54" i="74"/>
  <c r="F51" i="74"/>
  <c r="F43" i="74"/>
  <c r="F31" i="74"/>
  <c r="F18" i="74"/>
  <c r="F85" i="74"/>
  <c r="F78" i="74"/>
  <c r="F74" i="74"/>
  <c r="F65" i="74"/>
  <c r="F62" i="74"/>
  <c r="F42" i="74"/>
  <c r="F37" i="74"/>
  <c r="F30" i="74"/>
  <c r="D24" i="74"/>
  <c r="F24" i="74" s="1"/>
  <c r="F22" i="74"/>
  <c r="F60" i="74"/>
  <c r="F44" i="74"/>
  <c r="F32" i="74"/>
  <c r="F27" i="74"/>
  <c r="L12" i="74"/>
  <c r="N12" i="74" s="1"/>
  <c r="F72" i="74"/>
  <c r="F68" i="74"/>
  <c r="F63" i="74"/>
  <c r="H107" i="67"/>
  <c r="D57" i="61"/>
  <c r="L16" i="61"/>
  <c r="L18" i="52"/>
  <c r="D27" i="52"/>
  <c r="H93" i="65"/>
  <c r="P69" i="57"/>
  <c r="P22" i="54"/>
  <c r="X16" i="54"/>
  <c r="H27" i="46"/>
  <c r="L27" i="46" s="1"/>
  <c r="N18" i="46"/>
  <c r="N27" i="53"/>
  <c r="H31" i="53"/>
  <c r="T27" i="43"/>
  <c r="Z18" i="43"/>
  <c r="D27" i="37"/>
  <c r="L18" i="37"/>
  <c r="R119" i="36"/>
  <c r="R107" i="36"/>
  <c r="R104" i="36"/>
  <c r="R95" i="36"/>
  <c r="R55" i="36"/>
  <c r="R52" i="36"/>
  <c r="R43" i="36"/>
  <c r="R31" i="36"/>
  <c r="R23" i="36"/>
  <c r="R110" i="36"/>
  <c r="R94" i="36"/>
  <c r="R86" i="36"/>
  <c r="R78" i="36"/>
  <c r="R74" i="36"/>
  <c r="R71" i="36"/>
  <c r="R66" i="36"/>
  <c r="R63" i="36"/>
  <c r="R58" i="36"/>
  <c r="R42" i="36"/>
  <c r="R38" i="36"/>
  <c r="R30" i="36"/>
  <c r="R27" i="36"/>
  <c r="R22" i="36"/>
  <c r="R113" i="36"/>
  <c r="R106" i="36"/>
  <c r="R93" i="36"/>
  <c r="R89" i="36"/>
  <c r="R85" i="36"/>
  <c r="R77" i="36"/>
  <c r="R57" i="36"/>
  <c r="R54" i="36"/>
  <c r="R49" i="36"/>
  <c r="R41" i="36"/>
  <c r="R37" i="36"/>
  <c r="R29" i="36"/>
  <c r="R21" i="36"/>
  <c r="R109" i="36"/>
  <c r="R100" i="36"/>
  <c r="R92" i="36"/>
  <c r="R88" i="36"/>
  <c r="R84" i="36"/>
  <c r="R80" i="36"/>
  <c r="R76" i="36"/>
  <c r="R73" i="36"/>
  <c r="R68" i="36"/>
  <c r="R65" i="36"/>
  <c r="R60" i="36"/>
  <c r="R48" i="36"/>
  <c r="R40" i="36"/>
  <c r="R36" i="36"/>
  <c r="R115" i="36"/>
  <c r="R103" i="36"/>
  <c r="R99" i="36"/>
  <c r="R91" i="36"/>
  <c r="R83" i="36"/>
  <c r="R56" i="36"/>
  <c r="R51" i="36"/>
  <c r="R47" i="36"/>
  <c r="R35" i="36"/>
  <c r="R28" i="36"/>
  <c r="R20" i="36"/>
  <c r="R102" i="36"/>
  <c r="R98" i="36"/>
  <c r="R87" i="36"/>
  <c r="R82" i="36"/>
  <c r="R79" i="36"/>
  <c r="R75" i="36"/>
  <c r="R70" i="36"/>
  <c r="R67" i="36"/>
  <c r="R62" i="36"/>
  <c r="R59" i="36"/>
  <c r="R46" i="36"/>
  <c r="R39" i="36"/>
  <c r="R34" i="36"/>
  <c r="R25" i="36"/>
  <c r="R112" i="36"/>
  <c r="R105" i="36"/>
  <c r="R97" i="36"/>
  <c r="R90" i="36"/>
  <c r="R53" i="36"/>
  <c r="R50" i="36"/>
  <c r="R45" i="36"/>
  <c r="R33" i="36"/>
  <c r="P25" i="36"/>
  <c r="R81" i="36"/>
  <c r="R108" i="36"/>
  <c r="R64" i="36"/>
  <c r="R72" i="36"/>
  <c r="R61" i="36"/>
  <c r="R44" i="36"/>
  <c r="R69" i="36"/>
  <c r="R114" i="36"/>
  <c r="R32" i="36"/>
  <c r="X12" i="36"/>
  <c r="Z12" i="36" s="1"/>
  <c r="R101" i="36"/>
  <c r="R96" i="36"/>
  <c r="H27" i="32"/>
  <c r="N18" i="32"/>
  <c r="F88" i="42"/>
  <c r="F83" i="42"/>
  <c r="F80" i="42"/>
  <c r="F75" i="42"/>
  <c r="F72" i="42"/>
  <c r="F68" i="42"/>
  <c r="F63" i="42"/>
  <c r="F60" i="42"/>
  <c r="F44" i="42"/>
  <c r="F32" i="42"/>
  <c r="F27" i="42"/>
  <c r="F19" i="42"/>
  <c r="F99" i="42"/>
  <c r="F87" i="42"/>
  <c r="F79" i="42"/>
  <c r="F71" i="42"/>
  <c r="F54" i="42"/>
  <c r="F51" i="42"/>
  <c r="F43" i="42"/>
  <c r="F31" i="42"/>
  <c r="F110" i="42"/>
  <c r="F105" i="42"/>
  <c r="F103" i="42"/>
  <c r="F93" i="42"/>
  <c r="F86" i="42"/>
  <c r="F82" i="42"/>
  <c r="F78" i="42"/>
  <c r="F74" i="42"/>
  <c r="F70" i="42"/>
  <c r="F65" i="42"/>
  <c r="F62" i="42"/>
  <c r="F57" i="42"/>
  <c r="F42" i="42"/>
  <c r="F37" i="42"/>
  <c r="F30" i="42"/>
  <c r="D24" i="42"/>
  <c r="F22" i="42"/>
  <c r="L12" i="42"/>
  <c r="N12" i="42" s="1"/>
  <c r="F101" i="42"/>
  <c r="F96" i="42"/>
  <c r="F85" i="42"/>
  <c r="F77" i="42"/>
  <c r="F53" i="42"/>
  <c r="F48" i="42"/>
  <c r="F41" i="42"/>
  <c r="F29" i="42"/>
  <c r="F21" i="42"/>
  <c r="F92" i="42"/>
  <c r="F84" i="42"/>
  <c r="F76" i="42"/>
  <c r="F67" i="42"/>
  <c r="F64" i="42"/>
  <c r="F59" i="42"/>
  <c r="F56" i="42"/>
  <c r="F40" i="42"/>
  <c r="F36" i="42"/>
  <c r="F28" i="42"/>
  <c r="F20" i="42"/>
  <c r="F104" i="42"/>
  <c r="F98" i="42"/>
  <c r="F95" i="42"/>
  <c r="F91" i="42"/>
  <c r="F55" i="42"/>
  <c r="F50" i="42"/>
  <c r="F47" i="42"/>
  <c r="F39" i="42"/>
  <c r="F94" i="42"/>
  <c r="F90" i="42"/>
  <c r="F81" i="42"/>
  <c r="F73" i="42"/>
  <c r="F69" i="42"/>
  <c r="F66" i="42"/>
  <c r="F61" i="42"/>
  <c r="F58" i="42"/>
  <c r="F46" i="42"/>
  <c r="F38" i="42"/>
  <c r="F34" i="42"/>
  <c r="F52" i="42"/>
  <c r="F100" i="42"/>
  <c r="F45" i="42"/>
  <c r="F49" i="42"/>
  <c r="F97" i="42"/>
  <c r="F89" i="42"/>
  <c r="F35" i="42"/>
  <c r="F106" i="42"/>
  <c r="F26" i="42"/>
  <c r="F33" i="42"/>
  <c r="H115" i="39"/>
  <c r="X27" i="44"/>
  <c r="P31" i="44"/>
  <c r="H27" i="38"/>
  <c r="N18" i="38"/>
  <c r="T31" i="31"/>
  <c r="Z27" i="31"/>
  <c r="P31" i="28"/>
  <c r="X18" i="20"/>
  <c r="P27" i="20"/>
  <c r="L18" i="17"/>
  <c r="D27" i="17"/>
  <c r="X18" i="31"/>
  <c r="P27" i="31"/>
  <c r="T27" i="16"/>
  <c r="Z18" i="16"/>
  <c r="R87" i="27"/>
  <c r="R81" i="27"/>
  <c r="R74" i="27"/>
  <c r="R65" i="27"/>
  <c r="R62" i="27"/>
  <c r="R57" i="27"/>
  <c r="R53" i="27"/>
  <c r="R41" i="27"/>
  <c r="R34" i="27"/>
  <c r="R25" i="27"/>
  <c r="R84" i="27"/>
  <c r="R77" i="27"/>
  <c r="R52" i="27"/>
  <c r="R45" i="27"/>
  <c r="R40" i="27"/>
  <c r="R31" i="27"/>
  <c r="R24" i="27"/>
  <c r="R80" i="27"/>
  <c r="R71" i="27"/>
  <c r="R67" i="27"/>
  <c r="R64" i="27"/>
  <c r="R59" i="27"/>
  <c r="R56" i="27"/>
  <c r="R51" i="27"/>
  <c r="R39" i="27"/>
  <c r="P31" i="27"/>
  <c r="R23" i="27"/>
  <c r="R86" i="27"/>
  <c r="R70" i="27"/>
  <c r="R50" i="27"/>
  <c r="R38" i="27"/>
  <c r="R22" i="27"/>
  <c r="X12" i="27"/>
  <c r="Z12" i="27" s="1"/>
  <c r="R91" i="27"/>
  <c r="R73" i="27"/>
  <c r="R69" i="27"/>
  <c r="R66" i="27"/>
  <c r="R61" i="27"/>
  <c r="R58" i="27"/>
  <c r="R49" i="27"/>
  <c r="R37" i="27"/>
  <c r="R29" i="27"/>
  <c r="R21" i="27"/>
  <c r="R85" i="27"/>
  <c r="R79" i="27"/>
  <c r="R75" i="27"/>
  <c r="R72" i="27"/>
  <c r="R68" i="27"/>
  <c r="R63" i="27"/>
  <c r="R60" i="27"/>
  <c r="R55" i="27"/>
  <c r="R47" i="27"/>
  <c r="R43" i="27"/>
  <c r="R35" i="27"/>
  <c r="R27" i="27"/>
  <c r="R78" i="27"/>
  <c r="R54" i="27"/>
  <c r="R46" i="27"/>
  <c r="R42" i="27"/>
  <c r="R26" i="27"/>
  <c r="R19" i="27"/>
  <c r="R76" i="27"/>
  <c r="R44" i="27"/>
  <c r="R28" i="27"/>
  <c r="R48" i="27"/>
  <c r="R83" i="27"/>
  <c r="R36" i="27"/>
  <c r="R20" i="27"/>
  <c r="R33" i="27"/>
  <c r="P31" i="29"/>
  <c r="D27" i="29"/>
  <c r="L18" i="29"/>
  <c r="L18" i="10"/>
  <c r="D27" i="10"/>
  <c r="H88" i="24"/>
  <c r="J84" i="24"/>
  <c r="T158" i="12"/>
  <c r="X18" i="16"/>
  <c r="F145" i="15"/>
  <c r="F135" i="15"/>
  <c r="F147" i="15"/>
  <c r="F141" i="15"/>
  <c r="F137" i="15"/>
  <c r="F149" i="15"/>
  <c r="F142" i="15"/>
  <c r="F138" i="15"/>
  <c r="F153" i="15"/>
  <c r="F148" i="15"/>
  <c r="F127" i="15"/>
  <c r="F123" i="15"/>
  <c r="F119" i="15"/>
  <c r="F115" i="15"/>
  <c r="F111" i="15"/>
  <c r="F95" i="15"/>
  <c r="F83" i="15"/>
  <c r="F67" i="15"/>
  <c r="F63" i="15"/>
  <c r="F55" i="15"/>
  <c r="F47" i="15"/>
  <c r="F39" i="15"/>
  <c r="F31" i="15"/>
  <c r="F23" i="15"/>
  <c r="F126" i="15"/>
  <c r="F122" i="15"/>
  <c r="F118" i="15"/>
  <c r="F114" i="15"/>
  <c r="F110" i="15"/>
  <c r="F106" i="15"/>
  <c r="F101" i="15"/>
  <c r="F98" i="15"/>
  <c r="F94" i="15"/>
  <c r="F89" i="15"/>
  <c r="F86" i="15"/>
  <c r="F82" i="15"/>
  <c r="F77" i="15"/>
  <c r="F74" i="15"/>
  <c r="F66" i="15"/>
  <c r="F62" i="15"/>
  <c r="F54" i="15"/>
  <c r="F46" i="15"/>
  <c r="F38" i="15"/>
  <c r="F30" i="15"/>
  <c r="F22" i="15"/>
  <c r="F144" i="15"/>
  <c r="F139" i="15"/>
  <c r="F132" i="15"/>
  <c r="F125" i="15"/>
  <c r="F113" i="15"/>
  <c r="F109" i="15"/>
  <c r="F97" i="15"/>
  <c r="F85" i="15"/>
  <c r="F73" i="15"/>
  <c r="F65" i="15"/>
  <c r="F61" i="15"/>
  <c r="F52" i="15"/>
  <c r="F45" i="15"/>
  <c r="F37" i="15"/>
  <c r="F29" i="15"/>
  <c r="F140" i="15"/>
  <c r="F108" i="15"/>
  <c r="F103" i="15"/>
  <c r="F100" i="15"/>
  <c r="F91" i="15"/>
  <c r="F88" i="15"/>
  <c r="F79" i="15"/>
  <c r="F76" i="15"/>
  <c r="F72" i="15"/>
  <c r="F60" i="15"/>
  <c r="F44" i="15"/>
  <c r="F36" i="15"/>
  <c r="F28" i="15"/>
  <c r="F131" i="15"/>
  <c r="F71" i="15"/>
  <c r="F59" i="15"/>
  <c r="F43" i="15"/>
  <c r="F35" i="15"/>
  <c r="F27" i="15"/>
  <c r="F130" i="15"/>
  <c r="F121" i="15"/>
  <c r="F117" i="15"/>
  <c r="F105" i="15"/>
  <c r="F102" i="15"/>
  <c r="F93" i="15"/>
  <c r="F90" i="15"/>
  <c r="F81" i="15"/>
  <c r="F78" i="15"/>
  <c r="F70" i="15"/>
  <c r="F58" i="15"/>
  <c r="F53" i="15"/>
  <c r="F42" i="15"/>
  <c r="F34" i="15"/>
  <c r="F26" i="15"/>
  <c r="F21" i="15"/>
  <c r="L12" i="15"/>
  <c r="N12" i="15" s="1"/>
  <c r="F146" i="15"/>
  <c r="F129" i="15"/>
  <c r="F124" i="15"/>
  <c r="F112" i="15"/>
  <c r="F96" i="15"/>
  <c r="F84" i="15"/>
  <c r="F69" i="15"/>
  <c r="F64" i="15"/>
  <c r="F57" i="15"/>
  <c r="F41" i="15"/>
  <c r="F33" i="15"/>
  <c r="F25" i="15"/>
  <c r="F136" i="15"/>
  <c r="F134" i="15"/>
  <c r="F133" i="15"/>
  <c r="F128" i="15"/>
  <c r="F120" i="15"/>
  <c r="F116" i="15"/>
  <c r="F107" i="15"/>
  <c r="F104" i="15"/>
  <c r="F99" i="15"/>
  <c r="F92" i="15"/>
  <c r="F87" i="15"/>
  <c r="F80" i="15"/>
  <c r="F75" i="15"/>
  <c r="F68" i="15"/>
  <c r="F56" i="15"/>
  <c r="D50" i="15"/>
  <c r="F48" i="15"/>
  <c r="F40" i="15"/>
  <c r="F32" i="15"/>
  <c r="F24" i="15"/>
  <c r="X18" i="14"/>
  <c r="P27" i="14"/>
  <c r="H27" i="7"/>
  <c r="N18" i="7"/>
  <c r="T31" i="6"/>
  <c r="Z26" i="6"/>
  <c r="F165" i="3"/>
  <c r="X18" i="4"/>
  <c r="J79" i="91"/>
  <c r="P31" i="94"/>
  <c r="F70" i="91"/>
  <c r="F61" i="91"/>
  <c r="F57" i="91"/>
  <c r="F54" i="91"/>
  <c r="F38" i="91"/>
  <c r="F73" i="91"/>
  <c r="F67" i="91"/>
  <c r="F63" i="91"/>
  <c r="F60" i="91"/>
  <c r="F56" i="91"/>
  <c r="F51" i="91"/>
  <c r="F36" i="91"/>
  <c r="F59" i="91"/>
  <c r="F47" i="91"/>
  <c r="F42" i="91"/>
  <c r="F35" i="91"/>
  <c r="F69" i="91"/>
  <c r="F68" i="91"/>
  <c r="F64" i="91"/>
  <c r="F55" i="91"/>
  <c r="F52" i="91"/>
  <c r="F72" i="91"/>
  <c r="F50" i="91"/>
  <c r="F49" i="91"/>
  <c r="F31" i="91"/>
  <c r="F24" i="91"/>
  <c r="F17" i="91"/>
  <c r="F23" i="91"/>
  <c r="D17" i="91"/>
  <c r="F53" i="91"/>
  <c r="F48" i="91"/>
  <c r="F37" i="91"/>
  <c r="F34" i="91"/>
  <c r="F30" i="91"/>
  <c r="F22" i="91"/>
  <c r="L12" i="91"/>
  <c r="N12" i="91" s="1"/>
  <c r="F65" i="91"/>
  <c r="F39" i="91"/>
  <c r="F33" i="91"/>
  <c r="F29" i="91"/>
  <c r="F21" i="91"/>
  <c r="F77" i="91"/>
  <c r="F66" i="91"/>
  <c r="F46" i="91"/>
  <c r="F45" i="91"/>
  <c r="F43" i="91"/>
  <c r="F32" i="91"/>
  <c r="F28" i="91"/>
  <c r="F19" i="91"/>
  <c r="F15" i="91"/>
  <c r="F62" i="91"/>
  <c r="F26" i="91"/>
  <c r="F58" i="91"/>
  <c r="F25" i="91"/>
  <c r="F20" i="91"/>
  <c r="F40" i="91"/>
  <c r="F27" i="91"/>
  <c r="F41" i="91"/>
  <c r="F44" i="91"/>
  <c r="H27" i="94"/>
  <c r="N18" i="94"/>
  <c r="Z18" i="92"/>
  <c r="T27" i="92"/>
  <c r="R69" i="89"/>
  <c r="R40" i="89"/>
  <c r="R36" i="89"/>
  <c r="R28" i="89"/>
  <c r="R25" i="89"/>
  <c r="R20" i="89"/>
  <c r="R83" i="89"/>
  <c r="R76" i="89"/>
  <c r="R63" i="89"/>
  <c r="R60" i="89"/>
  <c r="R55" i="89"/>
  <c r="R52" i="89"/>
  <c r="R47" i="89"/>
  <c r="R39" i="89"/>
  <c r="R35" i="89"/>
  <c r="R89" i="89"/>
  <c r="R82" i="89"/>
  <c r="R46" i="89"/>
  <c r="R38" i="89"/>
  <c r="R34" i="89"/>
  <c r="R85" i="89"/>
  <c r="R81" i="89"/>
  <c r="R73" i="89"/>
  <c r="R65" i="89"/>
  <c r="R62" i="89"/>
  <c r="R57" i="89"/>
  <c r="R54" i="89"/>
  <c r="R49" i="89"/>
  <c r="R45" i="89"/>
  <c r="R33" i="89"/>
  <c r="R26" i="89"/>
  <c r="R18" i="89"/>
  <c r="R80" i="89"/>
  <c r="R72" i="89"/>
  <c r="R68" i="89"/>
  <c r="R44" i="89"/>
  <c r="R37" i="89"/>
  <c r="R32" i="89"/>
  <c r="R78" i="89"/>
  <c r="R70" i="89"/>
  <c r="R42" i="89"/>
  <c r="R30" i="89"/>
  <c r="R86" i="89"/>
  <c r="R77" i="89"/>
  <c r="R74" i="89"/>
  <c r="R66" i="89"/>
  <c r="R61" i="89"/>
  <c r="R58" i="89"/>
  <c r="R53" i="89"/>
  <c r="R50" i="89"/>
  <c r="R41" i="89"/>
  <c r="R29" i="89"/>
  <c r="R59" i="89"/>
  <c r="R75" i="89"/>
  <c r="R64" i="89"/>
  <c r="R43" i="89"/>
  <c r="R84" i="89"/>
  <c r="R67" i="89"/>
  <c r="P23" i="89"/>
  <c r="R23" i="89" s="1"/>
  <c r="R19" i="89"/>
  <c r="R87" i="89"/>
  <c r="R31" i="89"/>
  <c r="R71" i="89"/>
  <c r="R51" i="89"/>
  <c r="R93" i="89"/>
  <c r="R56" i="89"/>
  <c r="R27" i="89"/>
  <c r="R21" i="89"/>
  <c r="R48" i="89"/>
  <c r="X12" i="89"/>
  <c r="Z12" i="89" s="1"/>
  <c r="R79" i="89"/>
  <c r="F84" i="88"/>
  <c r="F77" i="88"/>
  <c r="F73" i="88"/>
  <c r="F69" i="88"/>
  <c r="F65" i="88"/>
  <c r="F60" i="88"/>
  <c r="F57" i="88"/>
  <c r="F52" i="88"/>
  <c r="F49" i="88"/>
  <c r="F45" i="88"/>
  <c r="F33" i="88"/>
  <c r="F83" i="88"/>
  <c r="F71" i="88"/>
  <c r="F67" i="88"/>
  <c r="F62" i="88"/>
  <c r="F59" i="88"/>
  <c r="F54" i="88"/>
  <c r="F51" i="88"/>
  <c r="F43" i="88"/>
  <c r="F31" i="88"/>
  <c r="F26" i="88"/>
  <c r="F18" i="88"/>
  <c r="F87" i="88"/>
  <c r="F82" i="88"/>
  <c r="F42" i="88"/>
  <c r="F37" i="88"/>
  <c r="F30" i="88"/>
  <c r="F80" i="88"/>
  <c r="F75" i="88"/>
  <c r="F40" i="88"/>
  <c r="F36" i="88"/>
  <c r="F28" i="88"/>
  <c r="F20" i="88"/>
  <c r="L12" i="88"/>
  <c r="N12" i="88" s="1"/>
  <c r="F79" i="88"/>
  <c r="F70" i="88"/>
  <c r="F66" i="88"/>
  <c r="F63" i="88"/>
  <c r="F58" i="88"/>
  <c r="F55" i="88"/>
  <c r="F50" i="88"/>
  <c r="F47" i="88"/>
  <c r="F39" i="88"/>
  <c r="F35" i="88"/>
  <c r="F27" i="88"/>
  <c r="F19" i="88"/>
  <c r="F81" i="88"/>
  <c r="F68" i="88"/>
  <c r="F61" i="88"/>
  <c r="F48" i="88"/>
  <c r="F38" i="88"/>
  <c r="F29" i="88"/>
  <c r="D23" i="88"/>
  <c r="F23" i="88" s="1"/>
  <c r="F56" i="88"/>
  <c r="F34" i="88"/>
  <c r="F74" i="88"/>
  <c r="F25" i="88"/>
  <c r="F64" i="88"/>
  <c r="F44" i="88"/>
  <c r="F91" i="88"/>
  <c r="F41" i="88"/>
  <c r="F21" i="88"/>
  <c r="F85" i="88"/>
  <c r="F78" i="88"/>
  <c r="F72" i="88"/>
  <c r="F53" i="88"/>
  <c r="F32" i="88"/>
  <c r="F46" i="88"/>
  <c r="F76" i="88"/>
  <c r="H91" i="89"/>
  <c r="T59" i="87"/>
  <c r="Z16" i="87"/>
  <c r="R36" i="86"/>
  <c r="P40" i="86"/>
  <c r="P51" i="84"/>
  <c r="X16" i="84"/>
  <c r="H92" i="82"/>
  <c r="T91" i="76"/>
  <c r="R77" i="73"/>
  <c r="R76" i="73"/>
  <c r="R82" i="73"/>
  <c r="R80" i="73"/>
  <c r="R79" i="73"/>
  <c r="R78" i="73"/>
  <c r="R72" i="73"/>
  <c r="R68" i="73"/>
  <c r="R64" i="73"/>
  <c r="R52" i="73"/>
  <c r="R49" i="73"/>
  <c r="R44" i="73"/>
  <c r="R36" i="73"/>
  <c r="R32" i="73"/>
  <c r="X12" i="73"/>
  <c r="Z12" i="73" s="1"/>
  <c r="R86" i="73"/>
  <c r="R71" i="73"/>
  <c r="R67" i="73"/>
  <c r="R63" i="73"/>
  <c r="R60" i="73"/>
  <c r="R55" i="73"/>
  <c r="R43" i="73"/>
  <c r="R35" i="73"/>
  <c r="R31" i="73"/>
  <c r="R24" i="73"/>
  <c r="R16" i="73"/>
  <c r="R51" i="73"/>
  <c r="R46" i="73"/>
  <c r="R42" i="73"/>
  <c r="R30" i="73"/>
  <c r="R70" i="73"/>
  <c r="R66" i="73"/>
  <c r="R62" i="73"/>
  <c r="R57" i="73"/>
  <c r="R54" i="73"/>
  <c r="R41" i="73"/>
  <c r="R34" i="73"/>
  <c r="R29" i="73"/>
  <c r="P21" i="73"/>
  <c r="R48" i="73"/>
  <c r="R45" i="73"/>
  <c r="R40" i="73"/>
  <c r="R28" i="73"/>
  <c r="R74" i="73"/>
  <c r="R50" i="73"/>
  <c r="R47" i="73"/>
  <c r="R38" i="73"/>
  <c r="R26" i="73"/>
  <c r="R23" i="73"/>
  <c r="R18" i="73"/>
  <c r="R73" i="73"/>
  <c r="R69" i="73"/>
  <c r="R65" i="73"/>
  <c r="R61" i="73"/>
  <c r="R58" i="73"/>
  <c r="R53" i="73"/>
  <c r="R37" i="73"/>
  <c r="R33" i="73"/>
  <c r="R25" i="73"/>
  <c r="R17" i="73"/>
  <c r="R39" i="73"/>
  <c r="R27" i="73"/>
  <c r="R59" i="73"/>
  <c r="R75" i="73"/>
  <c r="R56" i="73"/>
  <c r="R19" i="73"/>
  <c r="L22" i="75"/>
  <c r="N22" i="75" s="1"/>
  <c r="T58" i="60"/>
  <c r="Z16" i="60"/>
  <c r="F103" i="67"/>
  <c r="F97" i="67"/>
  <c r="F93" i="67"/>
  <c r="F82" i="67"/>
  <c r="F77" i="67"/>
  <c r="F89" i="67"/>
  <c r="F85" i="67"/>
  <c r="F73" i="67"/>
  <c r="F68" i="67"/>
  <c r="F65" i="67"/>
  <c r="F61" i="67"/>
  <c r="F49" i="67"/>
  <c r="F33" i="67"/>
  <c r="F25" i="67"/>
  <c r="F105" i="67"/>
  <c r="F99" i="67"/>
  <c r="F96" i="67"/>
  <c r="F92" i="67"/>
  <c r="F88" i="67"/>
  <c r="F84" i="67"/>
  <c r="F79" i="67"/>
  <c r="F76" i="67"/>
  <c r="F60" i="67"/>
  <c r="F48" i="67"/>
  <c r="F43" i="67"/>
  <c r="F32" i="67"/>
  <c r="F24" i="67"/>
  <c r="F19" i="67"/>
  <c r="F95" i="67"/>
  <c r="F91" i="67"/>
  <c r="F87" i="67"/>
  <c r="F75" i="67"/>
  <c r="F70" i="67"/>
  <c r="F67" i="67"/>
  <c r="F59" i="67"/>
  <c r="F47" i="67"/>
  <c r="F31" i="67"/>
  <c r="F23" i="67"/>
  <c r="F98" i="67"/>
  <c r="F94" i="67"/>
  <c r="F81" i="67"/>
  <c r="F78" i="67"/>
  <c r="F58" i="67"/>
  <c r="F53" i="67"/>
  <c r="F46" i="67"/>
  <c r="D40" i="67"/>
  <c r="F40" i="67" s="1"/>
  <c r="F38" i="67"/>
  <c r="F30" i="67"/>
  <c r="F22" i="67"/>
  <c r="L12" i="67"/>
  <c r="N12" i="67" s="1"/>
  <c r="F109" i="67"/>
  <c r="F104" i="67"/>
  <c r="F102" i="67"/>
  <c r="F100" i="67"/>
  <c r="F83" i="67"/>
  <c r="F80" i="67"/>
  <c r="F56" i="67"/>
  <c r="F71" i="67"/>
  <c r="F52" i="67"/>
  <c r="F72" i="67"/>
  <c r="F62" i="67"/>
  <c r="F57" i="67"/>
  <c r="F63" i="67"/>
  <c r="F44" i="67"/>
  <c r="F64" i="67"/>
  <c r="F54" i="67"/>
  <c r="F34" i="67"/>
  <c r="F26" i="67"/>
  <c r="F86" i="67"/>
  <c r="F74" i="67"/>
  <c r="F55" i="67"/>
  <c r="F50" i="67"/>
  <c r="F45" i="67"/>
  <c r="F42" i="67"/>
  <c r="F35" i="67"/>
  <c r="F27" i="67"/>
  <c r="F66" i="67"/>
  <c r="F37" i="67"/>
  <c r="F29" i="67"/>
  <c r="F21" i="67"/>
  <c r="F51" i="67"/>
  <c r="F69" i="67"/>
  <c r="F90" i="67"/>
  <c r="F36" i="67"/>
  <c r="F28" i="67"/>
  <c r="F20" i="67"/>
  <c r="H88" i="63"/>
  <c r="J84" i="63"/>
  <c r="T27" i="52"/>
  <c r="Z18" i="52"/>
  <c r="F31" i="51"/>
  <c r="X16" i="60"/>
  <c r="D31" i="50"/>
  <c r="L27" i="50"/>
  <c r="N18" i="41"/>
  <c r="H27" i="41"/>
  <c r="P75" i="56"/>
  <c r="X71" i="56"/>
  <c r="Z71" i="56" s="1"/>
  <c r="V103" i="45"/>
  <c r="T26" i="54"/>
  <c r="Z22" i="54"/>
  <c r="L71" i="56"/>
  <c r="N71" i="56" s="1"/>
  <c r="T31" i="40"/>
  <c r="Z27" i="40"/>
  <c r="T27" i="37"/>
  <c r="Z18" i="37"/>
  <c r="H27" i="35"/>
  <c r="N18" i="35"/>
  <c r="F77" i="33"/>
  <c r="F64" i="33"/>
  <c r="F61" i="33"/>
  <c r="F57" i="33"/>
  <c r="F45" i="33"/>
  <c r="F37" i="33"/>
  <c r="F33" i="33"/>
  <c r="F68" i="33"/>
  <c r="F60" i="33"/>
  <c r="F51" i="33"/>
  <c r="F48" i="33"/>
  <c r="F44" i="33"/>
  <c r="F32" i="33"/>
  <c r="F19" i="33"/>
  <c r="F72" i="33"/>
  <c r="F67" i="33"/>
  <c r="F63" i="33"/>
  <c r="F59" i="33"/>
  <c r="F43" i="33"/>
  <c r="F31" i="33"/>
  <c r="F26" i="33"/>
  <c r="F70" i="33"/>
  <c r="F66" i="33"/>
  <c r="F53" i="33"/>
  <c r="F50" i="33"/>
  <c r="F42" i="33"/>
  <c r="F30" i="33"/>
  <c r="L12" i="33"/>
  <c r="N12" i="33" s="1"/>
  <c r="F65" i="33"/>
  <c r="F56" i="33"/>
  <c r="F41" i="33"/>
  <c r="F36" i="33"/>
  <c r="F29" i="33"/>
  <c r="D23" i="33"/>
  <c r="F23" i="33" s="1"/>
  <c r="F21" i="33"/>
  <c r="F73" i="33"/>
  <c r="F52" i="33"/>
  <c r="F47" i="33"/>
  <c r="F40" i="33"/>
  <c r="F28" i="33"/>
  <c r="F20" i="33"/>
  <c r="F62" i="33"/>
  <c r="F58" i="33"/>
  <c r="F55" i="33"/>
  <c r="F39" i="33"/>
  <c r="F35" i="33"/>
  <c r="F27" i="33"/>
  <c r="F25" i="33"/>
  <c r="F49" i="33"/>
  <c r="F54" i="33"/>
  <c r="F38" i="33"/>
  <c r="F46" i="33"/>
  <c r="F69" i="33"/>
  <c r="F34" i="33"/>
  <c r="T79" i="33"/>
  <c r="R100" i="39"/>
  <c r="R92" i="39"/>
  <c r="R85" i="39"/>
  <c r="R77" i="39"/>
  <c r="R56" i="39"/>
  <c r="R53" i="39"/>
  <c r="R48" i="39"/>
  <c r="R40" i="39"/>
  <c r="R36" i="39"/>
  <c r="R106" i="39"/>
  <c r="R96" i="39"/>
  <c r="R91" i="39"/>
  <c r="R67" i="39"/>
  <c r="R64" i="39"/>
  <c r="R59" i="39"/>
  <c r="R47" i="39"/>
  <c r="R39" i="39"/>
  <c r="R35" i="39"/>
  <c r="R28" i="39"/>
  <c r="R20" i="39"/>
  <c r="R108" i="39"/>
  <c r="R102" i="39"/>
  <c r="R99" i="39"/>
  <c r="R90" i="39"/>
  <c r="R82" i="39"/>
  <c r="R55" i="39"/>
  <c r="R50" i="39"/>
  <c r="R46" i="39"/>
  <c r="R34" i="39"/>
  <c r="R113" i="39"/>
  <c r="R89" i="39"/>
  <c r="R81" i="39"/>
  <c r="R73" i="39"/>
  <c r="R69" i="39"/>
  <c r="R66" i="39"/>
  <c r="R61" i="39"/>
  <c r="R58" i="39"/>
  <c r="R45" i="39"/>
  <c r="R38" i="39"/>
  <c r="R33" i="39"/>
  <c r="P25" i="39"/>
  <c r="R25" i="39" s="1"/>
  <c r="R104" i="39"/>
  <c r="R101" i="39"/>
  <c r="R88" i="39"/>
  <c r="R84" i="39"/>
  <c r="R80" i="39"/>
  <c r="R76" i="39"/>
  <c r="R72" i="39"/>
  <c r="R52" i="39"/>
  <c r="R49" i="39"/>
  <c r="R44" i="39"/>
  <c r="R32" i="39"/>
  <c r="X12" i="39"/>
  <c r="Z12" i="39" s="1"/>
  <c r="R103" i="39"/>
  <c r="R98" i="39"/>
  <c r="R94" i="39"/>
  <c r="R86" i="39"/>
  <c r="R83" i="39"/>
  <c r="R78" i="39"/>
  <c r="R54" i="39"/>
  <c r="R51" i="39"/>
  <c r="R42" i="39"/>
  <c r="R30" i="39"/>
  <c r="R27" i="39"/>
  <c r="R22" i="39"/>
  <c r="R107" i="39"/>
  <c r="R62" i="39"/>
  <c r="R57" i="39"/>
  <c r="R41" i="39"/>
  <c r="R37" i="39"/>
  <c r="R63" i="39"/>
  <c r="R21" i="39"/>
  <c r="R65" i="39"/>
  <c r="R74" i="39"/>
  <c r="R70" i="39"/>
  <c r="R109" i="39"/>
  <c r="R95" i="39"/>
  <c r="R75" i="39"/>
  <c r="R71" i="39"/>
  <c r="R60" i="39"/>
  <c r="R97" i="39"/>
  <c r="R87" i="39"/>
  <c r="R93" i="39"/>
  <c r="R79" i="39"/>
  <c r="R68" i="39"/>
  <c r="R43" i="39"/>
  <c r="R31" i="39"/>
  <c r="R23" i="39"/>
  <c r="R29" i="39"/>
  <c r="L18" i="22"/>
  <c r="D27" i="22"/>
  <c r="H31" i="26"/>
  <c r="N27" i="26"/>
  <c r="T27" i="20"/>
  <c r="Z18" i="20"/>
  <c r="X18" i="29"/>
  <c r="H31" i="23"/>
  <c r="N27" i="23"/>
  <c r="P27" i="23"/>
  <c r="X18" i="23"/>
  <c r="P151" i="15"/>
  <c r="X50" i="15"/>
  <c r="R154" i="12"/>
  <c r="R138" i="12"/>
  <c r="R131" i="12"/>
  <c r="R123" i="12"/>
  <c r="R114" i="12"/>
  <c r="R111" i="12"/>
  <c r="R106" i="12"/>
  <c r="R103" i="12"/>
  <c r="R94" i="12"/>
  <c r="R91" i="12"/>
  <c r="R82" i="12"/>
  <c r="R79" i="12"/>
  <c r="R74" i="12"/>
  <c r="R62" i="12"/>
  <c r="P54" i="12"/>
  <c r="R46" i="12"/>
  <c r="R38" i="12"/>
  <c r="R30" i="12"/>
  <c r="R23" i="12"/>
  <c r="X12" i="12"/>
  <c r="Z12" i="12" s="1"/>
  <c r="R141" i="12"/>
  <c r="R137" i="12"/>
  <c r="R118" i="12"/>
  <c r="R73" i="12"/>
  <c r="R61" i="12"/>
  <c r="R45" i="12"/>
  <c r="R37" i="12"/>
  <c r="R29" i="12"/>
  <c r="R156" i="12"/>
  <c r="R151" i="12"/>
  <c r="R140" i="12"/>
  <c r="R136" i="12"/>
  <c r="R113" i="12"/>
  <c r="R108" i="12"/>
  <c r="R105" i="12"/>
  <c r="R96" i="12"/>
  <c r="R93" i="12"/>
  <c r="R84" i="12"/>
  <c r="R81" i="12"/>
  <c r="R72" i="12"/>
  <c r="R60" i="12"/>
  <c r="R52" i="12"/>
  <c r="R44" i="12"/>
  <c r="R36" i="12"/>
  <c r="R28" i="12"/>
  <c r="R153" i="12"/>
  <c r="R147" i="12"/>
  <c r="R143" i="12"/>
  <c r="R135" i="12"/>
  <c r="R127" i="12"/>
  <c r="R99" i="12"/>
  <c r="R87" i="12"/>
  <c r="R71" i="12"/>
  <c r="R67" i="12"/>
  <c r="R59" i="12"/>
  <c r="R56" i="12"/>
  <c r="R51" i="12"/>
  <c r="R43" i="12"/>
  <c r="R35" i="12"/>
  <c r="R27" i="12"/>
  <c r="R146" i="12"/>
  <c r="R139" i="12"/>
  <c r="R134" i="12"/>
  <c r="R130" i="12"/>
  <c r="R126" i="12"/>
  <c r="R122" i="12"/>
  <c r="R110" i="12"/>
  <c r="R107" i="12"/>
  <c r="R102" i="12"/>
  <c r="R98" i="12"/>
  <c r="R95" i="12"/>
  <c r="R90" i="12"/>
  <c r="R86" i="12"/>
  <c r="R83" i="12"/>
  <c r="R78" i="12"/>
  <c r="R70" i="12"/>
  <c r="R66" i="12"/>
  <c r="R58" i="12"/>
  <c r="R50" i="12"/>
  <c r="R42" i="12"/>
  <c r="R34" i="12"/>
  <c r="R26" i="12"/>
  <c r="R155" i="12"/>
  <c r="R149" i="12"/>
  <c r="R145" i="12"/>
  <c r="R142" i="12"/>
  <c r="R133" i="12"/>
  <c r="R129" i="12"/>
  <c r="R125" i="12"/>
  <c r="R121" i="12"/>
  <c r="R117" i="12"/>
  <c r="R101" i="12"/>
  <c r="R89" i="12"/>
  <c r="R77" i="12"/>
  <c r="R69" i="12"/>
  <c r="R65" i="12"/>
  <c r="R49" i="12"/>
  <c r="R41" i="12"/>
  <c r="R33" i="12"/>
  <c r="R25" i="12"/>
  <c r="R160" i="12"/>
  <c r="R152" i="12"/>
  <c r="R132" i="12"/>
  <c r="R124" i="12"/>
  <c r="R120" i="12"/>
  <c r="R116" i="12"/>
  <c r="R112" i="12"/>
  <c r="R109" i="12"/>
  <c r="R104" i="12"/>
  <c r="R97" i="12"/>
  <c r="R92" i="12"/>
  <c r="R85" i="12"/>
  <c r="R80" i="12"/>
  <c r="R76" i="12"/>
  <c r="R64" i="12"/>
  <c r="R57" i="12"/>
  <c r="R48" i="12"/>
  <c r="R40" i="12"/>
  <c r="R32" i="12"/>
  <c r="R24" i="12"/>
  <c r="R148" i="12"/>
  <c r="R144" i="12"/>
  <c r="R128" i="12"/>
  <c r="R119" i="12"/>
  <c r="R115" i="12"/>
  <c r="R100" i="12"/>
  <c r="R88" i="12"/>
  <c r="R75" i="12"/>
  <c r="R68" i="12"/>
  <c r="R63" i="12"/>
  <c r="R54" i="12"/>
  <c r="R47" i="12"/>
  <c r="R39" i="12"/>
  <c r="R31" i="12"/>
  <c r="T27" i="14"/>
  <c r="Z18" i="14"/>
  <c r="F153" i="12"/>
  <c r="F151" i="12"/>
  <c r="F146" i="12"/>
  <c r="F134" i="12"/>
  <c r="F130" i="12"/>
  <c r="F126" i="12"/>
  <c r="F122" i="12"/>
  <c r="F113" i="12"/>
  <c r="F110" i="12"/>
  <c r="F105" i="12"/>
  <c r="F102" i="12"/>
  <c r="F98" i="12"/>
  <c r="F93" i="12"/>
  <c r="F90" i="12"/>
  <c r="F86" i="12"/>
  <c r="F81" i="12"/>
  <c r="F78" i="12"/>
  <c r="F70" i="12"/>
  <c r="F66" i="12"/>
  <c r="F58" i="12"/>
  <c r="F50" i="12"/>
  <c r="F42" i="12"/>
  <c r="F34" i="12"/>
  <c r="F26" i="12"/>
  <c r="F149" i="12"/>
  <c r="F145" i="12"/>
  <c r="F133" i="12"/>
  <c r="F129" i="12"/>
  <c r="F125" i="12"/>
  <c r="F121" i="12"/>
  <c r="F117" i="12"/>
  <c r="F101" i="12"/>
  <c r="F89" i="12"/>
  <c r="F77" i="12"/>
  <c r="F69" i="12"/>
  <c r="F65" i="12"/>
  <c r="F56" i="12"/>
  <c r="F49" i="12"/>
  <c r="F41" i="12"/>
  <c r="F33" i="12"/>
  <c r="F25" i="12"/>
  <c r="F160" i="12"/>
  <c r="F155" i="12"/>
  <c r="F139" i="12"/>
  <c r="F132" i="12"/>
  <c r="F124" i="12"/>
  <c r="F120" i="12"/>
  <c r="F116" i="12"/>
  <c r="F112" i="12"/>
  <c r="F107" i="12"/>
  <c r="F104" i="12"/>
  <c r="F95" i="12"/>
  <c r="F92" i="12"/>
  <c r="F83" i="12"/>
  <c r="F80" i="12"/>
  <c r="F76" i="12"/>
  <c r="F64" i="12"/>
  <c r="F48" i="12"/>
  <c r="F40" i="12"/>
  <c r="F32" i="12"/>
  <c r="F24" i="12"/>
  <c r="F152" i="12"/>
  <c r="F142" i="12"/>
  <c r="F119" i="12"/>
  <c r="F115" i="12"/>
  <c r="F75" i="12"/>
  <c r="F63" i="12"/>
  <c r="F47" i="12"/>
  <c r="F39" i="12"/>
  <c r="F31" i="12"/>
  <c r="F138" i="12"/>
  <c r="F114" i="12"/>
  <c r="F109" i="12"/>
  <c r="F106" i="12"/>
  <c r="F97" i="12"/>
  <c r="F94" i="12"/>
  <c r="F85" i="12"/>
  <c r="F82" i="12"/>
  <c r="F74" i="12"/>
  <c r="F62" i="12"/>
  <c r="F57" i="12"/>
  <c r="F46" i="12"/>
  <c r="F38" i="12"/>
  <c r="F30" i="12"/>
  <c r="L12" i="12"/>
  <c r="N12" i="12" s="1"/>
  <c r="F154" i="12"/>
  <c r="F148" i="12"/>
  <c r="F144" i="12"/>
  <c r="F141" i="12"/>
  <c r="F137" i="12"/>
  <c r="F128" i="12"/>
  <c r="F100" i="12"/>
  <c r="F88" i="12"/>
  <c r="F73" i="12"/>
  <c r="F68" i="12"/>
  <c r="F61" i="12"/>
  <c r="F54" i="12"/>
  <c r="F45" i="12"/>
  <c r="F37" i="12"/>
  <c r="F29" i="12"/>
  <c r="F140" i="12"/>
  <c r="F136" i="12"/>
  <c r="F131" i="12"/>
  <c r="F123" i="12"/>
  <c r="F111" i="12"/>
  <c r="F108" i="12"/>
  <c r="F103" i="12"/>
  <c r="F96" i="12"/>
  <c r="F91" i="12"/>
  <c r="F84" i="12"/>
  <c r="F79" i="12"/>
  <c r="F72" i="12"/>
  <c r="F60" i="12"/>
  <c r="D54" i="12"/>
  <c r="F52" i="12"/>
  <c r="F44" i="12"/>
  <c r="F36" i="12"/>
  <c r="F28" i="12"/>
  <c r="F23" i="12"/>
  <c r="F156" i="12"/>
  <c r="F147" i="12"/>
  <c r="F143" i="12"/>
  <c r="F135" i="12"/>
  <c r="F127" i="12"/>
  <c r="F118" i="12"/>
  <c r="F99" i="12"/>
  <c r="F87" i="12"/>
  <c r="F71" i="12"/>
  <c r="F67" i="12"/>
  <c r="F59" i="12"/>
  <c r="F51" i="12"/>
  <c r="F43" i="12"/>
  <c r="F35" i="12"/>
  <c r="F27" i="12"/>
  <c r="X18" i="11"/>
  <c r="P27" i="11"/>
  <c r="H27" i="4"/>
  <c r="N18" i="4"/>
  <c r="P31" i="4"/>
  <c r="T175" i="3"/>
  <c r="T75" i="91"/>
  <c r="X75" i="91" s="1"/>
  <c r="Z17" i="91"/>
  <c r="R91" i="88"/>
  <c r="R85" i="88"/>
  <c r="R81" i="88"/>
  <c r="R70" i="88"/>
  <c r="R66" i="88"/>
  <c r="R61" i="88"/>
  <c r="R58" i="88"/>
  <c r="R53" i="88"/>
  <c r="R50" i="88"/>
  <c r="R41" i="88"/>
  <c r="R29" i="88"/>
  <c r="R21" i="88"/>
  <c r="R84" i="88"/>
  <c r="R79" i="88"/>
  <c r="R63" i="88"/>
  <c r="R60" i="88"/>
  <c r="R55" i="88"/>
  <c r="R52" i="88"/>
  <c r="R47" i="88"/>
  <c r="R39" i="88"/>
  <c r="R35" i="88"/>
  <c r="R27" i="88"/>
  <c r="R19" i="88"/>
  <c r="R78" i="88"/>
  <c r="R74" i="88"/>
  <c r="R46" i="88"/>
  <c r="R38" i="88"/>
  <c r="R34" i="88"/>
  <c r="R87" i="88"/>
  <c r="R76" i="88"/>
  <c r="R72" i="88"/>
  <c r="R68" i="88"/>
  <c r="R44" i="88"/>
  <c r="R37" i="88"/>
  <c r="R32" i="88"/>
  <c r="R83" i="88"/>
  <c r="R71" i="88"/>
  <c r="R67" i="88"/>
  <c r="R64" i="88"/>
  <c r="R59" i="88"/>
  <c r="R56" i="88"/>
  <c r="R51" i="88"/>
  <c r="R48" i="88"/>
  <c r="R43" i="88"/>
  <c r="R31" i="88"/>
  <c r="P23" i="88"/>
  <c r="R30" i="88"/>
  <c r="R75" i="88"/>
  <c r="R65" i="88"/>
  <c r="R45" i="88"/>
  <c r="R40" i="88"/>
  <c r="R20" i="88"/>
  <c r="R80" i="88"/>
  <c r="R77" i="88"/>
  <c r="R28" i="88"/>
  <c r="X12" i="88"/>
  <c r="Z12" i="88" s="1"/>
  <c r="R73" i="88"/>
  <c r="R49" i="88"/>
  <c r="R26" i="88"/>
  <c r="R25" i="88"/>
  <c r="R82" i="88"/>
  <c r="R69" i="88"/>
  <c r="R57" i="88"/>
  <c r="R18" i="88"/>
  <c r="R62" i="88"/>
  <c r="R36" i="88"/>
  <c r="R33" i="88"/>
  <c r="R54" i="88"/>
  <c r="R42" i="88"/>
  <c r="T36" i="86"/>
  <c r="Z18" i="86"/>
  <c r="X18" i="86"/>
  <c r="H55" i="84"/>
  <c r="X75" i="78"/>
  <c r="Z75" i="78" s="1"/>
  <c r="P25" i="72"/>
  <c r="X19" i="72"/>
  <c r="Z19" i="72" s="1"/>
  <c r="H75" i="78"/>
  <c r="N16" i="78"/>
  <c r="P91" i="76"/>
  <c r="X23" i="76"/>
  <c r="Z23" i="76" s="1"/>
  <c r="R23" i="76"/>
  <c r="T75" i="68"/>
  <c r="V31" i="69"/>
  <c r="T89" i="65"/>
  <c r="H105" i="62"/>
  <c r="P84" i="63"/>
  <c r="X30" i="63"/>
  <c r="Z30" i="63" s="1"/>
  <c r="R30" i="63"/>
  <c r="D64" i="59"/>
  <c r="H108" i="42"/>
  <c r="J24" i="42"/>
  <c r="P31" i="53"/>
  <c r="H99" i="45"/>
  <c r="J23" i="45"/>
  <c r="L18" i="41"/>
  <c r="D27" i="41"/>
  <c r="X18" i="38"/>
  <c r="P27" i="38"/>
  <c r="P79" i="48"/>
  <c r="X75" i="48"/>
  <c r="D78" i="56"/>
  <c r="L75" i="56"/>
  <c r="V25" i="39"/>
  <c r="X76" i="58"/>
  <c r="Z76" i="58" s="1"/>
  <c r="P80" i="58"/>
  <c r="H27" i="43"/>
  <c r="N18" i="43"/>
  <c r="H27" i="25"/>
  <c r="L27" i="25" s="1"/>
  <c r="N18" i="25"/>
  <c r="H119" i="30"/>
  <c r="H124" i="36"/>
  <c r="L18" i="28"/>
  <c r="D27" i="28"/>
  <c r="T27" i="28"/>
  <c r="Z18" i="28"/>
  <c r="L18" i="20"/>
  <c r="D27" i="20"/>
  <c r="D31" i="25"/>
  <c r="P31" i="22"/>
  <c r="L18" i="14"/>
  <c r="D27" i="14"/>
  <c r="T27" i="13"/>
  <c r="Z18" i="13"/>
  <c r="P22" i="6"/>
  <c r="X16" i="6"/>
  <c r="L62" i="3"/>
  <c r="N62" i="3" s="1"/>
  <c r="D175" i="3"/>
  <c r="T27" i="93"/>
  <c r="Z18" i="93"/>
  <c r="X18" i="92"/>
  <c r="P27" i="92"/>
  <c r="T27" i="94"/>
  <c r="Z18" i="94"/>
  <c r="T91" i="89"/>
  <c r="P79" i="91"/>
  <c r="F89" i="89"/>
  <c r="F80" i="89"/>
  <c r="F72" i="89"/>
  <c r="F68" i="89"/>
  <c r="F44" i="89"/>
  <c r="F32" i="89"/>
  <c r="F93" i="89"/>
  <c r="F87" i="89"/>
  <c r="F79" i="89"/>
  <c r="F75" i="89"/>
  <c r="F71" i="89"/>
  <c r="F67" i="89"/>
  <c r="F62" i="89"/>
  <c r="F59" i="89"/>
  <c r="F54" i="89"/>
  <c r="F51" i="89"/>
  <c r="F43" i="89"/>
  <c r="F31" i="89"/>
  <c r="F78" i="89"/>
  <c r="F70" i="89"/>
  <c r="F42" i="89"/>
  <c r="F37" i="89"/>
  <c r="F30" i="89"/>
  <c r="F84" i="89"/>
  <c r="F77" i="89"/>
  <c r="F64" i="89"/>
  <c r="F61" i="89"/>
  <c r="F56" i="89"/>
  <c r="F53" i="89"/>
  <c r="F48" i="89"/>
  <c r="F41" i="89"/>
  <c r="F29" i="89"/>
  <c r="D23" i="89"/>
  <c r="F21" i="89"/>
  <c r="F40" i="89"/>
  <c r="F36" i="89"/>
  <c r="F28" i="89"/>
  <c r="F20" i="89"/>
  <c r="F82" i="89"/>
  <c r="F69" i="89"/>
  <c r="F46" i="89"/>
  <c r="F38" i="89"/>
  <c r="F34" i="89"/>
  <c r="F25" i="89"/>
  <c r="F85" i="89"/>
  <c r="F81" i="89"/>
  <c r="F76" i="89"/>
  <c r="F73" i="89"/>
  <c r="F65" i="89"/>
  <c r="F60" i="89"/>
  <c r="F57" i="89"/>
  <c r="F52" i="89"/>
  <c r="F49" i="89"/>
  <c r="F45" i="89"/>
  <c r="F33" i="89"/>
  <c r="F58" i="89"/>
  <c r="F74" i="89"/>
  <c r="F55" i="89"/>
  <c r="F27" i="89"/>
  <c r="F26" i="89"/>
  <c r="L12" i="89"/>
  <c r="N12" i="89" s="1"/>
  <c r="F66" i="89"/>
  <c r="F35" i="89"/>
  <c r="F86" i="89"/>
  <c r="F83" i="89"/>
  <c r="F63" i="89"/>
  <c r="F19" i="89"/>
  <c r="F50" i="89"/>
  <c r="F18" i="89"/>
  <c r="F47" i="89"/>
  <c r="F39" i="89"/>
  <c r="H26" i="85"/>
  <c r="N16" i="85"/>
  <c r="Z16" i="84"/>
  <c r="T51" i="84"/>
  <c r="P59" i="87"/>
  <c r="X16" i="87"/>
  <c r="R78" i="83"/>
  <c r="R74" i="83"/>
  <c r="R67" i="83"/>
  <c r="R54" i="83"/>
  <c r="R51" i="83"/>
  <c r="R42" i="83"/>
  <c r="R34" i="83"/>
  <c r="R30" i="83"/>
  <c r="R23" i="83"/>
  <c r="R89" i="83"/>
  <c r="R84" i="83"/>
  <c r="R77" i="83"/>
  <c r="R73" i="83"/>
  <c r="R45" i="83"/>
  <c r="R41" i="83"/>
  <c r="R29" i="83"/>
  <c r="R94" i="83"/>
  <c r="R87" i="83"/>
  <c r="R80" i="83"/>
  <c r="R72" i="83"/>
  <c r="R64" i="83"/>
  <c r="R56" i="83"/>
  <c r="R53" i="83"/>
  <c r="R76" i="83"/>
  <c r="R71" i="83"/>
  <c r="R63" i="83"/>
  <c r="R59" i="83"/>
  <c r="R82" i="83"/>
  <c r="R79" i="83"/>
  <c r="R70" i="83"/>
  <c r="R66" i="83"/>
  <c r="R62" i="83"/>
  <c r="R58" i="83"/>
  <c r="R55" i="83"/>
  <c r="R50" i="83"/>
  <c r="R38" i="83"/>
  <c r="R91" i="83"/>
  <c r="R81" i="83"/>
  <c r="R68" i="83"/>
  <c r="R65" i="83"/>
  <c r="R57" i="83"/>
  <c r="R52" i="83"/>
  <c r="R36" i="83"/>
  <c r="R32" i="83"/>
  <c r="R75" i="83"/>
  <c r="R60" i="83"/>
  <c r="R48" i="83"/>
  <c r="R43" i="83"/>
  <c r="R35" i="83"/>
  <c r="R31" i="83"/>
  <c r="R40" i="83"/>
  <c r="R39" i="83"/>
  <c r="P20" i="83"/>
  <c r="R27" i="83"/>
  <c r="R69" i="83"/>
  <c r="R61" i="83"/>
  <c r="R46" i="83"/>
  <c r="R28" i="83"/>
  <c r="R37" i="83"/>
  <c r="R33" i="83"/>
  <c r="R22" i="83"/>
  <c r="R17" i="83"/>
  <c r="R49" i="83"/>
  <c r="R47" i="83"/>
  <c r="X12" i="83"/>
  <c r="Z12" i="83" s="1"/>
  <c r="R85" i="83"/>
  <c r="R25" i="83"/>
  <c r="R44" i="83"/>
  <c r="R26" i="83"/>
  <c r="R20" i="83"/>
  <c r="R16" i="83"/>
  <c r="R18" i="83"/>
  <c r="R24" i="83"/>
  <c r="F81" i="82"/>
  <c r="F90" i="82"/>
  <c r="F84" i="82"/>
  <c r="F72" i="82"/>
  <c r="F64" i="82"/>
  <c r="F61" i="82"/>
  <c r="F56" i="82"/>
  <c r="F41" i="82"/>
  <c r="F36" i="82"/>
  <c r="F29" i="82"/>
  <c r="D23" i="82"/>
  <c r="F21" i="82"/>
  <c r="F86" i="82"/>
  <c r="F83" i="82"/>
  <c r="F79" i="82"/>
  <c r="F74" i="82"/>
  <c r="F71" i="82"/>
  <c r="F63" i="82"/>
  <c r="F58" i="82"/>
  <c r="F55" i="82"/>
  <c r="F39" i="82"/>
  <c r="F35" i="82"/>
  <c r="F27" i="82"/>
  <c r="F19" i="82"/>
  <c r="F94" i="82"/>
  <c r="F82" i="82"/>
  <c r="F78" i="82"/>
  <c r="F70" i="82"/>
  <c r="F66" i="82"/>
  <c r="F54" i="82"/>
  <c r="F49" i="82"/>
  <c r="F46" i="82"/>
  <c r="F38" i="82"/>
  <c r="F34" i="82"/>
  <c r="F25" i="82"/>
  <c r="F89" i="82"/>
  <c r="F76" i="82"/>
  <c r="F68" i="82"/>
  <c r="F51" i="82"/>
  <c r="F48" i="82"/>
  <c r="F44" i="82"/>
  <c r="F32" i="82"/>
  <c r="F87" i="82"/>
  <c r="F75" i="82"/>
  <c r="F62" i="82"/>
  <c r="F59" i="82"/>
  <c r="F43" i="82"/>
  <c r="F31" i="82"/>
  <c r="F26" i="82"/>
  <c r="F18" i="82"/>
  <c r="F80" i="82"/>
  <c r="F20" i="82"/>
  <c r="F73" i="82"/>
  <c r="F69" i="82"/>
  <c r="F57" i="82"/>
  <c r="F52" i="82"/>
  <c r="F40" i="82"/>
  <c r="F28" i="82"/>
  <c r="F23" i="82"/>
  <c r="F85" i="82"/>
  <c r="F65" i="82"/>
  <c r="F60" i="82"/>
  <c r="F53" i="82"/>
  <c r="F37" i="82"/>
  <c r="F33" i="82"/>
  <c r="F45" i="82"/>
  <c r="F30" i="82"/>
  <c r="F67" i="82"/>
  <c r="F42" i="82"/>
  <c r="F77" i="82"/>
  <c r="L12" i="82"/>
  <c r="N12" i="82" s="1"/>
  <c r="F47" i="82"/>
  <c r="F50" i="82"/>
  <c r="L16" i="81"/>
  <c r="D28" i="81"/>
  <c r="P82" i="78"/>
  <c r="X79" i="78"/>
  <c r="X16" i="77"/>
  <c r="P26" i="77"/>
  <c r="Z32" i="81"/>
  <c r="T35" i="81"/>
  <c r="Z35" i="81" s="1"/>
  <c r="J23" i="76"/>
  <c r="H32" i="72"/>
  <c r="J29" i="72"/>
  <c r="H84" i="73"/>
  <c r="R74" i="69"/>
  <c r="P79" i="69"/>
  <c r="X31" i="69"/>
  <c r="Z31" i="69" s="1"/>
  <c r="X16" i="64"/>
  <c r="P33" i="64"/>
  <c r="T84" i="63"/>
  <c r="T57" i="61"/>
  <c r="Z16" i="61"/>
  <c r="Z16" i="57"/>
  <c r="T65" i="57"/>
  <c r="T101" i="62"/>
  <c r="Z17" i="62"/>
  <c r="N16" i="59"/>
  <c r="H60" i="59"/>
  <c r="L60" i="59" s="1"/>
  <c r="T78" i="56"/>
  <c r="L16" i="59"/>
  <c r="H27" i="52"/>
  <c r="N18" i="52"/>
  <c r="R104" i="42"/>
  <c r="R92" i="42"/>
  <c r="R84" i="42"/>
  <c r="R81" i="42"/>
  <c r="R76" i="42"/>
  <c r="R73" i="42"/>
  <c r="R69" i="42"/>
  <c r="R64" i="42"/>
  <c r="R61" i="42"/>
  <c r="R56" i="42"/>
  <c r="R40" i="42"/>
  <c r="R36" i="42"/>
  <c r="R28" i="42"/>
  <c r="R20" i="42"/>
  <c r="R100" i="42"/>
  <c r="R95" i="42"/>
  <c r="R91" i="42"/>
  <c r="R55" i="42"/>
  <c r="R52" i="42"/>
  <c r="R47" i="42"/>
  <c r="R39" i="42"/>
  <c r="R35" i="42"/>
  <c r="R106" i="42"/>
  <c r="R94" i="42"/>
  <c r="R90" i="42"/>
  <c r="R83" i="42"/>
  <c r="R75" i="42"/>
  <c r="R66" i="42"/>
  <c r="R63" i="42"/>
  <c r="R58" i="42"/>
  <c r="R46" i="42"/>
  <c r="R38" i="42"/>
  <c r="R34" i="42"/>
  <c r="R27" i="42"/>
  <c r="R19" i="42"/>
  <c r="R97" i="42"/>
  <c r="R89" i="42"/>
  <c r="R54" i="42"/>
  <c r="R49" i="42"/>
  <c r="R45" i="42"/>
  <c r="R33" i="42"/>
  <c r="R103" i="42"/>
  <c r="R93" i="42"/>
  <c r="R88" i="42"/>
  <c r="R80" i="42"/>
  <c r="R72" i="42"/>
  <c r="R68" i="42"/>
  <c r="R65" i="42"/>
  <c r="R60" i="42"/>
  <c r="R57" i="42"/>
  <c r="R44" i="42"/>
  <c r="R37" i="42"/>
  <c r="R32" i="42"/>
  <c r="P24" i="42"/>
  <c r="R24" i="42" s="1"/>
  <c r="R105" i="42"/>
  <c r="R99" i="42"/>
  <c r="R96" i="42"/>
  <c r="R87" i="42"/>
  <c r="R79" i="42"/>
  <c r="R71" i="42"/>
  <c r="R51" i="42"/>
  <c r="R48" i="42"/>
  <c r="R43" i="42"/>
  <c r="R110" i="42"/>
  <c r="R86" i="42"/>
  <c r="R82" i="42"/>
  <c r="R78" i="42"/>
  <c r="R74" i="42"/>
  <c r="R70" i="42"/>
  <c r="R67" i="42"/>
  <c r="R62" i="42"/>
  <c r="R59" i="42"/>
  <c r="R42" i="42"/>
  <c r="R30" i="42"/>
  <c r="R22" i="42"/>
  <c r="X12" i="42"/>
  <c r="Z12" i="42" s="1"/>
  <c r="R31" i="42"/>
  <c r="R50" i="42"/>
  <c r="R29" i="42"/>
  <c r="R98" i="42"/>
  <c r="R77" i="42"/>
  <c r="R26" i="42"/>
  <c r="R85" i="42"/>
  <c r="R53" i="42"/>
  <c r="R41" i="42"/>
  <c r="R21" i="42"/>
  <c r="R101" i="42"/>
  <c r="T27" i="47"/>
  <c r="Z18" i="47"/>
  <c r="V79" i="51"/>
  <c r="T83" i="51"/>
  <c r="X17" i="48"/>
  <c r="Z17" i="48" s="1"/>
  <c r="F70" i="48"/>
  <c r="F61" i="48"/>
  <c r="F57" i="48"/>
  <c r="F54" i="48"/>
  <c r="F38" i="48"/>
  <c r="F26" i="48"/>
  <c r="F48" i="48"/>
  <c r="F45" i="48"/>
  <c r="F37" i="48"/>
  <c r="F25" i="48"/>
  <c r="F20" i="48"/>
  <c r="F73" i="48"/>
  <c r="F67" i="48"/>
  <c r="F63" i="48"/>
  <c r="F60" i="48"/>
  <c r="F56" i="48"/>
  <c r="F51" i="48"/>
  <c r="F36" i="48"/>
  <c r="F31" i="48"/>
  <c r="F24" i="48"/>
  <c r="F59" i="48"/>
  <c r="F47" i="48"/>
  <c r="F42" i="48"/>
  <c r="F35" i="48"/>
  <c r="F23" i="48"/>
  <c r="D17" i="48"/>
  <c r="F17" i="48" s="1"/>
  <c r="F69" i="48"/>
  <c r="F66" i="48"/>
  <c r="F62" i="48"/>
  <c r="F58" i="48"/>
  <c r="F53" i="48"/>
  <c r="F50" i="48"/>
  <c r="F34" i="48"/>
  <c r="F30" i="48"/>
  <c r="F22" i="48"/>
  <c r="L12" i="48"/>
  <c r="N12" i="48" s="1"/>
  <c r="F68" i="48"/>
  <c r="F64" i="48"/>
  <c r="F55" i="48"/>
  <c r="F52" i="48"/>
  <c r="F40" i="48"/>
  <c r="F32" i="48"/>
  <c r="F28" i="48"/>
  <c r="F19" i="48"/>
  <c r="F15" i="48"/>
  <c r="F41" i="48"/>
  <c r="F46" i="48"/>
  <c r="F49" i="48"/>
  <c r="F39" i="48"/>
  <c r="F29" i="48"/>
  <c r="F43" i="48"/>
  <c r="F72" i="48"/>
  <c r="F33" i="48"/>
  <c r="F65" i="48"/>
  <c r="F27" i="48"/>
  <c r="F77" i="48"/>
  <c r="F44" i="48"/>
  <c r="F21" i="48"/>
  <c r="L18" i="43"/>
  <c r="D27" i="43"/>
  <c r="L18" i="34"/>
  <c r="D27" i="34"/>
  <c r="L18" i="31"/>
  <c r="D27" i="31"/>
  <c r="F106" i="36"/>
  <c r="F103" i="36"/>
  <c r="F99" i="36"/>
  <c r="F91" i="36"/>
  <c r="F83" i="36"/>
  <c r="F54" i="36"/>
  <c r="F51" i="36"/>
  <c r="F47" i="36"/>
  <c r="F35" i="36"/>
  <c r="F115" i="36"/>
  <c r="F109" i="36"/>
  <c r="F102" i="36"/>
  <c r="F98" i="36"/>
  <c r="F82" i="36"/>
  <c r="F73" i="36"/>
  <c r="F70" i="36"/>
  <c r="F65" i="36"/>
  <c r="F62" i="36"/>
  <c r="F46" i="36"/>
  <c r="F34" i="36"/>
  <c r="F105" i="36"/>
  <c r="F97" i="36"/>
  <c r="F56" i="36"/>
  <c r="F53" i="36"/>
  <c r="F45" i="36"/>
  <c r="F33" i="36"/>
  <c r="F28" i="36"/>
  <c r="F20" i="36"/>
  <c r="F108" i="36"/>
  <c r="F96" i="36"/>
  <c r="F87" i="36"/>
  <c r="F79" i="36"/>
  <c r="F75" i="36"/>
  <c r="F72" i="36"/>
  <c r="F67" i="36"/>
  <c r="F64" i="36"/>
  <c r="F59" i="36"/>
  <c r="F44" i="36"/>
  <c r="F39" i="36"/>
  <c r="F32" i="36"/>
  <c r="F25" i="36"/>
  <c r="L12" i="36"/>
  <c r="N12" i="36" s="1"/>
  <c r="F119" i="36"/>
  <c r="F114" i="36"/>
  <c r="F112" i="36"/>
  <c r="F107" i="36"/>
  <c r="F95" i="36"/>
  <c r="F90" i="36"/>
  <c r="F55" i="36"/>
  <c r="F50" i="36"/>
  <c r="F43" i="36"/>
  <c r="F31" i="36"/>
  <c r="D25" i="36"/>
  <c r="F23" i="36"/>
  <c r="F110" i="36"/>
  <c r="F101" i="36"/>
  <c r="F94" i="36"/>
  <c r="F86" i="36"/>
  <c r="F81" i="36"/>
  <c r="F78" i="36"/>
  <c r="F74" i="36"/>
  <c r="F69" i="36"/>
  <c r="F66" i="36"/>
  <c r="F61" i="36"/>
  <c r="F58" i="36"/>
  <c r="F42" i="36"/>
  <c r="F38" i="36"/>
  <c r="F30" i="36"/>
  <c r="F22" i="36"/>
  <c r="F104" i="36"/>
  <c r="F93" i="36"/>
  <c r="F89" i="36"/>
  <c r="F85" i="36"/>
  <c r="F77" i="36"/>
  <c r="F57" i="36"/>
  <c r="F52" i="36"/>
  <c r="F49" i="36"/>
  <c r="F41" i="36"/>
  <c r="F37" i="36"/>
  <c r="F29" i="36"/>
  <c r="F21" i="36"/>
  <c r="F40" i="36"/>
  <c r="F88" i="36"/>
  <c r="F80" i="36"/>
  <c r="F63" i="36"/>
  <c r="F60" i="36"/>
  <c r="F27" i="36"/>
  <c r="F71" i="36"/>
  <c r="F68" i="36"/>
  <c r="F100" i="36"/>
  <c r="F92" i="36"/>
  <c r="F48" i="36"/>
  <c r="F36" i="36"/>
  <c r="F113" i="36"/>
  <c r="F76" i="36"/>
  <c r="F84" i="36"/>
  <c r="T89" i="27"/>
  <c r="L18" i="44"/>
  <c r="D27" i="44"/>
  <c r="H27" i="29"/>
  <c r="N18" i="29"/>
  <c r="N18" i="37"/>
  <c r="H27" i="37"/>
  <c r="X18" i="34"/>
  <c r="P27" i="34"/>
  <c r="V31" i="27"/>
  <c r="L18" i="26"/>
  <c r="D27" i="26"/>
  <c r="T27" i="26"/>
  <c r="Z18" i="26"/>
  <c r="N23" i="21"/>
  <c r="H90" i="21"/>
  <c r="H27" i="22"/>
  <c r="N18" i="22"/>
  <c r="D119" i="30"/>
  <c r="L40" i="30"/>
  <c r="N40" i="30" s="1"/>
  <c r="N27" i="16"/>
  <c r="H31" i="16"/>
  <c r="R92" i="21"/>
  <c r="R86" i="21"/>
  <c r="R83" i="21"/>
  <c r="R50" i="21"/>
  <c r="R47" i="21"/>
  <c r="R42" i="21"/>
  <c r="R30" i="21"/>
  <c r="R74" i="21"/>
  <c r="R70" i="21"/>
  <c r="R61" i="21"/>
  <c r="R58" i="21"/>
  <c r="R41" i="21"/>
  <c r="R29" i="21"/>
  <c r="R21" i="21"/>
  <c r="R85" i="21"/>
  <c r="R52" i="21"/>
  <c r="R49" i="21"/>
  <c r="R40" i="21"/>
  <c r="R28" i="21"/>
  <c r="R25" i="21"/>
  <c r="R20" i="21"/>
  <c r="X12" i="21"/>
  <c r="Z12" i="21" s="1"/>
  <c r="R79" i="21"/>
  <c r="R67" i="21"/>
  <c r="R63" i="21"/>
  <c r="R60" i="21"/>
  <c r="R55" i="21"/>
  <c r="R39" i="21"/>
  <c r="R35" i="21"/>
  <c r="R27" i="21"/>
  <c r="R19" i="21"/>
  <c r="R82" i="21"/>
  <c r="R78" i="21"/>
  <c r="R66" i="21"/>
  <c r="R54" i="21"/>
  <c r="R51" i="21"/>
  <c r="R46" i="21"/>
  <c r="R38" i="21"/>
  <c r="R34" i="21"/>
  <c r="R84" i="21"/>
  <c r="R76" i="21"/>
  <c r="R72" i="21"/>
  <c r="R53" i="21"/>
  <c r="R48" i="21"/>
  <c r="R44" i="21"/>
  <c r="R32" i="21"/>
  <c r="R80" i="21"/>
  <c r="R75" i="21"/>
  <c r="R71" i="21"/>
  <c r="R68" i="21"/>
  <c r="R64" i="21"/>
  <c r="R59" i="21"/>
  <c r="R56" i="21"/>
  <c r="R43" i="21"/>
  <c r="R36" i="21"/>
  <c r="R31" i="21"/>
  <c r="P23" i="21"/>
  <c r="R88" i="21"/>
  <c r="R77" i="21"/>
  <c r="R33" i="21"/>
  <c r="R65" i="21"/>
  <c r="R57" i="21"/>
  <c r="R81" i="21"/>
  <c r="R26" i="21"/>
  <c r="R18" i="21"/>
  <c r="R69" i="21"/>
  <c r="R62" i="21"/>
  <c r="R45" i="21"/>
  <c r="R73" i="21"/>
  <c r="R37" i="21"/>
  <c r="P84" i="24"/>
  <c r="X30" i="24"/>
  <c r="Z30" i="24" s="1"/>
  <c r="H31" i="19"/>
  <c r="N27" i="19"/>
  <c r="F157" i="18"/>
  <c r="F148" i="18"/>
  <c r="F144" i="18"/>
  <c r="F132" i="18"/>
  <c r="F128" i="18"/>
  <c r="F124" i="18"/>
  <c r="F120" i="18"/>
  <c r="F116" i="18"/>
  <c r="F112" i="18"/>
  <c r="F107" i="18"/>
  <c r="F104" i="18"/>
  <c r="F100" i="18"/>
  <c r="F95" i="18"/>
  <c r="F92" i="18"/>
  <c r="F88" i="18"/>
  <c r="F83" i="18"/>
  <c r="F80" i="18"/>
  <c r="F72" i="18"/>
  <c r="F68" i="18"/>
  <c r="F60" i="18"/>
  <c r="F52" i="18"/>
  <c r="F44" i="18"/>
  <c r="F36" i="18"/>
  <c r="F28" i="18"/>
  <c r="F154" i="18"/>
  <c r="F138" i="18"/>
  <c r="F131" i="18"/>
  <c r="F119" i="18"/>
  <c r="F115" i="18"/>
  <c r="F103" i="18"/>
  <c r="F91" i="18"/>
  <c r="F79" i="18"/>
  <c r="F71" i="18"/>
  <c r="F67" i="18"/>
  <c r="F58" i="18"/>
  <c r="F51" i="18"/>
  <c r="F43" i="18"/>
  <c r="F35" i="18"/>
  <c r="F27" i="18"/>
  <c r="F151" i="18"/>
  <c r="F141" i="18"/>
  <c r="F114" i="18"/>
  <c r="F109" i="18"/>
  <c r="F106" i="18"/>
  <c r="F97" i="18"/>
  <c r="F94" i="18"/>
  <c r="F85" i="18"/>
  <c r="F82" i="18"/>
  <c r="F78" i="18"/>
  <c r="F66" i="18"/>
  <c r="F50" i="18"/>
  <c r="F42" i="18"/>
  <c r="F34" i="18"/>
  <c r="F26" i="18"/>
  <c r="F21" i="18"/>
  <c r="L12" i="18"/>
  <c r="N12" i="18" s="1"/>
  <c r="F161" i="18"/>
  <c r="F156" i="18"/>
  <c r="F137" i="18"/>
  <c r="F77" i="18"/>
  <c r="F65" i="18"/>
  <c r="F49" i="18"/>
  <c r="F41" i="18"/>
  <c r="F33" i="18"/>
  <c r="F25" i="18"/>
  <c r="F153" i="18"/>
  <c r="F147" i="18"/>
  <c r="F143" i="18"/>
  <c r="F140" i="18"/>
  <c r="F136" i="18"/>
  <c r="F127" i="18"/>
  <c r="F123" i="18"/>
  <c r="F111" i="18"/>
  <c r="F108" i="18"/>
  <c r="F99" i="18"/>
  <c r="F96" i="18"/>
  <c r="F87" i="18"/>
  <c r="F84" i="18"/>
  <c r="F76" i="18"/>
  <c r="F64" i="18"/>
  <c r="F59" i="18"/>
  <c r="F48" i="18"/>
  <c r="F40" i="18"/>
  <c r="F32" i="18"/>
  <c r="F24" i="18"/>
  <c r="F155" i="18"/>
  <c r="F146" i="18"/>
  <c r="F142" i="18"/>
  <c r="F134" i="18"/>
  <c r="F126" i="18"/>
  <c r="F122" i="18"/>
  <c r="F113" i="18"/>
  <c r="F110" i="18"/>
  <c r="F105" i="18"/>
  <c r="F98" i="18"/>
  <c r="F93" i="18"/>
  <c r="F86" i="18"/>
  <c r="F81" i="18"/>
  <c r="F74" i="18"/>
  <c r="F62" i="18"/>
  <c r="D56" i="18"/>
  <c r="F54" i="18"/>
  <c r="F46" i="18"/>
  <c r="F38" i="18"/>
  <c r="F30" i="18"/>
  <c r="F22" i="18"/>
  <c r="F152" i="18"/>
  <c r="F150" i="18"/>
  <c r="F145" i="18"/>
  <c r="F133" i="18"/>
  <c r="F129" i="18"/>
  <c r="F125" i="18"/>
  <c r="F121" i="18"/>
  <c r="F117" i="18"/>
  <c r="F101" i="18"/>
  <c r="F89" i="18"/>
  <c r="F73" i="18"/>
  <c r="F69" i="18"/>
  <c r="F61" i="18"/>
  <c r="F53" i="18"/>
  <c r="F45" i="18"/>
  <c r="F37" i="18"/>
  <c r="F29" i="18"/>
  <c r="F135" i="18"/>
  <c r="F130" i="18"/>
  <c r="F47" i="18"/>
  <c r="F102" i="18"/>
  <c r="F75" i="18"/>
  <c r="F118" i="18"/>
  <c r="F56" i="18"/>
  <c r="F70" i="18"/>
  <c r="F139" i="18"/>
  <c r="F90" i="18"/>
  <c r="F31" i="18"/>
  <c r="F63" i="18"/>
  <c r="F39" i="18"/>
  <c r="F23" i="18"/>
  <c r="L18" i="13"/>
  <c r="D27" i="13"/>
  <c r="X18" i="5"/>
  <c r="P27" i="5"/>
  <c r="P27" i="8"/>
  <c r="X18" i="8"/>
  <c r="R182" i="3"/>
  <c r="R170" i="3"/>
  <c r="R165" i="3"/>
  <c r="R154" i="3"/>
  <c r="R150" i="3"/>
  <c r="R139" i="3"/>
  <c r="R134" i="3"/>
  <c r="R130" i="3"/>
  <c r="R126" i="3"/>
  <c r="R122" i="3"/>
  <c r="R119" i="3"/>
  <c r="R114" i="3"/>
  <c r="R111" i="3"/>
  <c r="R102" i="3"/>
  <c r="R99" i="3"/>
  <c r="R90" i="3"/>
  <c r="R87" i="3"/>
  <c r="R82" i="3"/>
  <c r="R70" i="3"/>
  <c r="P62" i="3"/>
  <c r="R54" i="3"/>
  <c r="R46" i="3"/>
  <c r="R167" i="3"/>
  <c r="R161" i="3"/>
  <c r="R157" i="3"/>
  <c r="R149" i="3"/>
  <c r="R142" i="3"/>
  <c r="R129" i="3"/>
  <c r="R125" i="3"/>
  <c r="R81" i="3"/>
  <c r="R69" i="3"/>
  <c r="R53" i="3"/>
  <c r="R45" i="3"/>
  <c r="R37" i="3"/>
  <c r="R29" i="3"/>
  <c r="X12" i="3"/>
  <c r="Z12" i="3" s="1"/>
  <c r="R172" i="3"/>
  <c r="R160" i="3"/>
  <c r="R153" i="3"/>
  <c r="R148" i="3"/>
  <c r="R133" i="3"/>
  <c r="R124" i="3"/>
  <c r="R121" i="3"/>
  <c r="R116" i="3"/>
  <c r="R113" i="3"/>
  <c r="R104" i="3"/>
  <c r="R101" i="3"/>
  <c r="R92" i="3"/>
  <c r="R89" i="3"/>
  <c r="R80" i="3"/>
  <c r="R68" i="3"/>
  <c r="R60" i="3"/>
  <c r="R52" i="3"/>
  <c r="R44" i="3"/>
  <c r="R36" i="3"/>
  <c r="R28" i="3"/>
  <c r="R177" i="3"/>
  <c r="R169" i="3"/>
  <c r="R163" i="3"/>
  <c r="R159" i="3"/>
  <c r="R156" i="3"/>
  <c r="R147" i="3"/>
  <c r="R128" i="3"/>
  <c r="R107" i="3"/>
  <c r="R95" i="3"/>
  <c r="R79" i="3"/>
  <c r="R75" i="3"/>
  <c r="R67" i="3"/>
  <c r="R64" i="3"/>
  <c r="R59" i="3"/>
  <c r="R51" i="3"/>
  <c r="R43" i="3"/>
  <c r="R35" i="3"/>
  <c r="R27" i="3"/>
  <c r="R181" i="3"/>
  <c r="R166" i="3"/>
  <c r="R146" i="3"/>
  <c r="R138" i="3"/>
  <c r="R123" i="3"/>
  <c r="R118" i="3"/>
  <c r="R115" i="3"/>
  <c r="R110" i="3"/>
  <c r="R106" i="3"/>
  <c r="R103" i="3"/>
  <c r="R98" i="3"/>
  <c r="R94" i="3"/>
  <c r="R91" i="3"/>
  <c r="R86" i="3"/>
  <c r="R78" i="3"/>
  <c r="R74" i="3"/>
  <c r="R66" i="3"/>
  <c r="R58" i="3"/>
  <c r="R50" i="3"/>
  <c r="R42" i="3"/>
  <c r="R34" i="3"/>
  <c r="R26" i="3"/>
  <c r="R33" i="3"/>
  <c r="R30" i="3"/>
  <c r="R171" i="3"/>
  <c r="R162" i="3"/>
  <c r="R158" i="3"/>
  <c r="R145" i="3"/>
  <c r="R141" i="3"/>
  <c r="R137" i="3"/>
  <c r="R109" i="3"/>
  <c r="R97" i="3"/>
  <c r="R85" i="3"/>
  <c r="R77" i="3"/>
  <c r="R73" i="3"/>
  <c r="R57" i="3"/>
  <c r="R49" i="3"/>
  <c r="R41" i="3"/>
  <c r="R168" i="3"/>
  <c r="R152" i="3"/>
  <c r="R144" i="3"/>
  <c r="R140" i="3"/>
  <c r="R136" i="3"/>
  <c r="R132" i="3"/>
  <c r="R120" i="3"/>
  <c r="R117" i="3"/>
  <c r="R112" i="3"/>
  <c r="R105" i="3"/>
  <c r="R100" i="3"/>
  <c r="R93" i="3"/>
  <c r="R88" i="3"/>
  <c r="R84" i="3"/>
  <c r="R72" i="3"/>
  <c r="R65" i="3"/>
  <c r="R56" i="3"/>
  <c r="R48" i="3"/>
  <c r="R40" i="3"/>
  <c r="R32" i="3"/>
  <c r="R25" i="3"/>
  <c r="R31" i="3"/>
  <c r="R173" i="3"/>
  <c r="R155" i="3"/>
  <c r="R151" i="3"/>
  <c r="R143" i="3"/>
  <c r="R135" i="3"/>
  <c r="R131" i="3"/>
  <c r="R127" i="3"/>
  <c r="R108" i="3"/>
  <c r="R96" i="3"/>
  <c r="R83" i="3"/>
  <c r="R76" i="3"/>
  <c r="R71" i="3"/>
  <c r="R62" i="3"/>
  <c r="R55" i="3"/>
  <c r="R47" i="3"/>
  <c r="R39" i="3"/>
  <c r="R38" i="3"/>
  <c r="D31" i="6"/>
  <c r="L31" i="6" s="1"/>
  <c r="L26" i="6"/>
  <c r="D92" i="90"/>
  <c r="L23" i="90"/>
  <c r="N23" i="90" s="1"/>
  <c r="P26" i="85"/>
  <c r="X16" i="85"/>
  <c r="L16" i="84"/>
  <c r="D51" i="84"/>
  <c r="N16" i="81"/>
  <c r="H28" i="81"/>
  <c r="P28" i="80"/>
  <c r="X16" i="80"/>
  <c r="D75" i="78"/>
  <c r="L16" i="78"/>
  <c r="X18" i="70"/>
  <c r="P27" i="70"/>
  <c r="T84" i="73"/>
  <c r="N20" i="71"/>
  <c r="H72" i="71"/>
  <c r="T30" i="77"/>
  <c r="Z26" i="77"/>
  <c r="F72" i="68"/>
  <c r="F67" i="68"/>
  <c r="F63" i="68"/>
  <c r="F59" i="68"/>
  <c r="F43" i="68"/>
  <c r="F31" i="68"/>
  <c r="F26" i="68"/>
  <c r="F70" i="68"/>
  <c r="F66" i="68"/>
  <c r="F53" i="68"/>
  <c r="F50" i="68"/>
  <c r="F42" i="68"/>
  <c r="F30" i="68"/>
  <c r="L12" i="68"/>
  <c r="N12" i="68" s="1"/>
  <c r="F65" i="68"/>
  <c r="F56" i="68"/>
  <c r="F41" i="68"/>
  <c r="F36" i="68"/>
  <c r="F29" i="68"/>
  <c r="D23" i="68"/>
  <c r="F23" i="68" s="1"/>
  <c r="F21" i="68"/>
  <c r="F73" i="68"/>
  <c r="F52" i="68"/>
  <c r="F47" i="68"/>
  <c r="F40" i="68"/>
  <c r="F28" i="68"/>
  <c r="F20" i="68"/>
  <c r="F62" i="68"/>
  <c r="F58" i="68"/>
  <c r="F55" i="68"/>
  <c r="F39" i="68"/>
  <c r="F35" i="68"/>
  <c r="F27" i="68"/>
  <c r="F69" i="68"/>
  <c r="F54" i="68"/>
  <c r="F49" i="68"/>
  <c r="F46" i="68"/>
  <c r="F38" i="68"/>
  <c r="F34" i="68"/>
  <c r="F25" i="68"/>
  <c r="F77" i="68"/>
  <c r="F64" i="68"/>
  <c r="F61" i="68"/>
  <c r="F57" i="68"/>
  <c r="F45" i="68"/>
  <c r="F37" i="68"/>
  <c r="F33" i="68"/>
  <c r="F19" i="68"/>
  <c r="F51" i="68"/>
  <c r="F68" i="68"/>
  <c r="F48" i="68"/>
  <c r="F44" i="68"/>
  <c r="F32" i="68"/>
  <c r="F60" i="68"/>
  <c r="R104" i="67"/>
  <c r="R98" i="67"/>
  <c r="R94" i="67"/>
  <c r="R83" i="67"/>
  <c r="R78" i="67"/>
  <c r="R109" i="67"/>
  <c r="R90" i="67"/>
  <c r="R86" i="67"/>
  <c r="R74" i="67"/>
  <c r="R69" i="67"/>
  <c r="R66" i="67"/>
  <c r="R57" i="67"/>
  <c r="R45" i="67"/>
  <c r="R42" i="67"/>
  <c r="R37" i="67"/>
  <c r="R29" i="67"/>
  <c r="R21" i="67"/>
  <c r="R100" i="67"/>
  <c r="R97" i="67"/>
  <c r="R93" i="67"/>
  <c r="R80" i="67"/>
  <c r="R77" i="67"/>
  <c r="R56" i="67"/>
  <c r="R52" i="67"/>
  <c r="R44" i="67"/>
  <c r="R36" i="67"/>
  <c r="R28" i="67"/>
  <c r="R20" i="67"/>
  <c r="R103" i="67"/>
  <c r="R71" i="67"/>
  <c r="R68" i="67"/>
  <c r="R63" i="67"/>
  <c r="R55" i="67"/>
  <c r="R51" i="67"/>
  <c r="R35" i="67"/>
  <c r="R27" i="67"/>
  <c r="R99" i="67"/>
  <c r="R82" i="67"/>
  <c r="R79" i="67"/>
  <c r="R62" i="67"/>
  <c r="R54" i="67"/>
  <c r="R50" i="67"/>
  <c r="R43" i="67"/>
  <c r="R34" i="67"/>
  <c r="R26" i="67"/>
  <c r="R19" i="67"/>
  <c r="R105" i="67"/>
  <c r="R89" i="67"/>
  <c r="R85" i="67"/>
  <c r="R96" i="67"/>
  <c r="R92" i="67"/>
  <c r="R88" i="67"/>
  <c r="R84" i="67"/>
  <c r="R81" i="67"/>
  <c r="R76" i="67"/>
  <c r="R60" i="67"/>
  <c r="R53" i="67"/>
  <c r="R48" i="67"/>
  <c r="P40" i="67"/>
  <c r="R40" i="67" s="1"/>
  <c r="R33" i="67"/>
  <c r="R32" i="67"/>
  <c r="R25" i="67"/>
  <c r="R24" i="67"/>
  <c r="R73" i="67"/>
  <c r="R64" i="67"/>
  <c r="R49" i="67"/>
  <c r="X12" i="67"/>
  <c r="Z12" i="67" s="1"/>
  <c r="R58" i="67"/>
  <c r="R75" i="67"/>
  <c r="R70" i="67"/>
  <c r="R65" i="67"/>
  <c r="R59" i="67"/>
  <c r="R102" i="67"/>
  <c r="R95" i="67"/>
  <c r="R87" i="67"/>
  <c r="R67" i="67"/>
  <c r="R46" i="67"/>
  <c r="R61" i="67"/>
  <c r="R38" i="67"/>
  <c r="R30" i="67"/>
  <c r="R22" i="67"/>
  <c r="R31" i="67"/>
  <c r="R23" i="67"/>
  <c r="R91" i="67"/>
  <c r="R72" i="67"/>
  <c r="R47" i="67"/>
  <c r="H82" i="68"/>
  <c r="D101" i="62"/>
  <c r="T64" i="59"/>
  <c r="H64" i="61"/>
  <c r="L18" i="53"/>
  <c r="D27" i="53"/>
  <c r="X16" i="59"/>
  <c r="P60" i="59"/>
  <c r="L18" i="38"/>
  <c r="D27" i="38"/>
  <c r="N18" i="47"/>
  <c r="H27" i="47"/>
  <c r="Z18" i="53"/>
  <c r="T27" i="53"/>
  <c r="X27" i="53" s="1"/>
  <c r="X27" i="46"/>
  <c r="P31" i="46"/>
  <c r="H75" i="48"/>
  <c r="D31" i="46"/>
  <c r="T31" i="50"/>
  <c r="Z27" i="50"/>
  <c r="T27" i="35"/>
  <c r="Z18" i="35"/>
  <c r="T108" i="42"/>
  <c r="Z18" i="41"/>
  <c r="T27" i="41"/>
  <c r="R117" i="30"/>
  <c r="R105" i="30"/>
  <c r="R97" i="30"/>
  <c r="R93" i="30"/>
  <c r="R89" i="30"/>
  <c r="R86" i="30"/>
  <c r="R81" i="30"/>
  <c r="R74" i="30"/>
  <c r="R69" i="30"/>
  <c r="R66" i="30"/>
  <c r="R57" i="30"/>
  <c r="R45" i="30"/>
  <c r="R42" i="30"/>
  <c r="R37" i="30"/>
  <c r="R29" i="30"/>
  <c r="R21" i="30"/>
  <c r="R104" i="30"/>
  <c r="R100" i="30"/>
  <c r="R96" i="30"/>
  <c r="R92" i="30"/>
  <c r="R77" i="30"/>
  <c r="R56" i="30"/>
  <c r="R52" i="30"/>
  <c r="R44" i="30"/>
  <c r="R36" i="30"/>
  <c r="R28" i="30"/>
  <c r="R20" i="30"/>
  <c r="R114" i="30"/>
  <c r="R107" i="30"/>
  <c r="R103" i="30"/>
  <c r="R99" i="30"/>
  <c r="R88" i="30"/>
  <c r="R83" i="30"/>
  <c r="R80" i="30"/>
  <c r="R71" i="30"/>
  <c r="R68" i="30"/>
  <c r="R63" i="30"/>
  <c r="R55" i="30"/>
  <c r="R51" i="30"/>
  <c r="R116" i="30"/>
  <c r="R110" i="30"/>
  <c r="R102" i="30"/>
  <c r="R95" i="30"/>
  <c r="R91" i="30"/>
  <c r="R62" i="30"/>
  <c r="R54" i="30"/>
  <c r="R50" i="30"/>
  <c r="R43" i="30"/>
  <c r="R121" i="30"/>
  <c r="R109" i="30"/>
  <c r="R106" i="30"/>
  <c r="R98" i="30"/>
  <c r="R85" i="30"/>
  <c r="R82" i="30"/>
  <c r="R73" i="30"/>
  <c r="R70" i="30"/>
  <c r="R65" i="30"/>
  <c r="R61" i="30"/>
  <c r="R49" i="30"/>
  <c r="R40" i="30"/>
  <c r="R33" i="30"/>
  <c r="R25" i="30"/>
  <c r="R112" i="30"/>
  <c r="R101" i="30"/>
  <c r="R76" i="30"/>
  <c r="R60" i="30"/>
  <c r="R53" i="30"/>
  <c r="R48" i="30"/>
  <c r="R115" i="30"/>
  <c r="R108" i="30"/>
  <c r="R87" i="30"/>
  <c r="R84" i="30"/>
  <c r="R79" i="30"/>
  <c r="R58" i="30"/>
  <c r="R35" i="30"/>
  <c r="R31" i="30"/>
  <c r="R30" i="30"/>
  <c r="R111" i="30"/>
  <c r="R94" i="30"/>
  <c r="R90" i="30"/>
  <c r="R59" i="30"/>
  <c r="R46" i="30"/>
  <c r="R34" i="30"/>
  <c r="R32" i="30"/>
  <c r="R75" i="30"/>
  <c r="R72" i="30"/>
  <c r="R67" i="30"/>
  <c r="R64" i="30"/>
  <c r="R19" i="30"/>
  <c r="R47" i="30"/>
  <c r="X12" i="30"/>
  <c r="Z12" i="30" s="1"/>
  <c r="P40" i="30"/>
  <c r="R26" i="30"/>
  <c r="R24" i="30"/>
  <c r="R78" i="30"/>
  <c r="R27" i="30"/>
  <c r="R38" i="30"/>
  <c r="R22" i="30"/>
  <c r="R23" i="30"/>
  <c r="H27" i="17"/>
  <c r="N18" i="17"/>
  <c r="H27" i="28"/>
  <c r="N18" i="28"/>
  <c r="Z18" i="25"/>
  <c r="T27" i="25"/>
  <c r="H27" i="20"/>
  <c r="N18" i="20"/>
  <c r="X18" i="17"/>
  <c r="P27" i="17"/>
  <c r="T159" i="18"/>
  <c r="V56" i="18"/>
  <c r="L18" i="19"/>
  <c r="D27" i="19"/>
  <c r="T36" i="19"/>
  <c r="Z36" i="19" s="1"/>
  <c r="Z31" i="19"/>
  <c r="H151" i="15"/>
  <c r="T151" i="15"/>
  <c r="Z50" i="15"/>
  <c r="X18" i="10"/>
  <c r="P27" i="10"/>
  <c r="D36" i="11"/>
  <c r="T27" i="5"/>
  <c r="Z18" i="5"/>
  <c r="T96" i="9"/>
  <c r="Z16" i="9"/>
  <c r="H36" i="14"/>
  <c r="N36" i="14" s="1"/>
  <c r="N31" i="14"/>
  <c r="H36" i="10"/>
  <c r="N36" i="10" s="1"/>
  <c r="N31" i="10"/>
  <c r="N31" i="5" l="1"/>
  <c r="D31" i="49"/>
  <c r="N31" i="40"/>
  <c r="T31" i="34"/>
  <c r="T36" i="34" s="1"/>
  <c r="Z36" i="34" s="1"/>
  <c r="P31" i="40"/>
  <c r="P36" i="40" s="1"/>
  <c r="N27" i="34"/>
  <c r="H31" i="34"/>
  <c r="N27" i="31"/>
  <c r="H31" i="31"/>
  <c r="Z27" i="5"/>
  <c r="T31" i="5"/>
  <c r="H155" i="15"/>
  <c r="J151" i="15"/>
  <c r="D96" i="90"/>
  <c r="L92" i="90"/>
  <c r="F92" i="90"/>
  <c r="N27" i="17"/>
  <c r="H31" i="17"/>
  <c r="X40" i="30"/>
  <c r="Z40" i="30" s="1"/>
  <c r="P119" i="30"/>
  <c r="D36" i="46"/>
  <c r="N28" i="81"/>
  <c r="H32" i="81"/>
  <c r="D31" i="13"/>
  <c r="L27" i="13"/>
  <c r="P90" i="21"/>
  <c r="X23" i="21"/>
  <c r="Z23" i="21" s="1"/>
  <c r="D117" i="36"/>
  <c r="L25" i="36"/>
  <c r="N25" i="36" s="1"/>
  <c r="D31" i="34"/>
  <c r="L27" i="34"/>
  <c r="N60" i="59"/>
  <c r="H64" i="59"/>
  <c r="D92" i="82"/>
  <c r="L23" i="82"/>
  <c r="N23" i="82" s="1"/>
  <c r="H103" i="45"/>
  <c r="J99" i="45"/>
  <c r="H79" i="78"/>
  <c r="T40" i="86"/>
  <c r="L54" i="12"/>
  <c r="N54" i="12" s="1"/>
  <c r="D158" i="12"/>
  <c r="Z27" i="20"/>
  <c r="T31" i="20"/>
  <c r="T62" i="60"/>
  <c r="D31" i="10"/>
  <c r="L27" i="10"/>
  <c r="P31" i="31"/>
  <c r="X27" i="31"/>
  <c r="H118" i="39"/>
  <c r="J115" i="39"/>
  <c r="L27" i="52"/>
  <c r="D31" i="52"/>
  <c r="D30" i="77"/>
  <c r="L26" i="77"/>
  <c r="H32" i="80"/>
  <c r="L32" i="80" s="1"/>
  <c r="T96" i="82"/>
  <c r="V92" i="82"/>
  <c r="D31" i="7"/>
  <c r="L27" i="7"/>
  <c r="N31" i="50"/>
  <c r="H36" i="50"/>
  <c r="N36" i="50" s="1"/>
  <c r="X58" i="60"/>
  <c r="Z58" i="60" s="1"/>
  <c r="P34" i="75"/>
  <c r="X30" i="75"/>
  <c r="Z30" i="75" s="1"/>
  <c r="R30" i="75"/>
  <c r="P90" i="74"/>
  <c r="X24" i="74"/>
  <c r="Z24" i="74" s="1"/>
  <c r="P31" i="52"/>
  <c r="X27" i="52"/>
  <c r="T37" i="75"/>
  <c r="V34" i="75"/>
  <c r="J82" i="91"/>
  <c r="P31" i="49"/>
  <c r="X27" i="49"/>
  <c r="D31" i="54"/>
  <c r="L31" i="54" s="1"/>
  <c r="L26" i="54"/>
  <c r="H79" i="48"/>
  <c r="J75" i="48"/>
  <c r="L27" i="38"/>
  <c r="D31" i="38"/>
  <c r="T88" i="73"/>
  <c r="V84" i="73"/>
  <c r="P88" i="24"/>
  <c r="X84" i="24"/>
  <c r="R84" i="24"/>
  <c r="N27" i="22"/>
  <c r="H31" i="22"/>
  <c r="P31" i="34"/>
  <c r="X27" i="34"/>
  <c r="T88" i="63"/>
  <c r="V84" i="63"/>
  <c r="P30" i="77"/>
  <c r="X26" i="77"/>
  <c r="H30" i="85"/>
  <c r="D36" i="25"/>
  <c r="P82" i="48"/>
  <c r="R79" i="48"/>
  <c r="N27" i="4"/>
  <c r="H31" i="4"/>
  <c r="P158" i="12"/>
  <c r="X54" i="12"/>
  <c r="Z54" i="12" s="1"/>
  <c r="X151" i="15"/>
  <c r="P155" i="15"/>
  <c r="R151" i="15"/>
  <c r="L23" i="33"/>
  <c r="N23" i="33" s="1"/>
  <c r="D75" i="33"/>
  <c r="T31" i="37"/>
  <c r="Z27" i="37"/>
  <c r="P78" i="56"/>
  <c r="X78" i="56" s="1"/>
  <c r="X75" i="56"/>
  <c r="Z75" i="56" s="1"/>
  <c r="Z27" i="52"/>
  <c r="T31" i="52"/>
  <c r="T95" i="76"/>
  <c r="Z91" i="76"/>
  <c r="V91" i="76"/>
  <c r="Z27" i="92"/>
  <c r="T31" i="92"/>
  <c r="T36" i="31"/>
  <c r="Z36" i="31" s="1"/>
  <c r="Z31" i="31"/>
  <c r="H31" i="46"/>
  <c r="N27" i="46"/>
  <c r="D31" i="70"/>
  <c r="L27" i="70"/>
  <c r="H63" i="87"/>
  <c r="H96" i="90"/>
  <c r="N92" i="90"/>
  <c r="J92" i="90"/>
  <c r="P31" i="37"/>
  <c r="X27" i="37"/>
  <c r="X23" i="33"/>
  <c r="Z23" i="33" s="1"/>
  <c r="P75" i="33"/>
  <c r="R23" i="33"/>
  <c r="H31" i="44"/>
  <c r="N27" i="44"/>
  <c r="H83" i="58"/>
  <c r="L80" i="58"/>
  <c r="N80" i="58" s="1"/>
  <c r="P65" i="60"/>
  <c r="X62" i="60"/>
  <c r="Z79" i="78"/>
  <c r="T82" i="78"/>
  <c r="N31" i="6"/>
  <c r="L27" i="8"/>
  <c r="D31" i="8"/>
  <c r="Z27" i="22"/>
  <c r="T31" i="22"/>
  <c r="X31" i="22" s="1"/>
  <c r="T123" i="30"/>
  <c r="V119" i="30"/>
  <c r="D31" i="32"/>
  <c r="L27" i="32"/>
  <c r="H37" i="64"/>
  <c r="N33" i="64"/>
  <c r="X31" i="65"/>
  <c r="Z31" i="65" s="1"/>
  <c r="P89" i="65"/>
  <c r="D31" i="16"/>
  <c r="L27" i="16"/>
  <c r="X27" i="19"/>
  <c r="P31" i="19"/>
  <c r="H163" i="18"/>
  <c r="J159" i="18"/>
  <c r="L23" i="45"/>
  <c r="N23" i="45" s="1"/>
  <c r="D99" i="45"/>
  <c r="Z27" i="38"/>
  <c r="T31" i="38"/>
  <c r="P79" i="51"/>
  <c r="X31" i="51"/>
  <c r="Z31" i="51" s="1"/>
  <c r="H95" i="76"/>
  <c r="J91" i="76"/>
  <c r="P92" i="90"/>
  <c r="X23" i="90"/>
  <c r="Z23" i="90" s="1"/>
  <c r="T100" i="9"/>
  <c r="X27" i="10"/>
  <c r="P31" i="10"/>
  <c r="T112" i="42"/>
  <c r="V108" i="42"/>
  <c r="D55" i="84"/>
  <c r="L51" i="84"/>
  <c r="N51" i="84" s="1"/>
  <c r="H94" i="21"/>
  <c r="J90" i="21"/>
  <c r="T93" i="27"/>
  <c r="V89" i="27"/>
  <c r="D31" i="43"/>
  <c r="L27" i="43"/>
  <c r="P37" i="64"/>
  <c r="X33" i="64"/>
  <c r="Z33" i="64" s="1"/>
  <c r="H88" i="73"/>
  <c r="J84" i="73"/>
  <c r="D91" i="89"/>
  <c r="L23" i="89"/>
  <c r="N23" i="89" s="1"/>
  <c r="T31" i="94"/>
  <c r="Z27" i="94"/>
  <c r="P26" i="6"/>
  <c r="X22" i="6"/>
  <c r="J124" i="36"/>
  <c r="H31" i="43"/>
  <c r="N27" i="43"/>
  <c r="X27" i="38"/>
  <c r="P31" i="38"/>
  <c r="P36" i="53"/>
  <c r="X84" i="63"/>
  <c r="Z84" i="63" s="1"/>
  <c r="P88" i="63"/>
  <c r="R84" i="63"/>
  <c r="P29" i="72"/>
  <c r="X25" i="72"/>
  <c r="Z25" i="72" s="1"/>
  <c r="R25" i="72"/>
  <c r="P89" i="88"/>
  <c r="X23" i="88"/>
  <c r="Z23" i="88" s="1"/>
  <c r="P31" i="11"/>
  <c r="X27" i="11"/>
  <c r="H36" i="26"/>
  <c r="N36" i="26" s="1"/>
  <c r="N31" i="26"/>
  <c r="N27" i="41"/>
  <c r="H31" i="41"/>
  <c r="H96" i="82"/>
  <c r="J92" i="82"/>
  <c r="T63" i="87"/>
  <c r="P91" i="89"/>
  <c r="X23" i="89"/>
  <c r="Z23" i="89" s="1"/>
  <c r="D151" i="15"/>
  <c r="L50" i="15"/>
  <c r="N50" i="15" s="1"/>
  <c r="L27" i="17"/>
  <c r="D31" i="17"/>
  <c r="H34" i="75"/>
  <c r="J30" i="75"/>
  <c r="P35" i="55"/>
  <c r="X31" i="55"/>
  <c r="P105" i="62"/>
  <c r="X101" i="62"/>
  <c r="Z101" i="62" s="1"/>
  <c r="H31" i="8"/>
  <c r="N27" i="8"/>
  <c r="D88" i="24"/>
  <c r="L84" i="24"/>
  <c r="N84" i="24" s="1"/>
  <c r="F84" i="24"/>
  <c r="P159" i="18"/>
  <c r="X56" i="18"/>
  <c r="Z56" i="18" s="1"/>
  <c r="H93" i="27"/>
  <c r="J89" i="27"/>
  <c r="D31" i="47"/>
  <c r="L27" i="47"/>
  <c r="D89" i="65"/>
  <c r="L31" i="65"/>
  <c r="N31" i="65" s="1"/>
  <c r="X23" i="68"/>
  <c r="Z23" i="68" s="1"/>
  <c r="P75" i="68"/>
  <c r="R23" i="68"/>
  <c r="H93" i="88"/>
  <c r="J89" i="88"/>
  <c r="P31" i="32"/>
  <c r="X27" i="32"/>
  <c r="P31" i="41"/>
  <c r="X27" i="41"/>
  <c r="D111" i="39"/>
  <c r="L25" i="39"/>
  <c r="N25" i="39" s="1"/>
  <c r="L79" i="51"/>
  <c r="D83" i="51"/>
  <c r="F79" i="51"/>
  <c r="Z27" i="49"/>
  <c r="T31" i="49"/>
  <c r="H65" i="60"/>
  <c r="H94" i="74"/>
  <c r="J90" i="74"/>
  <c r="P96" i="82"/>
  <c r="X92" i="82"/>
  <c r="Z92" i="82" s="1"/>
  <c r="R92" i="82"/>
  <c r="T163" i="18"/>
  <c r="V159" i="18"/>
  <c r="L27" i="19"/>
  <c r="D31" i="19"/>
  <c r="H31" i="20"/>
  <c r="N27" i="20"/>
  <c r="T67" i="59"/>
  <c r="X27" i="70"/>
  <c r="P31" i="70"/>
  <c r="Z27" i="25"/>
  <c r="T31" i="25"/>
  <c r="P36" i="46"/>
  <c r="X31" i="46"/>
  <c r="P64" i="59"/>
  <c r="X60" i="59"/>
  <c r="Z60" i="59" s="1"/>
  <c r="D105" i="62"/>
  <c r="L101" i="62"/>
  <c r="N101" i="62" s="1"/>
  <c r="R23" i="21"/>
  <c r="H31" i="37"/>
  <c r="N27" i="37"/>
  <c r="P108" i="42"/>
  <c r="X24" i="42"/>
  <c r="Z24" i="42" s="1"/>
  <c r="T105" i="62"/>
  <c r="X27" i="92"/>
  <c r="P31" i="92"/>
  <c r="D31" i="20"/>
  <c r="L27" i="20"/>
  <c r="P83" i="58"/>
  <c r="X83" i="58" s="1"/>
  <c r="Z83" i="58" s="1"/>
  <c r="X80" i="58"/>
  <c r="Z80" i="58" s="1"/>
  <c r="T79" i="68"/>
  <c r="V75" i="68"/>
  <c r="Z75" i="91"/>
  <c r="T79" i="91"/>
  <c r="V75" i="91"/>
  <c r="X27" i="23"/>
  <c r="P31" i="23"/>
  <c r="L27" i="22"/>
  <c r="D31" i="22"/>
  <c r="T82" i="33"/>
  <c r="V79" i="33"/>
  <c r="T36" i="40"/>
  <c r="Z36" i="40" s="1"/>
  <c r="Z31" i="40"/>
  <c r="D75" i="91"/>
  <c r="L17" i="91"/>
  <c r="N17" i="91" s="1"/>
  <c r="X27" i="94"/>
  <c r="N27" i="7"/>
  <c r="H31" i="7"/>
  <c r="T162" i="12"/>
  <c r="V158" i="12"/>
  <c r="D31" i="29"/>
  <c r="L27" i="29"/>
  <c r="P89" i="27"/>
  <c r="X31" i="27"/>
  <c r="Z31" i="27" s="1"/>
  <c r="N27" i="38"/>
  <c r="H31" i="38"/>
  <c r="P117" i="36"/>
  <c r="X25" i="36"/>
  <c r="Z25" i="36" s="1"/>
  <c r="L27" i="37"/>
  <c r="D31" i="37"/>
  <c r="P26" i="54"/>
  <c r="X22" i="54"/>
  <c r="D61" i="61"/>
  <c r="L57" i="61"/>
  <c r="N57" i="61" s="1"/>
  <c r="L30" i="75"/>
  <c r="N30" i="75" s="1"/>
  <c r="P32" i="81"/>
  <c r="X28" i="81"/>
  <c r="V99" i="90"/>
  <c r="D100" i="9"/>
  <c r="L96" i="9"/>
  <c r="N96" i="9" s="1"/>
  <c r="P100" i="9"/>
  <c r="X96" i="9"/>
  <c r="Z96" i="9" s="1"/>
  <c r="Z27" i="17"/>
  <c r="T31" i="17"/>
  <c r="X27" i="50"/>
  <c r="P31" i="50"/>
  <c r="D40" i="64"/>
  <c r="L37" i="64"/>
  <c r="P79" i="71"/>
  <c r="H179" i="3"/>
  <c r="J175" i="3"/>
  <c r="T97" i="21"/>
  <c r="V94" i="21"/>
  <c r="T40" i="64"/>
  <c r="V32" i="72"/>
  <c r="D95" i="76"/>
  <c r="L91" i="76"/>
  <c r="N91" i="76" s="1"/>
  <c r="F91" i="76"/>
  <c r="H40" i="86"/>
  <c r="T31" i="4"/>
  <c r="Z27" i="4"/>
  <c r="T31" i="11"/>
  <c r="Z27" i="11"/>
  <c r="H78" i="56"/>
  <c r="N75" i="56"/>
  <c r="T31" i="35"/>
  <c r="Z27" i="35"/>
  <c r="X40" i="67"/>
  <c r="Z40" i="67" s="1"/>
  <c r="P107" i="67"/>
  <c r="H36" i="16"/>
  <c r="N36" i="16" s="1"/>
  <c r="N31" i="16"/>
  <c r="T86" i="51"/>
  <c r="V83" i="51"/>
  <c r="N27" i="52"/>
  <c r="H31" i="52"/>
  <c r="T69" i="57"/>
  <c r="X82" i="78"/>
  <c r="F23" i="89"/>
  <c r="Z27" i="13"/>
  <c r="T31" i="13"/>
  <c r="H123" i="30"/>
  <c r="J119" i="30"/>
  <c r="L27" i="41"/>
  <c r="D31" i="41"/>
  <c r="H108" i="62"/>
  <c r="H58" i="84"/>
  <c r="H91" i="63"/>
  <c r="J88" i="63"/>
  <c r="H95" i="89"/>
  <c r="J91" i="89"/>
  <c r="N27" i="94"/>
  <c r="H31" i="94"/>
  <c r="P36" i="94"/>
  <c r="X27" i="14"/>
  <c r="P31" i="14"/>
  <c r="X27" i="20"/>
  <c r="P31" i="20"/>
  <c r="X65" i="57"/>
  <c r="Z65" i="57" s="1"/>
  <c r="H111" i="67"/>
  <c r="J107" i="67"/>
  <c r="D37" i="75"/>
  <c r="L34" i="75"/>
  <c r="F34" i="75"/>
  <c r="H34" i="79"/>
  <c r="P31" i="7"/>
  <c r="X27" i="7"/>
  <c r="L65" i="57"/>
  <c r="D69" i="57"/>
  <c r="L31" i="55"/>
  <c r="D35" i="55"/>
  <c r="P36" i="13"/>
  <c r="X31" i="13"/>
  <c r="T31" i="29"/>
  <c r="X31" i="29" s="1"/>
  <c r="Z27" i="29"/>
  <c r="L59" i="87"/>
  <c r="N59" i="87" s="1"/>
  <c r="Z27" i="8"/>
  <c r="T31" i="8"/>
  <c r="H162" i="12"/>
  <c r="J158" i="12"/>
  <c r="D93" i="27"/>
  <c r="L89" i="27"/>
  <c r="N89" i="27" s="1"/>
  <c r="F89" i="27"/>
  <c r="P31" i="47"/>
  <c r="X27" i="47"/>
  <c r="D36" i="49"/>
  <c r="L31" i="49"/>
  <c r="L58" i="60"/>
  <c r="N58" i="60" s="1"/>
  <c r="D62" i="60"/>
  <c r="T94" i="74"/>
  <c r="V90" i="74"/>
  <c r="Z151" i="15"/>
  <c r="T155" i="15"/>
  <c r="V151" i="15"/>
  <c r="Z27" i="53"/>
  <c r="T31" i="53"/>
  <c r="L27" i="53"/>
  <c r="D31" i="53"/>
  <c r="J82" i="68"/>
  <c r="D75" i="68"/>
  <c r="L23" i="68"/>
  <c r="N23" i="68" s="1"/>
  <c r="T33" i="77"/>
  <c r="Z33" i="77" s="1"/>
  <c r="Z30" i="77"/>
  <c r="D79" i="78"/>
  <c r="L75" i="78"/>
  <c r="N75" i="78" s="1"/>
  <c r="P30" i="85"/>
  <c r="X26" i="85"/>
  <c r="P31" i="8"/>
  <c r="X27" i="8"/>
  <c r="Z27" i="26"/>
  <c r="T31" i="26"/>
  <c r="D75" i="48"/>
  <c r="L17" i="48"/>
  <c r="N17" i="48" s="1"/>
  <c r="J32" i="72"/>
  <c r="D32" i="81"/>
  <c r="L28" i="81"/>
  <c r="P63" i="87"/>
  <c r="X59" i="87"/>
  <c r="Z59" i="87" s="1"/>
  <c r="D31" i="14"/>
  <c r="L27" i="14"/>
  <c r="H112" i="42"/>
  <c r="J108" i="42"/>
  <c r="R23" i="88"/>
  <c r="T179" i="3"/>
  <c r="V175" i="3"/>
  <c r="H36" i="23"/>
  <c r="N36" i="23" s="1"/>
  <c r="N31" i="23"/>
  <c r="D36" i="50"/>
  <c r="L31" i="50"/>
  <c r="D107" i="67"/>
  <c r="L40" i="67"/>
  <c r="N40" i="67" s="1"/>
  <c r="X21" i="73"/>
  <c r="Z21" i="73" s="1"/>
  <c r="P84" i="73"/>
  <c r="P55" i="84"/>
  <c r="X51" i="84"/>
  <c r="F50" i="15"/>
  <c r="P36" i="29"/>
  <c r="Z27" i="43"/>
  <c r="T31" i="43"/>
  <c r="P72" i="57"/>
  <c r="X69" i="57"/>
  <c r="L26" i="85"/>
  <c r="N26" i="85" s="1"/>
  <c r="D30" i="85"/>
  <c r="T31" i="10"/>
  <c r="Z27" i="10"/>
  <c r="X27" i="26"/>
  <c r="P31" i="26"/>
  <c r="T115" i="39"/>
  <c r="V111" i="39"/>
  <c r="T83" i="69"/>
  <c r="V79" i="69"/>
  <c r="Z27" i="70"/>
  <c r="T31" i="70"/>
  <c r="H30" i="77"/>
  <c r="N26" i="77"/>
  <c r="T31" i="7"/>
  <c r="Z27" i="7"/>
  <c r="X27" i="13"/>
  <c r="N27" i="11"/>
  <c r="H31" i="11"/>
  <c r="L27" i="11"/>
  <c r="T121" i="36"/>
  <c r="V117" i="36"/>
  <c r="H36" i="49"/>
  <c r="N36" i="49" s="1"/>
  <c r="N31" i="49"/>
  <c r="V107" i="67"/>
  <c r="T111" i="67"/>
  <c r="D79" i="69"/>
  <c r="L31" i="69"/>
  <c r="N31" i="69" s="1"/>
  <c r="H31" i="70"/>
  <c r="N27" i="70"/>
  <c r="T91" i="83"/>
  <c r="V87" i="83"/>
  <c r="D66" i="87"/>
  <c r="L63" i="87"/>
  <c r="N27" i="92"/>
  <c r="H31" i="92"/>
  <c r="L27" i="92"/>
  <c r="Z27" i="23"/>
  <c r="T31" i="23"/>
  <c r="T31" i="32"/>
  <c r="Z27" i="32"/>
  <c r="X27" i="43"/>
  <c r="P31" i="43"/>
  <c r="Z75" i="48"/>
  <c r="T79" i="48"/>
  <c r="X79" i="48" s="1"/>
  <c r="V75" i="48"/>
  <c r="H91" i="83"/>
  <c r="J87" i="83"/>
  <c r="N27" i="28"/>
  <c r="H31" i="28"/>
  <c r="Z31" i="50"/>
  <c r="T36" i="50"/>
  <c r="Z36" i="50" s="1"/>
  <c r="H76" i="71"/>
  <c r="J72" i="71"/>
  <c r="P31" i="5"/>
  <c r="X27" i="5"/>
  <c r="L56" i="18"/>
  <c r="N56" i="18" s="1"/>
  <c r="D159" i="18"/>
  <c r="L27" i="26"/>
  <c r="D31" i="26"/>
  <c r="H31" i="29"/>
  <c r="N27" i="29"/>
  <c r="D31" i="31"/>
  <c r="L27" i="31"/>
  <c r="T55" i="84"/>
  <c r="Z51" i="84"/>
  <c r="P82" i="91"/>
  <c r="X79" i="91"/>
  <c r="R79" i="91"/>
  <c r="Z27" i="93"/>
  <c r="T31" i="93"/>
  <c r="X27" i="93"/>
  <c r="T31" i="28"/>
  <c r="X31" i="28" s="1"/>
  <c r="Z27" i="28"/>
  <c r="N27" i="25"/>
  <c r="H31" i="25"/>
  <c r="T93" i="65"/>
  <c r="V89" i="65"/>
  <c r="P95" i="76"/>
  <c r="X91" i="76"/>
  <c r="R91" i="76"/>
  <c r="T31" i="14"/>
  <c r="Z27" i="14"/>
  <c r="T31" i="54"/>
  <c r="Z26" i="54"/>
  <c r="R21" i="73"/>
  <c r="X36" i="86"/>
  <c r="Z36" i="86" s="1"/>
  <c r="X27" i="28"/>
  <c r="P36" i="44"/>
  <c r="X36" i="44" s="1"/>
  <c r="X31" i="44"/>
  <c r="N27" i="32"/>
  <c r="H31" i="32"/>
  <c r="H36" i="53"/>
  <c r="N36" i="53" s="1"/>
  <c r="N31" i="53"/>
  <c r="L18" i="86"/>
  <c r="D36" i="86"/>
  <c r="D31" i="94"/>
  <c r="L27" i="94"/>
  <c r="H103" i="9"/>
  <c r="P31" i="35"/>
  <c r="X27" i="35"/>
  <c r="V106" i="45"/>
  <c r="H35" i="55"/>
  <c r="N31" i="55"/>
  <c r="H31" i="54"/>
  <c r="N26" i="54"/>
  <c r="H83" i="51"/>
  <c r="N79" i="51"/>
  <c r="J79" i="51"/>
  <c r="X27" i="25"/>
  <c r="P31" i="25"/>
  <c r="Z72" i="71"/>
  <c r="T76" i="71"/>
  <c r="X76" i="71" s="1"/>
  <c r="V72" i="71"/>
  <c r="P37" i="79"/>
  <c r="L27" i="5"/>
  <c r="D31" i="5"/>
  <c r="D88" i="63"/>
  <c r="L84" i="63"/>
  <c r="N84" i="63" s="1"/>
  <c r="F84" i="63"/>
  <c r="L28" i="80"/>
  <c r="N28" i="80" s="1"/>
  <c r="D31" i="93"/>
  <c r="L27" i="93"/>
  <c r="P31" i="17"/>
  <c r="X27" i="17"/>
  <c r="Z27" i="41"/>
  <c r="T31" i="41"/>
  <c r="N27" i="47"/>
  <c r="H31" i="47"/>
  <c r="X28" i="80"/>
  <c r="Z28" i="80" s="1"/>
  <c r="P32" i="80"/>
  <c r="X62" i="3"/>
  <c r="Z62" i="3" s="1"/>
  <c r="P175" i="3"/>
  <c r="H36" i="19"/>
  <c r="N36" i="19" s="1"/>
  <c r="N31" i="19"/>
  <c r="D123" i="30"/>
  <c r="L119" i="30"/>
  <c r="N119" i="30" s="1"/>
  <c r="F119" i="30"/>
  <c r="D31" i="44"/>
  <c r="L27" i="44"/>
  <c r="T31" i="47"/>
  <c r="Z27" i="47"/>
  <c r="Z78" i="56"/>
  <c r="T61" i="61"/>
  <c r="P83" i="69"/>
  <c r="X79" i="69"/>
  <c r="Z79" i="69" s="1"/>
  <c r="R79" i="69"/>
  <c r="P87" i="83"/>
  <c r="X20" i="83"/>
  <c r="Z20" i="83" s="1"/>
  <c r="T95" i="89"/>
  <c r="V91" i="89"/>
  <c r="D179" i="3"/>
  <c r="L175" i="3"/>
  <c r="N175" i="3" s="1"/>
  <c r="F175" i="3"/>
  <c r="P36" i="22"/>
  <c r="D31" i="28"/>
  <c r="L27" i="28"/>
  <c r="L78" i="56"/>
  <c r="D67" i="59"/>
  <c r="L64" i="59"/>
  <c r="P36" i="4"/>
  <c r="P111" i="39"/>
  <c r="X25" i="39"/>
  <c r="Z25" i="39" s="1"/>
  <c r="N27" i="35"/>
  <c r="H31" i="35"/>
  <c r="P43" i="86"/>
  <c r="X40" i="86"/>
  <c r="R40" i="86"/>
  <c r="D89" i="88"/>
  <c r="L23" i="88"/>
  <c r="N23" i="88" s="1"/>
  <c r="H91" i="24"/>
  <c r="J88" i="24"/>
  <c r="T31" i="16"/>
  <c r="Z27" i="16"/>
  <c r="X27" i="16"/>
  <c r="P36" i="28"/>
  <c r="D108" i="42"/>
  <c r="L24" i="42"/>
  <c r="N24" i="42" s="1"/>
  <c r="F24" i="42"/>
  <c r="H96" i="65"/>
  <c r="J93" i="65"/>
  <c r="L24" i="74"/>
  <c r="N24" i="74" s="1"/>
  <c r="D90" i="74"/>
  <c r="D29" i="72"/>
  <c r="L25" i="72"/>
  <c r="N25" i="72" s="1"/>
  <c r="F25" i="72"/>
  <c r="D34" i="79"/>
  <c r="L30" i="79"/>
  <c r="N30" i="79" s="1"/>
  <c r="H31" i="13"/>
  <c r="N27" i="13"/>
  <c r="X23" i="45"/>
  <c r="Z23" i="45" s="1"/>
  <c r="P99" i="45"/>
  <c r="Z31" i="55"/>
  <c r="T35" i="55"/>
  <c r="H69" i="57"/>
  <c r="N65" i="57"/>
  <c r="T35" i="80"/>
  <c r="L72" i="71"/>
  <c r="N72" i="71" s="1"/>
  <c r="D76" i="71"/>
  <c r="T34" i="79"/>
  <c r="X34" i="79" s="1"/>
  <c r="D31" i="4"/>
  <c r="L27" i="4"/>
  <c r="D94" i="21"/>
  <c r="L90" i="21"/>
  <c r="N90" i="21" s="1"/>
  <c r="F90" i="21"/>
  <c r="L27" i="23"/>
  <c r="D31" i="23"/>
  <c r="D31" i="40"/>
  <c r="L27" i="40"/>
  <c r="T36" i="46"/>
  <c r="Z36" i="46" s="1"/>
  <c r="Z31" i="46"/>
  <c r="F31" i="65"/>
  <c r="X57" i="61"/>
  <c r="Z57" i="61" s="1"/>
  <c r="P61" i="61"/>
  <c r="D84" i="73"/>
  <c r="L21" i="73"/>
  <c r="N21" i="73" s="1"/>
  <c r="X30" i="79"/>
  <c r="Z30" i="79" s="1"/>
  <c r="Z26" i="85"/>
  <c r="T30" i="85"/>
  <c r="H31" i="93"/>
  <c r="N27" i="93"/>
  <c r="Z84" i="24"/>
  <c r="T88" i="24"/>
  <c r="V84" i="24"/>
  <c r="D31" i="35"/>
  <c r="L27" i="35"/>
  <c r="F25" i="39"/>
  <c r="H83" i="69"/>
  <c r="J79" i="69"/>
  <c r="D35" i="80"/>
  <c r="L87" i="83"/>
  <c r="N87" i="83" s="1"/>
  <c r="D91" i="83"/>
  <c r="Z31" i="34" l="1"/>
  <c r="X31" i="40"/>
  <c r="L36" i="49"/>
  <c r="H36" i="31"/>
  <c r="N36" i="31" s="1"/>
  <c r="N31" i="31"/>
  <c r="H36" i="34"/>
  <c r="N36" i="34" s="1"/>
  <c r="N31" i="34"/>
  <c r="H36" i="94"/>
  <c r="N36" i="94" s="1"/>
  <c r="N31" i="94"/>
  <c r="P38" i="55"/>
  <c r="X35" i="55"/>
  <c r="T36" i="94"/>
  <c r="Z36" i="94" s="1"/>
  <c r="Z31" i="94"/>
  <c r="T36" i="38"/>
  <c r="Z36" i="38" s="1"/>
  <c r="Z31" i="38"/>
  <c r="D79" i="33"/>
  <c r="L75" i="33"/>
  <c r="N75" i="33" s="1"/>
  <c r="F75" i="33"/>
  <c r="D36" i="4"/>
  <c r="L31" i="4"/>
  <c r="R43" i="86"/>
  <c r="D36" i="93"/>
  <c r="L31" i="93"/>
  <c r="T118" i="39"/>
  <c r="V115" i="39"/>
  <c r="D35" i="81"/>
  <c r="L32" i="81"/>
  <c r="Z31" i="13"/>
  <c r="T36" i="13"/>
  <c r="Z36" i="13" s="1"/>
  <c r="T36" i="35"/>
  <c r="Z36" i="35" s="1"/>
  <c r="Z31" i="35"/>
  <c r="P103" i="9"/>
  <c r="X100" i="9"/>
  <c r="Z100" i="9" s="1"/>
  <c r="N31" i="38"/>
  <c r="H36" i="38"/>
  <c r="N36" i="38" s="1"/>
  <c r="T165" i="12"/>
  <c r="V162" i="12"/>
  <c r="T82" i="91"/>
  <c r="X82" i="91" s="1"/>
  <c r="Z79" i="91"/>
  <c r="V79" i="91"/>
  <c r="D36" i="20"/>
  <c r="L31" i="20"/>
  <c r="H36" i="37"/>
  <c r="N36" i="37" s="1"/>
  <c r="N31" i="37"/>
  <c r="T36" i="25"/>
  <c r="Z36" i="25" s="1"/>
  <c r="Z31" i="25"/>
  <c r="D36" i="19"/>
  <c r="L36" i="19" s="1"/>
  <c r="L31" i="19"/>
  <c r="D86" i="51"/>
  <c r="L83" i="51"/>
  <c r="N83" i="51" s="1"/>
  <c r="F83" i="51"/>
  <c r="P95" i="89"/>
  <c r="X91" i="89"/>
  <c r="Z91" i="89" s="1"/>
  <c r="R91" i="89"/>
  <c r="P32" i="72"/>
  <c r="X29" i="72"/>
  <c r="Z29" i="72" s="1"/>
  <c r="R29" i="72"/>
  <c r="D36" i="43"/>
  <c r="L31" i="43"/>
  <c r="D58" i="84"/>
  <c r="L58" i="84" s="1"/>
  <c r="N58" i="84" s="1"/>
  <c r="L55" i="84"/>
  <c r="N55" i="84" s="1"/>
  <c r="Z82" i="78"/>
  <c r="H36" i="44"/>
  <c r="N36" i="44" s="1"/>
  <c r="N31" i="44"/>
  <c r="H36" i="46"/>
  <c r="N36" i="46" s="1"/>
  <c r="N31" i="46"/>
  <c r="T98" i="76"/>
  <c r="V95" i="76"/>
  <c r="H33" i="85"/>
  <c r="N31" i="22"/>
  <c r="H36" i="22"/>
  <c r="N36" i="22" s="1"/>
  <c r="D36" i="38"/>
  <c r="L31" i="38"/>
  <c r="P36" i="52"/>
  <c r="X31" i="52"/>
  <c r="P36" i="31"/>
  <c r="X36" i="31" s="1"/>
  <c r="X31" i="31"/>
  <c r="P123" i="30"/>
  <c r="X119" i="30"/>
  <c r="Z119" i="30" s="1"/>
  <c r="R119" i="30"/>
  <c r="P35" i="80"/>
  <c r="X35" i="80" s="1"/>
  <c r="X32" i="80"/>
  <c r="Z32" i="80" s="1"/>
  <c r="Z31" i="29"/>
  <c r="T36" i="29"/>
  <c r="Z36" i="29" s="1"/>
  <c r="T36" i="4"/>
  <c r="Z36" i="4" s="1"/>
  <c r="Z31" i="4"/>
  <c r="P99" i="82"/>
  <c r="X96" i="82"/>
  <c r="R96" i="82"/>
  <c r="D36" i="35"/>
  <c r="L31" i="35"/>
  <c r="D37" i="79"/>
  <c r="L34" i="79"/>
  <c r="H86" i="51"/>
  <c r="J83" i="51"/>
  <c r="D36" i="40"/>
  <c r="L36" i="40" s="1"/>
  <c r="L31" i="40"/>
  <c r="Z35" i="55"/>
  <c r="T38" i="55"/>
  <c r="H36" i="35"/>
  <c r="N36" i="35" s="1"/>
  <c r="N31" i="35"/>
  <c r="H36" i="47"/>
  <c r="N36" i="47" s="1"/>
  <c r="N31" i="47"/>
  <c r="H36" i="32"/>
  <c r="N36" i="32" s="1"/>
  <c r="N31" i="32"/>
  <c r="T96" i="65"/>
  <c r="V93" i="65"/>
  <c r="H36" i="29"/>
  <c r="N36" i="29" s="1"/>
  <c r="N31" i="29"/>
  <c r="T36" i="32"/>
  <c r="Z36" i="32" s="1"/>
  <c r="Z31" i="32"/>
  <c r="D83" i="69"/>
  <c r="L79" i="69"/>
  <c r="N79" i="69" s="1"/>
  <c r="F79" i="69"/>
  <c r="T124" i="36"/>
  <c r="V121" i="36"/>
  <c r="H33" i="77"/>
  <c r="N33" i="77" s="1"/>
  <c r="N30" i="77"/>
  <c r="L36" i="50"/>
  <c r="N34" i="79"/>
  <c r="H37" i="79"/>
  <c r="P36" i="20"/>
  <c r="X31" i="20"/>
  <c r="N108" i="62"/>
  <c r="H43" i="86"/>
  <c r="D64" i="61"/>
  <c r="L64" i="61" s="1"/>
  <c r="N64" i="61" s="1"/>
  <c r="L61" i="61"/>
  <c r="N61" i="61" s="1"/>
  <c r="H36" i="7"/>
  <c r="N36" i="7" s="1"/>
  <c r="N31" i="7"/>
  <c r="P36" i="92"/>
  <c r="X31" i="92"/>
  <c r="L31" i="47"/>
  <c r="D36" i="47"/>
  <c r="D91" i="24"/>
  <c r="L88" i="24"/>
  <c r="N88" i="24" s="1"/>
  <c r="F88" i="24"/>
  <c r="H37" i="75"/>
  <c r="N34" i="75"/>
  <c r="J34" i="75"/>
  <c r="T66" i="87"/>
  <c r="H36" i="43"/>
  <c r="N36" i="43" s="1"/>
  <c r="N31" i="43"/>
  <c r="D95" i="89"/>
  <c r="L91" i="89"/>
  <c r="N91" i="89" s="1"/>
  <c r="F91" i="89"/>
  <c r="P96" i="90"/>
  <c r="X92" i="90"/>
  <c r="Z92" i="90" s="1"/>
  <c r="R92" i="90"/>
  <c r="D103" i="45"/>
  <c r="L99" i="45"/>
  <c r="N99" i="45" s="1"/>
  <c r="F99" i="45"/>
  <c r="D36" i="16"/>
  <c r="L36" i="16" s="1"/>
  <c r="L31" i="16"/>
  <c r="Z31" i="52"/>
  <c r="T36" i="52"/>
  <c r="Z36" i="52" s="1"/>
  <c r="P36" i="49"/>
  <c r="X31" i="49"/>
  <c r="D33" i="77"/>
  <c r="L30" i="77"/>
  <c r="D96" i="82"/>
  <c r="L92" i="82"/>
  <c r="N92" i="82" s="1"/>
  <c r="F92" i="82"/>
  <c r="P94" i="21"/>
  <c r="X90" i="21"/>
  <c r="Z90" i="21" s="1"/>
  <c r="R90" i="21"/>
  <c r="D36" i="31"/>
  <c r="L31" i="31"/>
  <c r="D33" i="85"/>
  <c r="L30" i="85"/>
  <c r="N30" i="85" s="1"/>
  <c r="T36" i="53"/>
  <c r="Z36" i="53" s="1"/>
  <c r="Z31" i="53"/>
  <c r="H114" i="67"/>
  <c r="J111" i="67"/>
  <c r="H72" i="57"/>
  <c r="T36" i="16"/>
  <c r="Z31" i="16"/>
  <c r="X31" i="16"/>
  <c r="P86" i="69"/>
  <c r="X83" i="69"/>
  <c r="R83" i="69"/>
  <c r="L84" i="73"/>
  <c r="N84" i="73" s="1"/>
  <c r="D88" i="73"/>
  <c r="F84" i="73"/>
  <c r="T64" i="61"/>
  <c r="N31" i="54"/>
  <c r="N31" i="25"/>
  <c r="H36" i="25"/>
  <c r="N36" i="25" s="1"/>
  <c r="D36" i="26"/>
  <c r="L36" i="26" s="1"/>
  <c r="L31" i="26"/>
  <c r="H79" i="71"/>
  <c r="J76" i="71"/>
  <c r="H94" i="83"/>
  <c r="J91" i="83"/>
  <c r="T36" i="23"/>
  <c r="Z36" i="23" s="1"/>
  <c r="Z31" i="23"/>
  <c r="T94" i="83"/>
  <c r="V91" i="83"/>
  <c r="Z31" i="70"/>
  <c r="T36" i="70"/>
  <c r="Z36" i="70" s="1"/>
  <c r="P36" i="26"/>
  <c r="X31" i="26"/>
  <c r="H115" i="42"/>
  <c r="J112" i="42"/>
  <c r="P36" i="8"/>
  <c r="X31" i="8"/>
  <c r="D79" i="68"/>
  <c r="L75" i="68"/>
  <c r="N75" i="68" s="1"/>
  <c r="F75" i="68"/>
  <c r="T158" i="15"/>
  <c r="Z155" i="15"/>
  <c r="V155" i="15"/>
  <c r="H165" i="12"/>
  <c r="J162" i="12"/>
  <c r="D38" i="55"/>
  <c r="L35" i="55"/>
  <c r="N35" i="55" s="1"/>
  <c r="H98" i="89"/>
  <c r="J95" i="89"/>
  <c r="V86" i="51"/>
  <c r="N78" i="56"/>
  <c r="D103" i="9"/>
  <c r="L103" i="9" s="1"/>
  <c r="N103" i="9" s="1"/>
  <c r="L100" i="9"/>
  <c r="N100" i="9" s="1"/>
  <c r="V82" i="33"/>
  <c r="P36" i="70"/>
  <c r="X31" i="70"/>
  <c r="H97" i="74"/>
  <c r="J94" i="74"/>
  <c r="H96" i="88"/>
  <c r="J93" i="88"/>
  <c r="P91" i="63"/>
  <c r="X88" i="63"/>
  <c r="Z88" i="63" s="1"/>
  <c r="R88" i="63"/>
  <c r="P93" i="65"/>
  <c r="X89" i="65"/>
  <c r="Z89" i="65" s="1"/>
  <c r="R89" i="65"/>
  <c r="T126" i="30"/>
  <c r="V123" i="30"/>
  <c r="P79" i="33"/>
  <c r="X75" i="33"/>
  <c r="Z75" i="33" s="1"/>
  <c r="R75" i="33"/>
  <c r="H99" i="90"/>
  <c r="J96" i="90"/>
  <c r="P158" i="15"/>
  <c r="X155" i="15"/>
  <c r="R155" i="15"/>
  <c r="P33" i="77"/>
  <c r="X33" i="77" s="1"/>
  <c r="X30" i="77"/>
  <c r="P94" i="74"/>
  <c r="X90" i="74"/>
  <c r="Z90" i="74" s="1"/>
  <c r="R90" i="74"/>
  <c r="D36" i="7"/>
  <c r="L31" i="7"/>
  <c r="D36" i="52"/>
  <c r="L31" i="52"/>
  <c r="D36" i="10"/>
  <c r="L36" i="10" s="1"/>
  <c r="L31" i="10"/>
  <c r="Z40" i="86"/>
  <c r="T43" i="86"/>
  <c r="X43" i="86" s="1"/>
  <c r="H67" i="59"/>
  <c r="L67" i="59" s="1"/>
  <c r="N64" i="59"/>
  <c r="H36" i="17"/>
  <c r="N36" i="17" s="1"/>
  <c r="N31" i="17"/>
  <c r="P36" i="5"/>
  <c r="X31" i="5"/>
  <c r="D96" i="27"/>
  <c r="L93" i="27"/>
  <c r="F93" i="27"/>
  <c r="P36" i="32"/>
  <c r="X31" i="32"/>
  <c r="D121" i="36"/>
  <c r="L117" i="36"/>
  <c r="N117" i="36" s="1"/>
  <c r="F117" i="36"/>
  <c r="J96" i="65"/>
  <c r="D184" i="3"/>
  <c r="L179" i="3"/>
  <c r="N179" i="3" s="1"/>
  <c r="F179" i="3"/>
  <c r="P36" i="35"/>
  <c r="X31" i="35"/>
  <c r="T91" i="24"/>
  <c r="V88" i="24"/>
  <c r="D36" i="23"/>
  <c r="L36" i="23" s="1"/>
  <c r="L31" i="23"/>
  <c r="T37" i="79"/>
  <c r="X37" i="79" s="1"/>
  <c r="Z34" i="79"/>
  <c r="D126" i="30"/>
  <c r="L123" i="30"/>
  <c r="N123" i="30" s="1"/>
  <c r="F123" i="30"/>
  <c r="T79" i="71"/>
  <c r="X79" i="71" s="1"/>
  <c r="Z76" i="71"/>
  <c r="V76" i="71"/>
  <c r="P64" i="61"/>
  <c r="X64" i="61" s="1"/>
  <c r="X61" i="61"/>
  <c r="Z61" i="61" s="1"/>
  <c r="D79" i="71"/>
  <c r="L79" i="71" s="1"/>
  <c r="L76" i="71"/>
  <c r="N76" i="71" s="1"/>
  <c r="P103" i="45"/>
  <c r="X99" i="45"/>
  <c r="Z99" i="45" s="1"/>
  <c r="R99" i="45"/>
  <c r="D32" i="72"/>
  <c r="L29" i="72"/>
  <c r="N29" i="72" s="1"/>
  <c r="F29" i="72"/>
  <c r="D112" i="42"/>
  <c r="L108" i="42"/>
  <c r="N108" i="42" s="1"/>
  <c r="F108" i="42"/>
  <c r="J91" i="24"/>
  <c r="D36" i="28"/>
  <c r="L31" i="28"/>
  <c r="T98" i="89"/>
  <c r="V95" i="89"/>
  <c r="T36" i="41"/>
  <c r="Z36" i="41" s="1"/>
  <c r="Z31" i="41"/>
  <c r="T36" i="14"/>
  <c r="Z36" i="14" s="1"/>
  <c r="Z31" i="14"/>
  <c r="R82" i="91"/>
  <c r="T114" i="67"/>
  <c r="V111" i="67"/>
  <c r="H36" i="11"/>
  <c r="N31" i="11"/>
  <c r="L31" i="11"/>
  <c r="Z31" i="43"/>
  <c r="T36" i="43"/>
  <c r="Z36" i="43" s="1"/>
  <c r="X55" i="84"/>
  <c r="Z55" i="84" s="1"/>
  <c r="P58" i="84"/>
  <c r="T36" i="8"/>
  <c r="Z36" i="8" s="1"/>
  <c r="Z31" i="8"/>
  <c r="P36" i="14"/>
  <c r="X31" i="14"/>
  <c r="D36" i="41"/>
  <c r="L31" i="41"/>
  <c r="V97" i="21"/>
  <c r="P36" i="50"/>
  <c r="X36" i="50" s="1"/>
  <c r="X31" i="50"/>
  <c r="P31" i="54"/>
  <c r="X31" i="54" s="1"/>
  <c r="Z31" i="54" s="1"/>
  <c r="X26" i="54"/>
  <c r="P93" i="27"/>
  <c r="X89" i="27"/>
  <c r="Z89" i="27" s="1"/>
  <c r="R89" i="27"/>
  <c r="D36" i="22"/>
  <c r="L31" i="22"/>
  <c r="D108" i="62"/>
  <c r="L108" i="62" s="1"/>
  <c r="L105" i="62"/>
  <c r="N105" i="62" s="1"/>
  <c r="L111" i="39"/>
  <c r="N111" i="39" s="1"/>
  <c r="D115" i="39"/>
  <c r="F111" i="39"/>
  <c r="H36" i="8"/>
  <c r="N36" i="8" s="1"/>
  <c r="N31" i="8"/>
  <c r="D36" i="17"/>
  <c r="L31" i="17"/>
  <c r="P36" i="11"/>
  <c r="X31" i="11"/>
  <c r="H91" i="73"/>
  <c r="J88" i="73"/>
  <c r="T96" i="27"/>
  <c r="V93" i="27"/>
  <c r="T115" i="42"/>
  <c r="V112" i="42"/>
  <c r="T36" i="22"/>
  <c r="Z36" i="22" s="1"/>
  <c r="Z31" i="22"/>
  <c r="H66" i="87"/>
  <c r="N63" i="87"/>
  <c r="D36" i="13"/>
  <c r="L31" i="13"/>
  <c r="H158" i="15"/>
  <c r="J155" i="15"/>
  <c r="D94" i="83"/>
  <c r="L91" i="83"/>
  <c r="N91" i="83" s="1"/>
  <c r="D65" i="60"/>
  <c r="L65" i="60" s="1"/>
  <c r="L62" i="60"/>
  <c r="N62" i="60" s="1"/>
  <c r="H126" i="30"/>
  <c r="J123" i="30"/>
  <c r="P121" i="36"/>
  <c r="X117" i="36"/>
  <c r="Z117" i="36" s="1"/>
  <c r="R117" i="36"/>
  <c r="N31" i="20"/>
  <c r="H36" i="20"/>
  <c r="N36" i="20" s="1"/>
  <c r="D36" i="32"/>
  <c r="L31" i="32"/>
  <c r="X31" i="34"/>
  <c r="P36" i="34"/>
  <c r="X36" i="34" s="1"/>
  <c r="N32" i="80"/>
  <c r="H35" i="80"/>
  <c r="L35" i="80" s="1"/>
  <c r="D91" i="63"/>
  <c r="L88" i="63"/>
  <c r="N88" i="63" s="1"/>
  <c r="F88" i="63"/>
  <c r="P36" i="25"/>
  <c r="X31" i="25"/>
  <c r="H38" i="55"/>
  <c r="D36" i="94"/>
  <c r="L31" i="94"/>
  <c r="D163" i="18"/>
  <c r="L159" i="18"/>
  <c r="N159" i="18" s="1"/>
  <c r="F159" i="18"/>
  <c r="T82" i="48"/>
  <c r="Z79" i="48"/>
  <c r="V79" i="48"/>
  <c r="P88" i="73"/>
  <c r="X84" i="73"/>
  <c r="Z84" i="73" s="1"/>
  <c r="R84" i="73"/>
  <c r="D36" i="14"/>
  <c r="L36" i="14" s="1"/>
  <c r="L31" i="14"/>
  <c r="P33" i="85"/>
  <c r="X30" i="85"/>
  <c r="Z30" i="85" s="1"/>
  <c r="X31" i="47"/>
  <c r="P36" i="47"/>
  <c r="D72" i="57"/>
  <c r="L69" i="57"/>
  <c r="N69" i="57" s="1"/>
  <c r="L37" i="75"/>
  <c r="F37" i="75"/>
  <c r="Z69" i="57"/>
  <c r="T72" i="57"/>
  <c r="D98" i="76"/>
  <c r="L95" i="76"/>
  <c r="F95" i="76"/>
  <c r="D36" i="37"/>
  <c r="L31" i="37"/>
  <c r="T82" i="68"/>
  <c r="V79" i="68"/>
  <c r="T108" i="62"/>
  <c r="T166" i="18"/>
  <c r="V163" i="18"/>
  <c r="N65" i="60"/>
  <c r="P79" i="68"/>
  <c r="X75" i="68"/>
  <c r="Z75" i="68" s="1"/>
  <c r="R75" i="68"/>
  <c r="H96" i="27"/>
  <c r="N93" i="27"/>
  <c r="J93" i="27"/>
  <c r="H99" i="82"/>
  <c r="J96" i="82"/>
  <c r="X31" i="53"/>
  <c r="P36" i="10"/>
  <c r="X31" i="10"/>
  <c r="H98" i="76"/>
  <c r="N95" i="76"/>
  <c r="J95" i="76"/>
  <c r="T36" i="92"/>
  <c r="Z36" i="92" s="1"/>
  <c r="Z31" i="92"/>
  <c r="R82" i="48"/>
  <c r="P91" i="24"/>
  <c r="X88" i="24"/>
  <c r="Z88" i="24" s="1"/>
  <c r="R88" i="24"/>
  <c r="H82" i="48"/>
  <c r="J79" i="48"/>
  <c r="T65" i="60"/>
  <c r="X65" i="60" s="1"/>
  <c r="Z62" i="60"/>
  <c r="H82" i="78"/>
  <c r="N32" i="81"/>
  <c r="H35" i="81"/>
  <c r="N35" i="81" s="1"/>
  <c r="Z31" i="93"/>
  <c r="T36" i="93"/>
  <c r="X31" i="93"/>
  <c r="D111" i="67"/>
  <c r="L107" i="67"/>
  <c r="N107" i="67" s="1"/>
  <c r="F107" i="67"/>
  <c r="L89" i="65"/>
  <c r="N89" i="65" s="1"/>
  <c r="D93" i="65"/>
  <c r="F89" i="65"/>
  <c r="D94" i="74"/>
  <c r="L90" i="74"/>
  <c r="N90" i="74" s="1"/>
  <c r="F90" i="74"/>
  <c r="N31" i="93"/>
  <c r="H36" i="93"/>
  <c r="N36" i="93" s="1"/>
  <c r="Z31" i="47"/>
  <c r="T36" i="47"/>
  <c r="Z36" i="47" s="1"/>
  <c r="D36" i="5"/>
  <c r="L36" i="5" s="1"/>
  <c r="L31" i="5"/>
  <c r="D40" i="86"/>
  <c r="L36" i="86"/>
  <c r="N36" i="86" s="1"/>
  <c r="F36" i="86"/>
  <c r="T58" i="84"/>
  <c r="H36" i="28"/>
  <c r="N36" i="28" s="1"/>
  <c r="N31" i="28"/>
  <c r="N31" i="92"/>
  <c r="H36" i="92"/>
  <c r="L31" i="92"/>
  <c r="N31" i="70"/>
  <c r="H36" i="70"/>
  <c r="N36" i="70" s="1"/>
  <c r="T36" i="10"/>
  <c r="Z36" i="10" s="1"/>
  <c r="Z31" i="10"/>
  <c r="T184" i="3"/>
  <c r="V179" i="3"/>
  <c r="D36" i="53"/>
  <c r="L36" i="53" s="1"/>
  <c r="L31" i="53"/>
  <c r="X31" i="94"/>
  <c r="J91" i="63"/>
  <c r="P111" i="67"/>
  <c r="X107" i="67"/>
  <c r="Z107" i="67" s="1"/>
  <c r="R107" i="67"/>
  <c r="T36" i="11"/>
  <c r="Z36" i="11" s="1"/>
  <c r="Z31" i="11"/>
  <c r="T36" i="17"/>
  <c r="Z36" i="17" s="1"/>
  <c r="Z31" i="17"/>
  <c r="D36" i="29"/>
  <c r="L31" i="29"/>
  <c r="D79" i="91"/>
  <c r="L75" i="91"/>
  <c r="N75" i="91" s="1"/>
  <c r="F75" i="91"/>
  <c r="P36" i="23"/>
  <c r="X31" i="23"/>
  <c r="X64" i="59"/>
  <c r="Z64" i="59" s="1"/>
  <c r="P67" i="59"/>
  <c r="X67" i="59" s="1"/>
  <c r="Z67" i="59" s="1"/>
  <c r="Z31" i="49"/>
  <c r="T36" i="49"/>
  <c r="Z36" i="49" s="1"/>
  <c r="X31" i="41"/>
  <c r="P36" i="41"/>
  <c r="P108" i="62"/>
  <c r="X105" i="62"/>
  <c r="Z105" i="62" s="1"/>
  <c r="P93" i="88"/>
  <c r="X89" i="88"/>
  <c r="Z89" i="88" s="1"/>
  <c r="R89" i="88"/>
  <c r="P31" i="6"/>
  <c r="X31" i="6" s="1"/>
  <c r="Z31" i="6" s="1"/>
  <c r="X26" i="6"/>
  <c r="H166" i="18"/>
  <c r="J163" i="18"/>
  <c r="H40" i="64"/>
  <c r="L40" i="64" s="1"/>
  <c r="N37" i="64"/>
  <c r="D36" i="8"/>
  <c r="L31" i="8"/>
  <c r="L83" i="58"/>
  <c r="N83" i="58" s="1"/>
  <c r="P36" i="37"/>
  <c r="X31" i="37"/>
  <c r="P162" i="12"/>
  <c r="X158" i="12"/>
  <c r="Z158" i="12" s="1"/>
  <c r="R158" i="12"/>
  <c r="L31" i="25"/>
  <c r="T91" i="63"/>
  <c r="V88" i="63"/>
  <c r="P37" i="75"/>
  <c r="X34" i="75"/>
  <c r="Z34" i="75" s="1"/>
  <c r="R34" i="75"/>
  <c r="T99" i="82"/>
  <c r="Z96" i="82"/>
  <c r="V96" i="82"/>
  <c r="Z31" i="20"/>
  <c r="T36" i="20"/>
  <c r="Z36" i="20" s="1"/>
  <c r="D36" i="34"/>
  <c r="L31" i="34"/>
  <c r="T36" i="5"/>
  <c r="Z36" i="5" s="1"/>
  <c r="Z31" i="5"/>
  <c r="D36" i="44"/>
  <c r="L31" i="44"/>
  <c r="T36" i="7"/>
  <c r="Z36" i="7" s="1"/>
  <c r="Z31" i="7"/>
  <c r="T36" i="26"/>
  <c r="Z36" i="26" s="1"/>
  <c r="Z31" i="26"/>
  <c r="P36" i="7"/>
  <c r="X31" i="7"/>
  <c r="X36" i="46"/>
  <c r="T103" i="9"/>
  <c r="D162" i="12"/>
  <c r="L158" i="12"/>
  <c r="N158" i="12" s="1"/>
  <c r="F158" i="12"/>
  <c r="P115" i="39"/>
  <c r="X111" i="39"/>
  <c r="Z111" i="39" s="1"/>
  <c r="R111" i="39"/>
  <c r="H86" i="69"/>
  <c r="J83" i="69"/>
  <c r="D93" i="88"/>
  <c r="L89" i="88"/>
  <c r="N89" i="88" s="1"/>
  <c r="F89" i="88"/>
  <c r="X31" i="4"/>
  <c r="P91" i="83"/>
  <c r="X87" i="83"/>
  <c r="Z87" i="83" s="1"/>
  <c r="P179" i="3"/>
  <c r="X175" i="3"/>
  <c r="Z175" i="3" s="1"/>
  <c r="R175" i="3"/>
  <c r="Z31" i="28"/>
  <c r="T36" i="28"/>
  <c r="Z36" i="28" s="1"/>
  <c r="T33" i="85"/>
  <c r="D97" i="21"/>
  <c r="L94" i="21"/>
  <c r="F94" i="21"/>
  <c r="Z35" i="80"/>
  <c r="H36" i="13"/>
  <c r="N36" i="13" s="1"/>
  <c r="N31" i="13"/>
  <c r="X31" i="17"/>
  <c r="P36" i="17"/>
  <c r="P98" i="76"/>
  <c r="X95" i="76"/>
  <c r="Z95" i="76" s="1"/>
  <c r="R95" i="76"/>
  <c r="P36" i="43"/>
  <c r="X31" i="43"/>
  <c r="Z83" i="69"/>
  <c r="T86" i="69"/>
  <c r="V83" i="69"/>
  <c r="X36" i="40"/>
  <c r="P66" i="87"/>
  <c r="X63" i="87"/>
  <c r="Z63" i="87" s="1"/>
  <c r="L75" i="48"/>
  <c r="N75" i="48" s="1"/>
  <c r="D79" i="48"/>
  <c r="F75" i="48"/>
  <c r="D82" i="78"/>
  <c r="L82" i="78" s="1"/>
  <c r="L79" i="78"/>
  <c r="N79" i="78" s="1"/>
  <c r="T97" i="74"/>
  <c r="V94" i="74"/>
  <c r="H36" i="52"/>
  <c r="N36" i="52" s="1"/>
  <c r="N31" i="52"/>
  <c r="H184" i="3"/>
  <c r="J179" i="3"/>
  <c r="X32" i="81"/>
  <c r="P35" i="81"/>
  <c r="X35" i="81" s="1"/>
  <c r="P112" i="42"/>
  <c r="X108" i="42"/>
  <c r="Z108" i="42" s="1"/>
  <c r="R108" i="42"/>
  <c r="P163" i="18"/>
  <c r="X159" i="18"/>
  <c r="Z159" i="18" s="1"/>
  <c r="R159" i="18"/>
  <c r="D155" i="15"/>
  <c r="L151" i="15"/>
  <c r="N151" i="15" s="1"/>
  <c r="F151" i="15"/>
  <c r="H36" i="41"/>
  <c r="N36" i="41" s="1"/>
  <c r="N31" i="41"/>
  <c r="P36" i="38"/>
  <c r="X31" i="38"/>
  <c r="P40" i="64"/>
  <c r="X40" i="64" s="1"/>
  <c r="Z40" i="64" s="1"/>
  <c r="X37" i="64"/>
  <c r="Z37" i="64" s="1"/>
  <c r="H97" i="21"/>
  <c r="N94" i="21"/>
  <c r="J94" i="21"/>
  <c r="P83" i="51"/>
  <c r="X79" i="51"/>
  <c r="Z79" i="51" s="1"/>
  <c r="R79" i="51"/>
  <c r="P36" i="19"/>
  <c r="X36" i="19" s="1"/>
  <c r="X31" i="19"/>
  <c r="D36" i="70"/>
  <c r="L31" i="70"/>
  <c r="T36" i="37"/>
  <c r="Z36" i="37" s="1"/>
  <c r="Z31" i="37"/>
  <c r="H36" i="4"/>
  <c r="N36" i="4" s="1"/>
  <c r="N31" i="4"/>
  <c r="T91" i="73"/>
  <c r="V88" i="73"/>
  <c r="V37" i="75"/>
  <c r="J118" i="39"/>
  <c r="H106" i="45"/>
  <c r="J103" i="45"/>
  <c r="L31" i="46"/>
  <c r="D99" i="90"/>
  <c r="L96" i="90"/>
  <c r="N96" i="90" s="1"/>
  <c r="F96" i="90"/>
  <c r="X66" i="87" l="1"/>
  <c r="L38" i="55"/>
  <c r="X33" i="85"/>
  <c r="L36" i="32"/>
  <c r="X36" i="25"/>
  <c r="L36" i="37"/>
  <c r="L36" i="70"/>
  <c r="X36" i="17"/>
  <c r="L36" i="94"/>
  <c r="L36" i="44"/>
  <c r="X36" i="35"/>
  <c r="X36" i="4"/>
  <c r="X36" i="41"/>
  <c r="L36" i="31"/>
  <c r="L36" i="22"/>
  <c r="L36" i="47"/>
  <c r="L36" i="93"/>
  <c r="X36" i="52"/>
  <c r="X36" i="92"/>
  <c r="X36" i="29"/>
  <c r="L36" i="35"/>
  <c r="X36" i="28"/>
  <c r="X36" i="5"/>
  <c r="L36" i="46"/>
  <c r="X36" i="94"/>
  <c r="L36" i="29"/>
  <c r="L36" i="25"/>
  <c r="X36" i="7"/>
  <c r="X36" i="14"/>
  <c r="X36" i="13"/>
  <c r="X36" i="38"/>
  <c r="L36" i="34"/>
  <c r="X36" i="37"/>
  <c r="V97" i="74"/>
  <c r="J158" i="15"/>
  <c r="X93" i="65"/>
  <c r="Z93" i="65" s="1"/>
  <c r="P96" i="65"/>
  <c r="R93" i="65"/>
  <c r="D91" i="73"/>
  <c r="L88" i="73"/>
  <c r="N88" i="73" s="1"/>
  <c r="F88" i="73"/>
  <c r="Z36" i="16"/>
  <c r="X36" i="16"/>
  <c r="J106" i="45"/>
  <c r="X98" i="76"/>
  <c r="Z98" i="76" s="1"/>
  <c r="R98" i="76"/>
  <c r="P184" i="3"/>
  <c r="X179" i="3"/>
  <c r="Z179" i="3" s="1"/>
  <c r="R179" i="3"/>
  <c r="J86" i="69"/>
  <c r="X108" i="62"/>
  <c r="Z58" i="84"/>
  <c r="X36" i="22"/>
  <c r="D96" i="65"/>
  <c r="L93" i="65"/>
  <c r="N93" i="65" s="1"/>
  <c r="F93" i="65"/>
  <c r="J82" i="48"/>
  <c r="V82" i="68"/>
  <c r="D118" i="39"/>
  <c r="L115" i="39"/>
  <c r="N115" i="39" s="1"/>
  <c r="F115" i="39"/>
  <c r="P96" i="27"/>
  <c r="X93" i="27"/>
  <c r="Z93" i="27" s="1"/>
  <c r="R93" i="27"/>
  <c r="L36" i="41"/>
  <c r="Z37" i="79"/>
  <c r="D124" i="36"/>
  <c r="L121" i="36"/>
  <c r="N121" i="36" s="1"/>
  <c r="F121" i="36"/>
  <c r="D82" i="68"/>
  <c r="L79" i="68"/>
  <c r="N79" i="68" s="1"/>
  <c r="F79" i="68"/>
  <c r="X36" i="26"/>
  <c r="L33" i="85"/>
  <c r="N33" i="85" s="1"/>
  <c r="D99" i="82"/>
  <c r="L96" i="82"/>
  <c r="N96" i="82" s="1"/>
  <c r="F96" i="82"/>
  <c r="N37" i="75"/>
  <c r="J37" i="75"/>
  <c r="X36" i="20"/>
  <c r="X32" i="72"/>
  <c r="Z32" i="72" s="1"/>
  <c r="R32" i="72"/>
  <c r="X103" i="9"/>
  <c r="Z103" i="9" s="1"/>
  <c r="L35" i="81"/>
  <c r="D158" i="15"/>
  <c r="L155" i="15"/>
  <c r="N155" i="15" s="1"/>
  <c r="F155" i="15"/>
  <c r="P82" i="68"/>
  <c r="X79" i="68"/>
  <c r="Z79" i="68" s="1"/>
  <c r="R79" i="68"/>
  <c r="J91" i="73"/>
  <c r="L36" i="28"/>
  <c r="L36" i="52"/>
  <c r="P82" i="33"/>
  <c r="X79" i="33"/>
  <c r="Z79" i="33" s="1"/>
  <c r="R79" i="33"/>
  <c r="J94" i="83"/>
  <c r="D98" i="89"/>
  <c r="L95" i="89"/>
  <c r="N95" i="89" s="1"/>
  <c r="F95" i="89"/>
  <c r="N37" i="79"/>
  <c r="V124" i="36"/>
  <c r="J86" i="51"/>
  <c r="Z82" i="91"/>
  <c r="V82" i="91"/>
  <c r="V91" i="73"/>
  <c r="D165" i="12"/>
  <c r="L162" i="12"/>
  <c r="N162" i="12" s="1"/>
  <c r="F162" i="12"/>
  <c r="Z36" i="93"/>
  <c r="X36" i="93"/>
  <c r="V82" i="48"/>
  <c r="V91" i="63"/>
  <c r="X36" i="23"/>
  <c r="N184" i="3"/>
  <c r="J184" i="3"/>
  <c r="V86" i="69"/>
  <c r="P94" i="83"/>
  <c r="X94" i="83" s="1"/>
  <c r="X91" i="83"/>
  <c r="Z91" i="83" s="1"/>
  <c r="V166" i="18"/>
  <c r="D166" i="18"/>
  <c r="L163" i="18"/>
  <c r="N163" i="18" s="1"/>
  <c r="F163" i="18"/>
  <c r="L36" i="13"/>
  <c r="V115" i="42"/>
  <c r="X36" i="11"/>
  <c r="X36" i="32"/>
  <c r="X91" i="63"/>
  <c r="Z91" i="63" s="1"/>
  <c r="R91" i="63"/>
  <c r="X36" i="70"/>
  <c r="J165" i="12"/>
  <c r="X36" i="8"/>
  <c r="L33" i="77"/>
  <c r="X99" i="82"/>
  <c r="Z99" i="82" s="1"/>
  <c r="R99" i="82"/>
  <c r="J166" i="18"/>
  <c r="J97" i="74"/>
  <c r="J99" i="82"/>
  <c r="N126" i="30"/>
  <c r="J126" i="30"/>
  <c r="L32" i="72"/>
  <c r="N32" i="72" s="1"/>
  <c r="F32" i="72"/>
  <c r="P166" i="18"/>
  <c r="X163" i="18"/>
  <c r="Z163" i="18" s="1"/>
  <c r="R163" i="18"/>
  <c r="P86" i="51"/>
  <c r="X83" i="51"/>
  <c r="Z83" i="51" s="1"/>
  <c r="R83" i="51"/>
  <c r="Z33" i="85"/>
  <c r="V99" i="82"/>
  <c r="L36" i="8"/>
  <c r="X36" i="53"/>
  <c r="N36" i="92"/>
  <c r="L36" i="92"/>
  <c r="D43" i="86"/>
  <c r="L40" i="86"/>
  <c r="N40" i="86" s="1"/>
  <c r="F40" i="86"/>
  <c r="J98" i="76"/>
  <c r="L72" i="57"/>
  <c r="N72" i="57" s="1"/>
  <c r="L91" i="63"/>
  <c r="N91" i="63" s="1"/>
  <c r="F91" i="63"/>
  <c r="N36" i="11"/>
  <c r="L36" i="11"/>
  <c r="Z79" i="71"/>
  <c r="V79" i="71"/>
  <c r="L184" i="3"/>
  <c r="F184" i="3"/>
  <c r="N67" i="59"/>
  <c r="L36" i="7"/>
  <c r="X158" i="15"/>
  <c r="R158" i="15"/>
  <c r="J114" i="67"/>
  <c r="D106" i="45"/>
  <c r="L103" i="45"/>
  <c r="N103" i="45" s="1"/>
  <c r="F103" i="45"/>
  <c r="L91" i="24"/>
  <c r="N91" i="24" s="1"/>
  <c r="F91" i="24"/>
  <c r="V96" i="65"/>
  <c r="L36" i="38"/>
  <c r="P98" i="89"/>
  <c r="X95" i="89"/>
  <c r="Z95" i="89" s="1"/>
  <c r="R95" i="89"/>
  <c r="L36" i="4"/>
  <c r="L97" i="21"/>
  <c r="F97" i="21"/>
  <c r="L99" i="90"/>
  <c r="N99" i="90" s="1"/>
  <c r="F99" i="90"/>
  <c r="D82" i="48"/>
  <c r="L79" i="48"/>
  <c r="N79" i="48" s="1"/>
  <c r="F79" i="48"/>
  <c r="X115" i="39"/>
  <c r="Z115" i="39" s="1"/>
  <c r="P118" i="39"/>
  <c r="R115" i="39"/>
  <c r="D82" i="91"/>
  <c r="L79" i="91"/>
  <c r="N79" i="91" s="1"/>
  <c r="F79" i="91"/>
  <c r="N82" i="78"/>
  <c r="X91" i="24"/>
  <c r="R91" i="24"/>
  <c r="J96" i="27"/>
  <c r="Z108" i="62"/>
  <c r="X36" i="47"/>
  <c r="P91" i="73"/>
  <c r="X88" i="73"/>
  <c r="Z88" i="73" s="1"/>
  <c r="R88" i="73"/>
  <c r="N35" i="80"/>
  <c r="L36" i="17"/>
  <c r="X103" i="45"/>
  <c r="Z103" i="45" s="1"/>
  <c r="P106" i="45"/>
  <c r="R103" i="45"/>
  <c r="Z43" i="86"/>
  <c r="V126" i="30"/>
  <c r="N79" i="71"/>
  <c r="J79" i="71"/>
  <c r="X86" i="69"/>
  <c r="Z86" i="69" s="1"/>
  <c r="R86" i="69"/>
  <c r="X36" i="49"/>
  <c r="D86" i="69"/>
  <c r="L83" i="69"/>
  <c r="N83" i="69" s="1"/>
  <c r="F83" i="69"/>
  <c r="L37" i="79"/>
  <c r="V98" i="76"/>
  <c r="V165" i="12"/>
  <c r="V118" i="39"/>
  <c r="X38" i="55"/>
  <c r="Z38" i="55" s="1"/>
  <c r="N97" i="21"/>
  <c r="J97" i="21"/>
  <c r="P115" i="42"/>
  <c r="X112" i="42"/>
  <c r="Z112" i="42" s="1"/>
  <c r="R112" i="42"/>
  <c r="X36" i="43"/>
  <c r="P165" i="12"/>
  <c r="X162" i="12"/>
  <c r="Z162" i="12" s="1"/>
  <c r="R162" i="12"/>
  <c r="N40" i="64"/>
  <c r="P114" i="67"/>
  <c r="X111" i="67"/>
  <c r="Z111" i="67" s="1"/>
  <c r="R111" i="67"/>
  <c r="V184" i="3"/>
  <c r="D114" i="67"/>
  <c r="L111" i="67"/>
  <c r="N111" i="67" s="1"/>
  <c r="F111" i="67"/>
  <c r="X36" i="10"/>
  <c r="L98" i="76"/>
  <c r="N98" i="76" s="1"/>
  <c r="F98" i="76"/>
  <c r="L94" i="83"/>
  <c r="N94" i="83" s="1"/>
  <c r="V96" i="27"/>
  <c r="X58" i="84"/>
  <c r="Z91" i="24"/>
  <c r="V91" i="24"/>
  <c r="L96" i="27"/>
  <c r="N96" i="27" s="1"/>
  <c r="F96" i="27"/>
  <c r="J96" i="88"/>
  <c r="J98" i="89"/>
  <c r="Z158" i="15"/>
  <c r="V158" i="15"/>
  <c r="J115" i="42"/>
  <c r="Z94" i="83"/>
  <c r="V94" i="83"/>
  <c r="Z64" i="61"/>
  <c r="P97" i="21"/>
  <c r="X94" i="21"/>
  <c r="Z94" i="21" s="1"/>
  <c r="R94" i="21"/>
  <c r="Z66" i="87"/>
  <c r="P126" i="30"/>
  <c r="X123" i="30"/>
  <c r="Z123" i="30" s="1"/>
  <c r="R123" i="30"/>
  <c r="L36" i="43"/>
  <c r="L66" i="87"/>
  <c r="N66" i="87" s="1"/>
  <c r="D96" i="88"/>
  <c r="L93" i="88"/>
  <c r="N93" i="88" s="1"/>
  <c r="F93" i="88"/>
  <c r="X37" i="75"/>
  <c r="Z37" i="75" s="1"/>
  <c r="R37" i="75"/>
  <c r="P96" i="88"/>
  <c r="X93" i="88"/>
  <c r="Z93" i="88" s="1"/>
  <c r="R93" i="88"/>
  <c r="D97" i="74"/>
  <c r="L94" i="74"/>
  <c r="N94" i="74" s="1"/>
  <c r="F94" i="74"/>
  <c r="Z65" i="60"/>
  <c r="X82" i="48"/>
  <c r="Z82" i="48" s="1"/>
  <c r="N38" i="55"/>
  <c r="P124" i="36"/>
  <c r="X121" i="36"/>
  <c r="Z121" i="36" s="1"/>
  <c r="R121" i="36"/>
  <c r="V114" i="67"/>
  <c r="V98" i="89"/>
  <c r="D115" i="42"/>
  <c r="L112" i="42"/>
  <c r="N112" i="42" s="1"/>
  <c r="F112" i="42"/>
  <c r="L126" i="30"/>
  <c r="F126" i="30"/>
  <c r="P97" i="74"/>
  <c r="X94" i="74"/>
  <c r="Z94" i="74" s="1"/>
  <c r="R94" i="74"/>
  <c r="J99" i="90"/>
  <c r="X72" i="57"/>
  <c r="Z72" i="57" s="1"/>
  <c r="P99" i="90"/>
  <c r="X96" i="90"/>
  <c r="Z96" i="90" s="1"/>
  <c r="R96" i="90"/>
  <c r="L86" i="51"/>
  <c r="N86" i="51" s="1"/>
  <c r="F86" i="51"/>
  <c r="L36" i="20"/>
  <c r="D82" i="33"/>
  <c r="L79" i="33"/>
  <c r="N79" i="33" s="1"/>
  <c r="F79" i="33"/>
  <c r="X126" i="30" l="1"/>
  <c r="Z126" i="30" s="1"/>
  <c r="R126" i="30"/>
  <c r="X91" i="73"/>
  <c r="Z91" i="73" s="1"/>
  <c r="R91" i="73"/>
  <c r="L82" i="48"/>
  <c r="N82" i="48" s="1"/>
  <c r="F82" i="48"/>
  <c r="X98" i="89"/>
  <c r="Z98" i="89" s="1"/>
  <c r="R98" i="89"/>
  <c r="L91" i="73"/>
  <c r="N91" i="73" s="1"/>
  <c r="F91" i="73"/>
  <c r="X99" i="90"/>
  <c r="Z99" i="90" s="1"/>
  <c r="R99" i="90"/>
  <c r="X114" i="67"/>
  <c r="Z114" i="67" s="1"/>
  <c r="R114" i="67"/>
  <c r="X115" i="42"/>
  <c r="Z115" i="42" s="1"/>
  <c r="R115" i="42"/>
  <c r="X106" i="45"/>
  <c r="Z106" i="45" s="1"/>
  <c r="R106" i="45"/>
  <c r="L106" i="45"/>
  <c r="N106" i="45" s="1"/>
  <c r="F106" i="45"/>
  <c r="X82" i="33"/>
  <c r="Z82" i="33" s="1"/>
  <c r="R82" i="33"/>
  <c r="X82" i="68"/>
  <c r="Z82" i="68" s="1"/>
  <c r="R82" i="68"/>
  <c r="L96" i="88"/>
  <c r="N96" i="88" s="1"/>
  <c r="F96" i="88"/>
  <c r="X97" i="21"/>
  <c r="Z97" i="21" s="1"/>
  <c r="R97" i="21"/>
  <c r="L98" i="89"/>
  <c r="N98" i="89" s="1"/>
  <c r="F98" i="89"/>
  <c r="X86" i="51"/>
  <c r="Z86" i="51" s="1"/>
  <c r="R86" i="51"/>
  <c r="L124" i="36"/>
  <c r="N124" i="36" s="1"/>
  <c r="F124" i="36"/>
  <c r="L97" i="74"/>
  <c r="N97" i="74" s="1"/>
  <c r="F97" i="74"/>
  <c r="L82" i="91"/>
  <c r="N82" i="91" s="1"/>
  <c r="F82" i="91"/>
  <c r="X166" i="18"/>
  <c r="Z166" i="18" s="1"/>
  <c r="R166" i="18"/>
  <c r="X96" i="65"/>
  <c r="Z96" i="65" s="1"/>
  <c r="R96" i="65"/>
  <c r="L82" i="33"/>
  <c r="N82" i="33" s="1"/>
  <c r="F82" i="33"/>
  <c r="X124" i="36"/>
  <c r="Z124" i="36" s="1"/>
  <c r="R124" i="36"/>
  <c r="L115" i="42"/>
  <c r="N115" i="42" s="1"/>
  <c r="F115" i="42"/>
  <c r="L114" i="67"/>
  <c r="N114" i="67" s="1"/>
  <c r="F114" i="67"/>
  <c r="X118" i="39"/>
  <c r="Z118" i="39" s="1"/>
  <c r="R118" i="39"/>
  <c r="L158" i="15"/>
  <c r="N158" i="15" s="1"/>
  <c r="F158" i="15"/>
  <c r="L82" i="68"/>
  <c r="N82" i="68" s="1"/>
  <c r="F82" i="68"/>
  <c r="X96" i="27"/>
  <c r="Z96" i="27" s="1"/>
  <c r="R96" i="27"/>
  <c r="X96" i="88"/>
  <c r="Z96" i="88" s="1"/>
  <c r="R96" i="88"/>
  <c r="X165" i="12"/>
  <c r="Z165" i="12" s="1"/>
  <c r="R165" i="12"/>
  <c r="L43" i="86"/>
  <c r="N43" i="86" s="1"/>
  <c r="F43" i="86"/>
  <c r="L166" i="18"/>
  <c r="N166" i="18" s="1"/>
  <c r="F166" i="18"/>
  <c r="L165" i="12"/>
  <c r="N165" i="12" s="1"/>
  <c r="F165" i="12"/>
  <c r="L118" i="39"/>
  <c r="N118" i="39" s="1"/>
  <c r="F118" i="39"/>
  <c r="L86" i="69"/>
  <c r="N86" i="69" s="1"/>
  <c r="F86" i="69"/>
  <c r="L96" i="65"/>
  <c r="N96" i="65" s="1"/>
  <c r="F96" i="65"/>
  <c r="X184" i="3"/>
  <c r="Z184" i="3" s="1"/>
  <c r="R184" i="3"/>
  <c r="X97" i="74"/>
  <c r="Z97" i="74" s="1"/>
  <c r="R97" i="74"/>
  <c r="L99" i="82"/>
  <c r="N99" i="82" s="1"/>
  <c r="F99" i="82"/>
</calcChain>
</file>

<file path=xl/sharedStrings.xml><?xml version="1.0" encoding="utf-8"?>
<sst xmlns="http://schemas.openxmlformats.org/spreadsheetml/2006/main" count="2741" uniqueCount="315">
  <si>
    <t>Grid Title</t>
  </si>
  <si>
    <t>FxCode Text</t>
  </si>
  <si>
    <t>Storage Type</t>
  </si>
  <si>
    <t>Dim3Text</t>
  </si>
  <si>
    <t>Dim4Relate to data</t>
  </si>
  <si>
    <t>Variable Dim0Relate to data</t>
  </si>
  <si>
    <t>Variable Dim5Special Rules</t>
  </si>
  <si>
    <t>Variable Dim6</t>
  </si>
  <si>
    <t>Variable Dim6Relate to data</t>
  </si>
  <si>
    <t>Variable Dim8Text</t>
  </si>
  <si>
    <t>Variable Dim Name12</t>
  </si>
  <si>
    <t>Variable Dim12Text</t>
  </si>
  <si>
    <t>Storage Field0</t>
  </si>
  <si>
    <t>Storage Field9 Name</t>
  </si>
  <si>
    <t>Storage Field14</t>
  </si>
  <si>
    <t>Storage Field18</t>
  </si>
  <si>
    <t>DimGridName</t>
  </si>
  <si>
    <t>Chart 4th Data Series</t>
  </si>
  <si>
    <t>Chart 4th Data Series Name</t>
  </si>
  <si>
    <t>IGRowLabelRange</t>
  </si>
  <si>
    <t>MinDG</t>
  </si>
  <si>
    <t>Division 308 - Combined Textbooks</t>
  </si>
  <si>
    <t>Division 331 - Combined 315 &amp; 326</t>
  </si>
  <si>
    <t xml:space="preserve">Forty Niner Shops, Inc. </t>
  </si>
  <si>
    <t>Module Name</t>
  </si>
  <si>
    <t>Time  Relate to data</t>
  </si>
  <si>
    <t>Scenario  Special Rules</t>
  </si>
  <si>
    <t>Category  Special Rules</t>
  </si>
  <si>
    <t>Dim2Text</t>
  </si>
  <si>
    <t>Variable Dim7Special Rules</t>
  </si>
  <si>
    <t>Variable Dim7Text</t>
  </si>
  <si>
    <t>Variable Dim10Relate to data</t>
  </si>
  <si>
    <t>Variable Dim10Special Rules</t>
  </si>
  <si>
    <t>Variable Dim11Text</t>
  </si>
  <si>
    <t>Variable Dim Name16</t>
  </si>
  <si>
    <t>Storage Field3 Name</t>
  </si>
  <si>
    <t>Storage Field4</t>
  </si>
  <si>
    <t>Storage Field8</t>
  </si>
  <si>
    <t>LIDColLabelRange</t>
  </si>
  <si>
    <t>YEAR TO DATE</t>
  </si>
  <si>
    <t>% of Sales</t>
  </si>
  <si>
    <t>Time Text</t>
  </si>
  <si>
    <t>Dim0Special Rules</t>
  </si>
  <si>
    <t>Dim1</t>
  </si>
  <si>
    <t>Variable Dim Name1</t>
  </si>
  <si>
    <t>Variable Dim1Relate to data</t>
  </si>
  <si>
    <t>Variable Dim Name5</t>
  </si>
  <si>
    <t>Variable Dim6Text</t>
  </si>
  <si>
    <t>Variable Dim10Text</t>
  </si>
  <si>
    <t>Variable Dim12Special Rules</t>
  </si>
  <si>
    <t>Variable Dim16Relate to data</t>
  </si>
  <si>
    <t>Storage Field13 Name</t>
  </si>
  <si>
    <t>Storage Field19 Name</t>
  </si>
  <si>
    <t>ChartType</t>
  </si>
  <si>
    <t>Chart 5th Data Series</t>
  </si>
  <si>
    <t>Division 310 &amp; 491 - C-Stores &amp; Cash Food Operations</t>
  </si>
  <si>
    <t>Tess.Monzon@csulb.edu</t>
  </si>
  <si>
    <t>Actual</t>
  </si>
  <si>
    <t>% Budget Sales</t>
  </si>
  <si>
    <t>Grid Cell Range</t>
  </si>
  <si>
    <t>Time  Special Rules</t>
  </si>
  <si>
    <t>Scenario</t>
  </si>
  <si>
    <t>Retain Zero Value</t>
  </si>
  <si>
    <t>Dim1Text</t>
  </si>
  <si>
    <t>Dim2Special Rules</t>
  </si>
  <si>
    <t>Dim Label3</t>
  </si>
  <si>
    <t>Dim5</t>
  </si>
  <si>
    <t>Dim5Relate to data</t>
  </si>
  <si>
    <t>Dim Label7</t>
  </si>
  <si>
    <t>Dim9</t>
  </si>
  <si>
    <t>Variable Dim7Relate to data</t>
  </si>
  <si>
    <t>Variable Dim Name9</t>
  </si>
  <si>
    <t>Variable Dim9Special Rules</t>
  </si>
  <si>
    <t>Variable Dim13</t>
  </si>
  <si>
    <t>Variable Dim14Special Rules</t>
  </si>
  <si>
    <t>Storage Field8 Name</t>
  </si>
  <si>
    <t>Storage Field11</t>
  </si>
  <si>
    <t>StorageGridName</t>
  </si>
  <si>
    <t>Chart 2nd Data Series</t>
  </si>
  <si>
    <t>Chart 2nd Data Series Name</t>
  </si>
  <si>
    <t>LIDRowsNumber</t>
  </si>
  <si>
    <t>Division 330 - Combined 307 &amp; 314</t>
  </si>
  <si>
    <t>Interest Income/Other</t>
  </si>
  <si>
    <t>Grid Special Rules</t>
  </si>
  <si>
    <t>Dim0Text</t>
  </si>
  <si>
    <t>Dim4Special Rules</t>
  </si>
  <si>
    <t>Variable Dim3</t>
  </si>
  <si>
    <t>Variable Dim5Text</t>
  </si>
  <si>
    <t>Variable Dim7</t>
  </si>
  <si>
    <t>Variable Dim11Relate to data</t>
  </si>
  <si>
    <t>Variable Dim Name13</t>
  </si>
  <si>
    <t>Variable Dim16Special Rules</t>
  </si>
  <si>
    <t>Variable Dim17</t>
  </si>
  <si>
    <t>Variable Dim17Relate to data</t>
  </si>
  <si>
    <t>Storage Field1</t>
  </si>
  <si>
    <t>Storage Field2 Name</t>
  </si>
  <si>
    <t>Storage Field15</t>
  </si>
  <si>
    <t>Storage Field18 Name</t>
  </si>
  <si>
    <t>Storage Field19</t>
  </si>
  <si>
    <t>Running Actual Sheet row Number</t>
  </si>
  <si>
    <t>ChartDisplayLabel</t>
  </si>
  <si>
    <t>Chart 6th Data Series Name</t>
  </si>
  <si>
    <t>DG Display Label</t>
  </si>
  <si>
    <t>IGDataRange</t>
  </si>
  <si>
    <t>IGDecimalDigits</t>
  </si>
  <si>
    <t>Division 5 - ID Card Services</t>
  </si>
  <si>
    <t>Division 491 - Cash Food Operations</t>
  </si>
  <si>
    <t>Division 3 - Bookstore &amp; C-Stores</t>
  </si>
  <si>
    <t>GROSS MARGIN</t>
  </si>
  <si>
    <t>Entity Special Rules</t>
  </si>
  <si>
    <t>Updated Date</t>
  </si>
  <si>
    <t>Dim0Relate to data</t>
  </si>
  <si>
    <t>Dim6Relate to data</t>
  </si>
  <si>
    <t>Dim6Special Rules</t>
  </si>
  <si>
    <t>Variable Dim0Special Rules</t>
  </si>
  <si>
    <t>Variable Dim2Relate to data</t>
  </si>
  <si>
    <t>Variable Dim4Text</t>
  </si>
  <si>
    <t>Variable Dim Name17</t>
  </si>
  <si>
    <t>Variable Dim18Special Rules</t>
  </si>
  <si>
    <t>Storage Field5</t>
  </si>
  <si>
    <t>Storage Field9</t>
  </si>
  <si>
    <t>Storage Field12 Name</t>
  </si>
  <si>
    <t>Enable SIMWindow</t>
  </si>
  <si>
    <t>Chart 6th Data Series</t>
  </si>
  <si>
    <t>BudgetTotal</t>
  </si>
  <si>
    <t>Division 332 - Combined 316, 320, &amp; 323</t>
  </si>
  <si>
    <t>OPERATING CONTRIBUTION</t>
  </si>
  <si>
    <t>Variance</t>
  </si>
  <si>
    <t>G &amp; A Allocation</t>
  </si>
  <si>
    <t>Entity</t>
  </si>
  <si>
    <t>Time</t>
  </si>
  <si>
    <t>Dim Label0</t>
  </si>
  <si>
    <t>Dim2</t>
  </si>
  <si>
    <t>Dim8Special Rules</t>
  </si>
  <si>
    <t>Variable Dim Name2</t>
  </si>
  <si>
    <t>Variable Dim3Text</t>
  </si>
  <si>
    <t>Variable Dim8Relate to data</t>
  </si>
  <si>
    <t>Storage Field7 Name</t>
  </si>
  <si>
    <t>Chart 1stData Series</t>
  </si>
  <si>
    <t>Division 2 - Administration</t>
  </si>
  <si>
    <t>Sales</t>
  </si>
  <si>
    <t>Dim Label4</t>
  </si>
  <si>
    <t>Dim6</t>
  </si>
  <si>
    <t>Dim Label8</t>
  </si>
  <si>
    <t>Variable Dim0</t>
  </si>
  <si>
    <t>Variable Dim2Special Rules</t>
  </si>
  <si>
    <t>Variable Dim2Text</t>
  </si>
  <si>
    <t>Variable Dim Name6</t>
  </si>
  <si>
    <t>Variable Dim10</t>
  </si>
  <si>
    <t>Variable Dim12Relate to data</t>
  </si>
  <si>
    <t>Variable Dim14</t>
  </si>
  <si>
    <t>Variable Dim18Relate to data</t>
  </si>
  <si>
    <t>Variable Dim19Text</t>
  </si>
  <si>
    <t>Storage Field1 Name</t>
  </si>
  <si>
    <t>Storage Field12</t>
  </si>
  <si>
    <t>Storage Field17 Name</t>
  </si>
  <si>
    <t>DimSheetName</t>
  </si>
  <si>
    <t>StorageSheetName</t>
  </si>
  <si>
    <t>Running Actual Grid Number</t>
  </si>
  <si>
    <t>DGHide</t>
  </si>
  <si>
    <t>IGDisplayLabel</t>
  </si>
  <si>
    <t>Entity Relate to data</t>
  </si>
  <si>
    <t>Scenario  Relate to data</t>
  </si>
  <si>
    <t>Dim1Relate to data</t>
  </si>
  <si>
    <t>Dim7Relate to data</t>
  </si>
  <si>
    <t>Dim9Text</t>
  </si>
  <si>
    <t>Variable Dim3Relate to data</t>
  </si>
  <si>
    <t>Variable Dim4</t>
  </si>
  <si>
    <t>Variable Dim4Special Rules</t>
  </si>
  <si>
    <t>Variable Dim8</t>
  </si>
  <si>
    <t>Variable Dim9Relate to data</t>
  </si>
  <si>
    <t>Variable Dim Name10</t>
  </si>
  <si>
    <t>Variable Dim Name14</t>
  </si>
  <si>
    <t>Variable Dim18</t>
  </si>
  <si>
    <t>Variable Dim18Text</t>
  </si>
  <si>
    <t>Storage Field2</t>
  </si>
  <si>
    <t>Storage Field11 Name</t>
  </si>
  <si>
    <t>Storage Field16</t>
  </si>
  <si>
    <t>Interface Setting Grid Number</t>
  </si>
  <si>
    <t>Chart Legend Location</t>
  </si>
  <si>
    <t>Chart 3rd Data Series</t>
  </si>
  <si>
    <t>DGRow Label</t>
  </si>
  <si>
    <t>ActualTotal</t>
  </si>
  <si>
    <t>Division 492 - Residential Dining</t>
  </si>
  <si>
    <t>Gain/(Loss) on FMV of Investments</t>
  </si>
  <si>
    <t>Scenario Text</t>
  </si>
  <si>
    <t>Category</t>
  </si>
  <si>
    <t>FxCode  Special Rules</t>
  </si>
  <si>
    <t>Variable Dim1Text</t>
  </si>
  <si>
    <t>Variable Dim6Special Rules</t>
  </si>
  <si>
    <t>Variable Dim11Special Rules</t>
  </si>
  <si>
    <t>Variable Dim17Text</t>
  </si>
  <si>
    <t>Variable Dim Name18</t>
  </si>
  <si>
    <t>Storage Field0 Name</t>
  </si>
  <si>
    <t>Storage Field6</t>
  </si>
  <si>
    <t>Storage Field6 Name</t>
  </si>
  <si>
    <t>Active Grid Number</t>
  </si>
  <si>
    <t>Chart 3rd Data SeriesName</t>
  </si>
  <si>
    <t>IGHide</t>
  </si>
  <si>
    <t>Division 310 - C-Stores</t>
  </si>
  <si>
    <t>Division 4 - Food Services</t>
  </si>
  <si>
    <t>Category  Relate to data</t>
  </si>
  <si>
    <t>FxCode  Relate to data</t>
  </si>
  <si>
    <t>Dim1Special Rules</t>
  </si>
  <si>
    <t>Dim2Relate to data</t>
  </si>
  <si>
    <t>Dim3</t>
  </si>
  <si>
    <t>Dim8Text</t>
  </si>
  <si>
    <t>Variable Dim0Text</t>
  </si>
  <si>
    <t>Variable Dim Name3</t>
  </si>
  <si>
    <t>Variable Dim8Special Rules</t>
  </si>
  <si>
    <t>Variable Dim13Relate to data</t>
  </si>
  <si>
    <t>Variable Dim19Relate to data</t>
  </si>
  <si>
    <t>Storage Field10 Name</t>
  </si>
  <si>
    <t>Storage Field16 Name</t>
  </si>
  <si>
    <t>ChartXAxiesLabel</t>
  </si>
  <si>
    <t>Chart 1st DataSeries Name</t>
  </si>
  <si>
    <t>Chart 5th Data Series Name</t>
  </si>
  <si>
    <t>EnableLID</t>
  </si>
  <si>
    <t>Division 1 - Corporate</t>
  </si>
  <si>
    <t>Division 6 - Computer Store</t>
  </si>
  <si>
    <t>Dim Label1</t>
  </si>
  <si>
    <t>Dim3Special Rules</t>
  </si>
  <si>
    <t>Dim Label5</t>
  </si>
  <si>
    <t>Dim7</t>
  </si>
  <si>
    <t>Dim7Text</t>
  </si>
  <si>
    <t>Dim8Relate to data</t>
  </si>
  <si>
    <t>Dim Label9</t>
  </si>
  <si>
    <t>Variable Dim1</t>
  </si>
  <si>
    <t>Variable Dim4Relate to data</t>
  </si>
  <si>
    <t>Variable Dim Name7</t>
  </si>
  <si>
    <t>Variable Dim11</t>
  </si>
  <si>
    <t>Variable Dim13Special Rules</t>
  </si>
  <si>
    <t>Variable Dim15</t>
  </si>
  <si>
    <t>Variable Dim16Text</t>
  </si>
  <si>
    <t>Storage Field5 Name</t>
  </si>
  <si>
    <t>SliderMinMovePer</t>
  </si>
  <si>
    <t>TotalHide</t>
  </si>
  <si>
    <t>Combined Operating Statement by Department</t>
  </si>
  <si>
    <t>Budget</t>
  </si>
  <si>
    <t>Sheet Name</t>
  </si>
  <si>
    <t>Entity Text</t>
  </si>
  <si>
    <t>Category Text</t>
  </si>
  <si>
    <t>Dim5Special Rules</t>
  </si>
  <si>
    <t>Dim6Text</t>
  </si>
  <si>
    <t>Variable Dim5</t>
  </si>
  <si>
    <t>Variable Dim9</t>
  </si>
  <si>
    <t>Variable Dim Name11</t>
  </si>
  <si>
    <t>Variable Dim14Relate to data</t>
  </si>
  <si>
    <t>Variable Dim15Special Rules</t>
  </si>
  <si>
    <t>Variable Dim15Text</t>
  </si>
  <si>
    <t>Variable Dim19</t>
  </si>
  <si>
    <t>Storage Field13</t>
  </si>
  <si>
    <t>Storage Field17</t>
  </si>
  <si>
    <t>DG Decimal Digits</t>
  </si>
  <si>
    <t>LIDHide</t>
  </si>
  <si>
    <t>SliderMaxpercentage</t>
  </si>
  <si>
    <t>Division 300 - Bookstore</t>
  </si>
  <si>
    <t>Cost of Goods Sold</t>
  </si>
  <si>
    <t>% Variance</t>
  </si>
  <si>
    <t xml:space="preserve">FxCode </t>
  </si>
  <si>
    <t>Dim3Relate to data</t>
  </si>
  <si>
    <t>Dim9Relate to data</t>
  </si>
  <si>
    <t>Variable Dim5Relate to data</t>
  </si>
  <si>
    <t>Variable Dim14Text</t>
  </si>
  <si>
    <t>Variable Dim Name15</t>
  </si>
  <si>
    <t>Variable Dim17Special Rules</t>
  </si>
  <si>
    <t>Variable Dim Name19</t>
  </si>
  <si>
    <t>Storage Field3</t>
  </si>
  <si>
    <t>Storage Field7</t>
  </si>
  <si>
    <t>Storage Field15 Name</t>
  </si>
  <si>
    <t>Period Type</t>
  </si>
  <si>
    <t>ChartHide</t>
  </si>
  <si>
    <t>DGData</t>
  </si>
  <si>
    <t>IGColLabelRange</t>
  </si>
  <si>
    <t>LIDActualDataRange</t>
  </si>
  <si>
    <t>LIDDisplayLabel</t>
  </si>
  <si>
    <t>TotalGridHeadings</t>
  </si>
  <si>
    <t>OPERATING INCOME</t>
  </si>
  <si>
    <t>Created Date</t>
  </si>
  <si>
    <t>Dim0</t>
  </si>
  <si>
    <t>Dim4</t>
  </si>
  <si>
    <t>Dim5Text</t>
  </si>
  <si>
    <t>Dim7Special Rules</t>
  </si>
  <si>
    <t>Variable Dim Name0</t>
  </si>
  <si>
    <t>Variable Dim1Special Rules</t>
  </si>
  <si>
    <t>Variable Dim Name4</t>
  </si>
  <si>
    <t>Variable Dim13Text</t>
  </si>
  <si>
    <t>Variable Dim19Special Rules</t>
  </si>
  <si>
    <t>Storage Field4 Name</t>
  </si>
  <si>
    <t>DGCol Label</t>
  </si>
  <si>
    <t>MinChart</t>
  </si>
  <si>
    <t>EnableCustomSpreading</t>
  </si>
  <si>
    <t>CURRENT PERIOD</t>
  </si>
  <si>
    <t>Credits &amp; Revenues</t>
  </si>
  <si>
    <t>NET CONTRIBUTION</t>
  </si>
  <si>
    <t>Operating Expenses</t>
  </si>
  <si>
    <t>InfoManager Number</t>
  </si>
  <si>
    <t>Dim Label2</t>
  </si>
  <si>
    <t>Dim4Text</t>
  </si>
  <si>
    <t>Dim Label6</t>
  </si>
  <si>
    <t>Dim8</t>
  </si>
  <si>
    <t>Dim9Special Rules</t>
  </si>
  <si>
    <t>Variable Dim2</t>
  </si>
  <si>
    <t>Variable Dim3Special Rules</t>
  </si>
  <si>
    <t>Variable Dim Name8</t>
  </si>
  <si>
    <t>Variable Dim9Text</t>
  </si>
  <si>
    <t>Variable Dim12</t>
  </si>
  <si>
    <t>Variable Dim15Relate to data</t>
  </si>
  <si>
    <t>Variable Dim16</t>
  </si>
  <si>
    <t>Storage Field10</t>
  </si>
  <si>
    <t>Storage Field14 Name</t>
  </si>
  <si>
    <t>SaveType</t>
  </si>
  <si>
    <t>FormatType</t>
  </si>
  <si>
    <t>All Departments</t>
  </si>
  <si>
    <t>Division 300 &amp; 317 - Bookstore &amp; Computer Store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</si>
</sst>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8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4" fontId="1" fillId="0" borderId="0" xfId="1" applyNumberFormat="1" applyFont="1" applyFill="1" applyBorder="1"/>
    <xf numFmtId="167" fontId="1" fillId="0" borderId="0" xfId="3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164" fontId="2" fillId="2" borderId="0" xfId="1" applyNumberFormat="1" applyFont="1" applyFill="1" applyBorder="1"/>
    <xf numFmtId="0" fontId="0" fillId="0" borderId="0" xfId="0" applyFont="1" applyFill="1" applyBorder="1"/>
    <xf numFmtId="164" fontId="2" fillId="2" borderId="0" xfId="1" applyNumberFormat="1" applyFont="1" applyFill="1"/>
    <xf numFmtId="0" fontId="2" fillId="2" borderId="1" xfId="0" applyFont="1" applyFill="1" applyBorder="1" applyAlignment="1">
      <alignment horizontal="centerContinuous"/>
    </xf>
    <xf numFmtId="164" fontId="0" fillId="0" borderId="0" xfId="1" applyNumberFormat="1" applyFont="1"/>
    <xf numFmtId="0" fontId="0" fillId="0" borderId="0" xfId="0" applyAlignment="1">
      <alignment horizontal="centerContinuous"/>
    </xf>
    <xf numFmtId="167" fontId="1" fillId="0" borderId="0" xfId="3" applyNumberFormat="1" applyFont="1" applyFill="1"/>
    <xf numFmtId="168" fontId="2" fillId="2" borderId="2" xfId="2" applyNumberFormat="1" applyFont="1" applyFill="1" applyBorder="1"/>
    <xf numFmtId="164" fontId="2" fillId="0" borderId="0" xfId="1" applyNumberFormat="1" applyFont="1" applyFill="1" applyBorder="1"/>
    <xf numFmtId="167" fontId="2" fillId="2" borderId="2" xfId="3" applyNumberFormat="1" applyFont="1" applyFill="1" applyBorder="1"/>
    <xf numFmtId="0" fontId="2" fillId="0" borderId="0" xfId="0" applyFont="1"/>
    <xf numFmtId="0" fontId="1" fillId="0" borderId="0" xfId="0" applyFont="1"/>
    <xf numFmtId="0" fontId="2" fillId="0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49" fontId="1" fillId="0" borderId="0" xfId="0" applyNumberFormat="1" applyFont="1" applyFill="1" applyAlignment="1">
      <alignment horizontal="right"/>
    </xf>
    <xf numFmtId="49" fontId="0" fillId="0" borderId="0" xfId="0" applyNumberFormat="1" applyFont="1" applyFill="1" applyBorder="1" applyAlignment="1">
      <alignment horizontal="right"/>
    </xf>
    <xf numFmtId="0" fontId="0" fillId="0" borderId="0" xfId="0" applyFont="1" applyBorder="1"/>
    <xf numFmtId="167" fontId="2" fillId="0" borderId="0" xfId="3" applyNumberFormat="1" applyFont="1" applyFill="1" applyBorder="1"/>
    <xf numFmtId="49" fontId="2" fillId="0" borderId="0" xfId="0" applyNumberFormat="1" applyFont="1" applyFill="1" applyBorder="1" applyAlignment="1">
      <alignment horizontal="center"/>
    </xf>
    <xf numFmtId="167" fontId="2" fillId="2" borderId="3" xfId="3" applyNumberFormat="1" applyFont="1" applyFill="1" applyBorder="1"/>
    <xf numFmtId="168" fontId="2" fillId="2" borderId="4" xfId="2" applyNumberFormat="1" applyFont="1" applyFill="1" applyBorder="1"/>
    <xf numFmtId="167" fontId="2" fillId="2" borderId="4" xfId="3" applyNumberFormat="1" applyFont="1" applyFill="1" applyBorder="1"/>
    <xf numFmtId="168" fontId="2" fillId="2" borderId="3" xfId="2" applyNumberFormat="1" applyFont="1" applyFill="1" applyBorder="1"/>
    <xf numFmtId="0" fontId="0" fillId="0" borderId="0" xfId="0" applyFill="1" applyBorder="1"/>
    <xf numFmtId="167" fontId="2" fillId="2" borderId="1" xfId="3" applyNumberFormat="1" applyFont="1" applyFill="1" applyBorder="1" applyAlignment="1">
      <alignment horizontal="center"/>
    </xf>
    <xf numFmtId="167" fontId="2" fillId="2" borderId="1" xfId="3" applyNumberFormat="1" applyFont="1" applyFill="1" applyBorder="1" applyAlignment="1">
      <alignment horizontal="centerContinuous"/>
    </xf>
    <xf numFmtId="167" fontId="0" fillId="0" borderId="0" xfId="0" applyNumberFormat="1"/>
    <xf numFmtId="167" fontId="0" fillId="0" borderId="0" xfId="0" applyNumberFormat="1" applyAlignment="1">
      <alignment horizontal="centerContinuous"/>
    </xf>
    <xf numFmtId="0" fontId="0" fillId="3" borderId="5" xfId="0" applyFill="1" applyBorder="1" applyAlignment="1">
      <alignment horizontal="center" vertical="center" wrapText="1"/>
    </xf>
    <xf numFmtId="167" fontId="0" fillId="0" borderId="0" xfId="1" applyNumberFormat="1" applyFont="1"/>
    <xf numFmtId="0" fontId="2" fillId="2" borderId="1" xfId="0" applyFont="1" applyFill="1" applyBorder="1" applyAlignment="1">
      <alignment horizontal="center"/>
    </xf>
    <xf numFmtId="49" fontId="1" fillId="0" borderId="0" xfId="0" applyNumberFormat="1" applyFont="1" applyFill="1"/>
    <xf numFmtId="167" fontId="0" fillId="0" borderId="0" xfId="3" applyNumberFormat="1" applyFont="1" applyAlignment="1">
      <alignment horizontal="centerContinuous"/>
    </xf>
    <xf numFmtId="167" fontId="0" fillId="0" borderId="0" xfId="3" applyNumberFormat="1" applyFont="1"/>
    <xf numFmtId="0" fontId="2" fillId="2" borderId="1" xfId="0" applyNumberFormat="1" applyFont="1" applyFill="1" applyBorder="1" applyAlignment="1">
      <alignment horizontal="center"/>
    </xf>
    <xf numFmtId="164" fontId="2" fillId="0" borderId="0" xfId="1" applyNumberFormat="1" applyFont="1" applyAlignment="1">
      <alignment horizontal="left"/>
    </xf>
    <xf numFmtId="167" fontId="0" fillId="0" borderId="0" xfId="0" applyNumberFormat="1" applyFill="1"/>
    <xf numFmtId="167" fontId="2" fillId="2" borderId="1" xfId="0" applyNumberFormat="1" applyFont="1" applyFill="1" applyBorder="1" applyAlignment="1">
      <alignment horizontal="center"/>
    </xf>
    <xf numFmtId="167" fontId="2" fillId="2" borderId="1" xfId="0" applyNumberFormat="1" applyFont="1" applyFill="1" applyBorder="1" applyAlignment="1">
      <alignment horizontal="centerContinuous"/>
    </xf>
    <xf numFmtId="49" fontId="2" fillId="0" borderId="0" xfId="0" applyNumberFormat="1" applyFont="1" applyFill="1"/>
    <xf numFmtId="0" fontId="3" fillId="0" borderId="0" xfId="0" applyFont="1" applyFill="1"/>
    <xf numFmtId="165" fontId="0" fillId="0" borderId="0" xfId="0" applyNumberFormat="1"/>
    <xf numFmtId="0" fontId="4" fillId="0" borderId="0" xfId="0" applyFont="1"/>
    <xf numFmtId="0" fontId="2" fillId="0" borderId="0" xfId="0" applyFont="1" applyAlignment="1">
      <alignment horizontal="left"/>
    </xf>
    <xf numFmtId="49" fontId="2" fillId="2" borderId="1" xfId="0" applyNumberFormat="1" applyFont="1" applyFill="1" applyBorder="1" applyAlignment="1">
      <alignment horizontal="center"/>
    </xf>
    <xf numFmtId="0" fontId="5" fillId="0" borderId="0" xfId="0" applyFont="1" applyAlignment="1">
      <alignment horizontal="left"/>
    </xf>
    <xf numFmtId="0" fontId="2" fillId="0" borderId="0" xfId="0" applyFont="1" applyFill="1" applyBorder="1"/>
    <xf numFmtId="166" fontId="5" fillId="0" borderId="0" xfId="0" applyNumberFormat="1" applyFont="1" applyAlignment="1">
      <alignment horizontal="left"/>
    </xf>
    <xf numFmtId="164" fontId="2" fillId="0" borderId="0" xfId="1" applyNumberFormat="1" applyFont="1" applyFill="1" applyAlignment="1">
      <alignment horizontal="centerContinuous"/>
    </xf>
    <xf numFmtId="0" fontId="0" fillId="0" borderId="0" xfId="0" applyFill="1" applyAlignment="1">
      <alignment horizontal="centerContinuous"/>
    </xf>
    <xf numFmtId="0" fontId="0" fillId="0" borderId="0" xfId="0" applyBorder="1"/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3" borderId="5" xfId="0" applyNumberFormat="1" applyFill="1" applyBorder="1" applyAlignment="1">
      <alignment horizontal="center" vertical="center" wrapText="1"/>
    </xf>
    <xf numFmtId="49" fontId="0" fillId="0" borderId="0" xfId="0" applyNumberForma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Z3"/>
  <sheetViews>
    <sheetView workbookViewId="0"/>
  </sheetViews>
  <sheetFormatPr defaultRowHeight="14.4" x14ac:dyDescent="0.3"/>
  <cols>
    <col min="1" max="130" width="20.6640625" customWidth="1"/>
  </cols>
  <sheetData>
    <row r="1" spans="1:130" x14ac:dyDescent="0.3">
      <c r="B1">
        <v>4</v>
      </c>
    </row>
    <row r="3" spans="1:130" ht="28.8" x14ac:dyDescent="0.3">
      <c r="A3" s="41" t="s">
        <v>178</v>
      </c>
      <c r="B3" s="41" t="s">
        <v>196</v>
      </c>
      <c r="C3" s="41" t="s">
        <v>239</v>
      </c>
      <c r="D3" s="41" t="s">
        <v>99</v>
      </c>
      <c r="E3" s="41" t="s">
        <v>158</v>
      </c>
      <c r="F3" s="41" t="s">
        <v>0</v>
      </c>
      <c r="G3" s="41" t="s">
        <v>179</v>
      </c>
      <c r="H3" s="41" t="s">
        <v>53</v>
      </c>
      <c r="I3" s="41" t="s">
        <v>100</v>
      </c>
      <c r="J3" s="41" t="s">
        <v>214</v>
      </c>
      <c r="K3" s="41" t="s">
        <v>138</v>
      </c>
      <c r="L3" s="41" t="s">
        <v>215</v>
      </c>
      <c r="M3" s="41" t="s">
        <v>78</v>
      </c>
      <c r="N3" s="41" t="s">
        <v>79</v>
      </c>
      <c r="O3" s="41" t="s">
        <v>180</v>
      </c>
      <c r="P3" s="41" t="s">
        <v>197</v>
      </c>
      <c r="Q3" s="41" t="s">
        <v>17</v>
      </c>
      <c r="R3" s="41" t="s">
        <v>18</v>
      </c>
      <c r="S3" s="41" t="s">
        <v>54</v>
      </c>
      <c r="T3" s="41" t="s">
        <v>216</v>
      </c>
      <c r="U3" s="41" t="s">
        <v>271</v>
      </c>
      <c r="V3" s="41" t="s">
        <v>289</v>
      </c>
      <c r="W3" s="41" t="s">
        <v>181</v>
      </c>
      <c r="X3" s="41" t="s">
        <v>272</v>
      </c>
      <c r="Y3" s="41" t="s">
        <v>102</v>
      </c>
      <c r="Z3" s="41" t="s">
        <v>253</v>
      </c>
      <c r="AA3" s="41" t="s">
        <v>159</v>
      </c>
      <c r="AB3" s="41" t="s">
        <v>273</v>
      </c>
      <c r="AC3" s="41" t="s">
        <v>19</v>
      </c>
      <c r="AD3" s="41" t="s">
        <v>103</v>
      </c>
      <c r="AE3" s="41" t="s">
        <v>160</v>
      </c>
      <c r="AF3" s="41" t="s">
        <v>104</v>
      </c>
      <c r="AG3" s="41" t="s">
        <v>198</v>
      </c>
      <c r="AH3" s="41" t="s">
        <v>38</v>
      </c>
      <c r="AI3" s="41" t="s">
        <v>274</v>
      </c>
      <c r="AJ3" s="41" t="s">
        <v>275</v>
      </c>
      <c r="AK3" s="41" t="s">
        <v>80</v>
      </c>
      <c r="AL3" s="41" t="s">
        <v>254</v>
      </c>
      <c r="AM3" s="41" t="s">
        <v>255</v>
      </c>
      <c r="AN3" s="41" t="s">
        <v>235</v>
      </c>
      <c r="AO3" s="41" t="s">
        <v>311</v>
      </c>
      <c r="AP3" s="41" t="s">
        <v>312</v>
      </c>
      <c r="AQ3" s="41" t="s">
        <v>124</v>
      </c>
      <c r="AR3" s="41" t="s">
        <v>182</v>
      </c>
      <c r="AS3" s="41" t="s">
        <v>236</v>
      </c>
      <c r="AT3" s="41" t="s">
        <v>276</v>
      </c>
      <c r="AU3" s="41" t="s">
        <v>217</v>
      </c>
      <c r="AV3" s="41" t="s">
        <v>123</v>
      </c>
      <c r="AW3" s="41" t="s">
        <v>101</v>
      </c>
      <c r="AX3" s="41" t="s">
        <v>290</v>
      </c>
      <c r="AY3" s="41" t="s">
        <v>20</v>
      </c>
      <c r="AZ3" s="41" t="s">
        <v>291</v>
      </c>
      <c r="BA3" s="41" t="s">
        <v>278</v>
      </c>
      <c r="BB3" s="41" t="s">
        <v>110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139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107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107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256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256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314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314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199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199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81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L10002"/>
  <sheetViews>
    <sheetView workbookViewId="0"/>
  </sheetViews>
  <sheetFormatPr defaultRowHeight="14.4" x14ac:dyDescent="0.3"/>
  <cols>
    <col min="1" max="220" width="20.6640625" customWidth="1"/>
    <col min="221" max="221" width="20.6640625" style="67" customWidth="1"/>
    <col min="222" max="223" width="20.6640625" customWidth="1"/>
  </cols>
  <sheetData>
    <row r="1" spans="1:272" x14ac:dyDescent="0.3">
      <c r="D1">
        <v>4</v>
      </c>
    </row>
    <row r="2" spans="1:272" x14ac:dyDescent="0.3">
      <c r="JK2">
        <v>271</v>
      </c>
      <c r="JL2">
        <v>4</v>
      </c>
    </row>
    <row r="3" spans="1:272" ht="28.8" x14ac:dyDescent="0.3">
      <c r="A3" s="41" t="s">
        <v>239</v>
      </c>
      <c r="B3" s="41" t="s">
        <v>296</v>
      </c>
      <c r="C3" s="41" t="s">
        <v>0</v>
      </c>
      <c r="D3" s="41" t="s">
        <v>59</v>
      </c>
      <c r="E3" s="41" t="s">
        <v>83</v>
      </c>
      <c r="F3" s="41" t="s">
        <v>24</v>
      </c>
      <c r="G3" s="41" t="s">
        <v>129</v>
      </c>
      <c r="H3" s="41" t="s">
        <v>161</v>
      </c>
      <c r="I3" s="41" t="s">
        <v>109</v>
      </c>
      <c r="J3" s="41" t="s">
        <v>240</v>
      </c>
      <c r="K3" s="41" t="s">
        <v>130</v>
      </c>
      <c r="L3" s="41" t="s">
        <v>25</v>
      </c>
      <c r="M3" s="41" t="s">
        <v>60</v>
      </c>
      <c r="N3" s="41" t="s">
        <v>41</v>
      </c>
      <c r="O3" s="41" t="s">
        <v>61</v>
      </c>
      <c r="P3" s="41" t="s">
        <v>162</v>
      </c>
      <c r="Q3" s="41" t="s">
        <v>26</v>
      </c>
      <c r="R3" s="41" t="s">
        <v>185</v>
      </c>
      <c r="S3" s="41" t="s">
        <v>186</v>
      </c>
      <c r="T3" s="41" t="s">
        <v>201</v>
      </c>
      <c r="U3" s="41" t="s">
        <v>27</v>
      </c>
      <c r="V3" s="41" t="s">
        <v>241</v>
      </c>
      <c r="W3" s="41" t="s">
        <v>259</v>
      </c>
      <c r="X3" s="41" t="s">
        <v>202</v>
      </c>
      <c r="Y3" s="41" t="s">
        <v>187</v>
      </c>
      <c r="Z3" s="41" t="s">
        <v>1</v>
      </c>
      <c r="AA3" s="41" t="s">
        <v>279</v>
      </c>
      <c r="AB3" s="41" t="s">
        <v>131</v>
      </c>
      <c r="AC3" s="41" t="s">
        <v>111</v>
      </c>
      <c r="AD3" s="41" t="s">
        <v>42</v>
      </c>
      <c r="AE3" s="41" t="s">
        <v>84</v>
      </c>
      <c r="AF3" s="41" t="s">
        <v>43</v>
      </c>
      <c r="AG3" s="41" t="s">
        <v>220</v>
      </c>
      <c r="AH3" s="41" t="s">
        <v>163</v>
      </c>
      <c r="AI3" s="41" t="s">
        <v>203</v>
      </c>
      <c r="AJ3" s="41" t="s">
        <v>63</v>
      </c>
      <c r="AK3" s="41" t="s">
        <v>132</v>
      </c>
      <c r="AL3" s="41" t="s">
        <v>297</v>
      </c>
      <c r="AM3" s="41" t="s">
        <v>204</v>
      </c>
      <c r="AN3" s="41" t="s">
        <v>64</v>
      </c>
      <c r="AO3" s="41" t="s">
        <v>28</v>
      </c>
      <c r="AP3" s="41" t="s">
        <v>205</v>
      </c>
      <c r="AQ3" s="41" t="s">
        <v>65</v>
      </c>
      <c r="AR3" s="41" t="s">
        <v>260</v>
      </c>
      <c r="AS3" s="41" t="s">
        <v>221</v>
      </c>
      <c r="AT3" s="41" t="s">
        <v>3</v>
      </c>
      <c r="AU3" s="41" t="s">
        <v>280</v>
      </c>
      <c r="AV3" s="41" t="s">
        <v>141</v>
      </c>
      <c r="AW3" s="41" t="s">
        <v>4</v>
      </c>
      <c r="AX3" s="41" t="s">
        <v>85</v>
      </c>
      <c r="AY3" s="41" t="s">
        <v>298</v>
      </c>
      <c r="AZ3" s="41" t="s">
        <v>66</v>
      </c>
      <c r="BA3" s="41" t="s">
        <v>222</v>
      </c>
      <c r="BB3" s="41" t="s">
        <v>67</v>
      </c>
      <c r="BC3" s="41" t="s">
        <v>242</v>
      </c>
      <c r="BD3" s="41" t="s">
        <v>281</v>
      </c>
      <c r="BE3" s="41" t="s">
        <v>142</v>
      </c>
      <c r="BF3" s="41" t="s">
        <v>299</v>
      </c>
      <c r="BG3" s="41" t="s">
        <v>112</v>
      </c>
      <c r="BH3" s="41" t="s">
        <v>113</v>
      </c>
      <c r="BI3" s="41" t="s">
        <v>243</v>
      </c>
      <c r="BJ3" s="41" t="s">
        <v>223</v>
      </c>
      <c r="BK3" s="41" t="s">
        <v>68</v>
      </c>
      <c r="BL3" s="41" t="s">
        <v>164</v>
      </c>
      <c r="BM3" s="41" t="s">
        <v>282</v>
      </c>
      <c r="BN3" s="41" t="s">
        <v>224</v>
      </c>
      <c r="BO3" s="41" t="s">
        <v>300</v>
      </c>
      <c r="BP3" s="41" t="s">
        <v>143</v>
      </c>
      <c r="BQ3" s="41" t="s">
        <v>225</v>
      </c>
      <c r="BR3" s="41" t="s">
        <v>133</v>
      </c>
      <c r="BS3" s="41" t="s">
        <v>206</v>
      </c>
      <c r="BT3" s="41" t="s">
        <v>69</v>
      </c>
      <c r="BU3" s="41" t="s">
        <v>226</v>
      </c>
      <c r="BV3" s="41" t="s">
        <v>261</v>
      </c>
      <c r="BW3" s="41" t="s">
        <v>301</v>
      </c>
      <c r="BX3" s="41" t="s">
        <v>165</v>
      </c>
      <c r="BY3" s="41" t="s">
        <v>283</v>
      </c>
      <c r="BZ3" s="41" t="s">
        <v>144</v>
      </c>
      <c r="CA3" s="41" t="s">
        <v>5</v>
      </c>
      <c r="CB3" s="41" t="s">
        <v>114</v>
      </c>
      <c r="CC3" s="41" t="s">
        <v>207</v>
      </c>
      <c r="CD3" s="41" t="s">
        <v>44</v>
      </c>
      <c r="CE3" s="41" t="s">
        <v>227</v>
      </c>
      <c r="CF3" s="41" t="s">
        <v>45</v>
      </c>
      <c r="CG3" s="41" t="s">
        <v>284</v>
      </c>
      <c r="CH3" s="41" t="s">
        <v>188</v>
      </c>
      <c r="CI3" s="41" t="s">
        <v>134</v>
      </c>
      <c r="CJ3" s="41" t="s">
        <v>302</v>
      </c>
      <c r="CK3" s="41" t="s">
        <v>115</v>
      </c>
      <c r="CL3" s="41" t="s">
        <v>145</v>
      </c>
      <c r="CM3" s="41" t="s">
        <v>146</v>
      </c>
      <c r="CN3" s="41" t="s">
        <v>208</v>
      </c>
      <c r="CO3" s="41" t="s">
        <v>86</v>
      </c>
      <c r="CP3" s="41" t="s">
        <v>166</v>
      </c>
      <c r="CQ3" s="41" t="s">
        <v>303</v>
      </c>
      <c r="CR3" s="41" t="s">
        <v>135</v>
      </c>
      <c r="CS3" s="41" t="s">
        <v>285</v>
      </c>
      <c r="CT3" s="41" t="s">
        <v>167</v>
      </c>
      <c r="CU3" s="41" t="s">
        <v>228</v>
      </c>
      <c r="CV3" s="41" t="s">
        <v>168</v>
      </c>
      <c r="CW3" s="41" t="s">
        <v>116</v>
      </c>
      <c r="CX3" s="41" t="s">
        <v>46</v>
      </c>
      <c r="CY3" s="41" t="s">
        <v>244</v>
      </c>
      <c r="CZ3" s="41" t="s">
        <v>262</v>
      </c>
      <c r="DA3" s="41" t="s">
        <v>6</v>
      </c>
      <c r="DB3" s="41" t="s">
        <v>87</v>
      </c>
      <c r="DC3" s="41" t="s">
        <v>147</v>
      </c>
      <c r="DD3" s="41" t="s">
        <v>7</v>
      </c>
      <c r="DE3" s="41" t="s">
        <v>8</v>
      </c>
      <c r="DF3" s="41" t="s">
        <v>189</v>
      </c>
      <c r="DG3" s="41" t="s">
        <v>47</v>
      </c>
      <c r="DH3" s="41" t="s">
        <v>229</v>
      </c>
      <c r="DI3" s="41" t="s">
        <v>88</v>
      </c>
      <c r="DJ3" s="41" t="s">
        <v>70</v>
      </c>
      <c r="DK3" s="41" t="s">
        <v>29</v>
      </c>
      <c r="DL3" s="41" t="s">
        <v>30</v>
      </c>
      <c r="DM3" s="41" t="s">
        <v>304</v>
      </c>
      <c r="DN3" s="41" t="s">
        <v>169</v>
      </c>
      <c r="DO3" s="41" t="s">
        <v>136</v>
      </c>
      <c r="DP3" s="41" t="s">
        <v>209</v>
      </c>
      <c r="DQ3" s="41" t="s">
        <v>9</v>
      </c>
      <c r="DR3" s="41" t="s">
        <v>71</v>
      </c>
      <c r="DS3" s="41" t="s">
        <v>245</v>
      </c>
      <c r="DT3" s="41" t="s">
        <v>170</v>
      </c>
      <c r="DU3" s="41" t="s">
        <v>72</v>
      </c>
      <c r="DV3" s="41" t="s">
        <v>305</v>
      </c>
      <c r="DW3" s="41" t="s">
        <v>171</v>
      </c>
      <c r="DX3" s="41" t="s">
        <v>148</v>
      </c>
      <c r="DY3" s="41" t="s">
        <v>31</v>
      </c>
      <c r="DZ3" s="41" t="s">
        <v>32</v>
      </c>
      <c r="EA3" s="41" t="s">
        <v>48</v>
      </c>
      <c r="EB3" s="41" t="s">
        <v>246</v>
      </c>
      <c r="EC3" s="41" t="s">
        <v>230</v>
      </c>
      <c r="ED3" s="41" t="s">
        <v>89</v>
      </c>
      <c r="EE3" s="41" t="s">
        <v>190</v>
      </c>
      <c r="EF3" s="41" t="s">
        <v>33</v>
      </c>
      <c r="EG3" s="41" t="s">
        <v>10</v>
      </c>
      <c r="EH3" s="41" t="s">
        <v>306</v>
      </c>
      <c r="EI3" s="41" t="s">
        <v>149</v>
      </c>
      <c r="EJ3" s="41" t="s">
        <v>49</v>
      </c>
      <c r="EK3" s="41" t="s">
        <v>11</v>
      </c>
      <c r="EL3" s="41" t="s">
        <v>90</v>
      </c>
      <c r="EM3" s="41" t="s">
        <v>73</v>
      </c>
      <c r="EN3" s="41" t="s">
        <v>210</v>
      </c>
      <c r="EO3" s="41" t="s">
        <v>231</v>
      </c>
      <c r="EP3" s="41" t="s">
        <v>286</v>
      </c>
      <c r="EQ3" s="41" t="s">
        <v>172</v>
      </c>
      <c r="ER3" s="41" t="s">
        <v>150</v>
      </c>
      <c r="ES3" s="41" t="s">
        <v>247</v>
      </c>
      <c r="ET3" s="41" t="s">
        <v>74</v>
      </c>
      <c r="EU3" s="41" t="s">
        <v>263</v>
      </c>
      <c r="EV3" s="41" t="s">
        <v>264</v>
      </c>
      <c r="EW3" s="41" t="s">
        <v>232</v>
      </c>
      <c r="EX3" s="41" t="s">
        <v>307</v>
      </c>
      <c r="EY3" s="41" t="s">
        <v>248</v>
      </c>
      <c r="EZ3" s="41" t="s">
        <v>249</v>
      </c>
      <c r="FA3" s="41" t="s">
        <v>34</v>
      </c>
      <c r="FB3" s="41" t="s">
        <v>308</v>
      </c>
      <c r="FC3" s="41" t="s">
        <v>50</v>
      </c>
      <c r="FD3" s="41" t="s">
        <v>91</v>
      </c>
      <c r="FE3" s="41" t="s">
        <v>233</v>
      </c>
      <c r="FF3" s="41" t="s">
        <v>117</v>
      </c>
      <c r="FG3" s="41" t="s">
        <v>92</v>
      </c>
      <c r="FH3" s="41" t="s">
        <v>93</v>
      </c>
      <c r="FI3" s="41" t="s">
        <v>265</v>
      </c>
      <c r="FJ3" s="41" t="s">
        <v>191</v>
      </c>
      <c r="FK3" s="41" t="s">
        <v>192</v>
      </c>
      <c r="FL3" s="41" t="s">
        <v>173</v>
      </c>
      <c r="FM3" s="41" t="s">
        <v>151</v>
      </c>
      <c r="FN3" s="41" t="s">
        <v>118</v>
      </c>
      <c r="FO3" s="41" t="s">
        <v>174</v>
      </c>
      <c r="FP3" s="41" t="s">
        <v>266</v>
      </c>
      <c r="FQ3" s="41" t="s">
        <v>250</v>
      </c>
      <c r="FR3" s="41" t="s">
        <v>211</v>
      </c>
      <c r="FS3" s="41" t="s">
        <v>287</v>
      </c>
      <c r="FT3" s="41" t="s">
        <v>152</v>
      </c>
      <c r="FU3" s="41" t="s">
        <v>12</v>
      </c>
      <c r="FV3" s="41" t="s">
        <v>193</v>
      </c>
      <c r="FW3" s="41" t="s">
        <v>94</v>
      </c>
      <c r="FX3" s="41" t="s">
        <v>153</v>
      </c>
      <c r="FY3" s="41" t="s">
        <v>175</v>
      </c>
      <c r="FZ3" s="41" t="s">
        <v>95</v>
      </c>
      <c r="GA3" s="41" t="s">
        <v>267</v>
      </c>
      <c r="GB3" s="41" t="s">
        <v>35</v>
      </c>
      <c r="GC3" s="41" t="s">
        <v>36</v>
      </c>
      <c r="GD3" s="41" t="s">
        <v>288</v>
      </c>
      <c r="GE3" s="41" t="s">
        <v>119</v>
      </c>
      <c r="GF3" s="41" t="s">
        <v>234</v>
      </c>
      <c r="GG3" s="41" t="s">
        <v>194</v>
      </c>
      <c r="GH3" s="41" t="s">
        <v>195</v>
      </c>
      <c r="GI3" s="41" t="s">
        <v>268</v>
      </c>
      <c r="GJ3" s="41" t="s">
        <v>137</v>
      </c>
      <c r="GK3" s="41" t="s">
        <v>37</v>
      </c>
      <c r="GL3" s="41" t="s">
        <v>75</v>
      </c>
      <c r="GM3" s="41" t="s">
        <v>120</v>
      </c>
      <c r="GN3" s="41" t="s">
        <v>13</v>
      </c>
      <c r="GO3" s="41" t="s">
        <v>309</v>
      </c>
      <c r="GP3" s="41" t="s">
        <v>212</v>
      </c>
      <c r="GQ3" s="41" t="s">
        <v>76</v>
      </c>
      <c r="GR3" s="41" t="s">
        <v>176</v>
      </c>
      <c r="GS3" s="41" t="s">
        <v>154</v>
      </c>
      <c r="GT3" s="41" t="s">
        <v>121</v>
      </c>
      <c r="GU3" s="41" t="s">
        <v>251</v>
      </c>
      <c r="GV3" s="41" t="s">
        <v>51</v>
      </c>
      <c r="GW3" s="41" t="s">
        <v>14</v>
      </c>
      <c r="GX3" s="41" t="s">
        <v>310</v>
      </c>
      <c r="GY3" s="41" t="s">
        <v>96</v>
      </c>
      <c r="GZ3" s="41" t="s">
        <v>269</v>
      </c>
      <c r="HA3" s="41" t="s">
        <v>177</v>
      </c>
      <c r="HB3" s="41" t="s">
        <v>213</v>
      </c>
      <c r="HC3" s="41" t="s">
        <v>252</v>
      </c>
      <c r="HD3" s="41" t="s">
        <v>155</v>
      </c>
      <c r="HE3" s="41" t="s">
        <v>15</v>
      </c>
      <c r="HF3" s="41" t="s">
        <v>97</v>
      </c>
      <c r="HG3" s="41" t="s">
        <v>98</v>
      </c>
      <c r="HH3" s="41" t="s">
        <v>52</v>
      </c>
      <c r="HI3" s="41" t="s">
        <v>122</v>
      </c>
      <c r="HJ3" s="41" t="s">
        <v>270</v>
      </c>
      <c r="HK3" s="41"/>
      <c r="HL3" s="41" t="s">
        <v>2</v>
      </c>
      <c r="HM3" s="66"/>
      <c r="HN3" s="41" t="s">
        <v>278</v>
      </c>
      <c r="HO3" s="41" t="s">
        <v>110</v>
      </c>
      <c r="HP3" t="s">
        <v>62</v>
      </c>
      <c r="JK3" s="41" t="s">
        <v>16</v>
      </c>
      <c r="JL3" s="41" t="s">
        <v>156</v>
      </c>
    </row>
    <row r="10001" spans="271:272" x14ac:dyDescent="0.3">
      <c r="JK10001">
        <v>271</v>
      </c>
      <c r="JL10001">
        <v>10003</v>
      </c>
    </row>
    <row r="10002" spans="271:272" ht="43.2" x14ac:dyDescent="0.3">
      <c r="JK10002" s="41" t="s">
        <v>77</v>
      </c>
      <c r="JL10002" s="41" t="s">
        <v>157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81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21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21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22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22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125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125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200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200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55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  <outlinePr summaryBelow="0" summaryRight="0"/>
  </sheetPr>
  <dimension ref="A2:Z189"/>
  <sheetViews>
    <sheetView tabSelected="1" zoomScale="80" workbookViewId="0">
      <pane xSplit="3" ySplit="10" topLeftCell="D162" activePane="bottomRight" state="frozen"/>
      <selection pane="topRight" activeCell="D1" sqref="D1"/>
      <selection pane="bottomLeft" activeCell="A11" sqref="A11"/>
      <selection pane="bottomRight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313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1806314.45</v>
      </c>
      <c r="E12" s="4"/>
      <c r="F12" s="12"/>
      <c r="G12" s="4"/>
      <c r="H12" s="4">
        <f>SUM(OSRRefH13x_0)</f>
        <v>1334132</v>
      </c>
      <c r="I12" s="4"/>
      <c r="J12" s="12"/>
      <c r="K12" s="4"/>
      <c r="L12" s="4">
        <f t="shared" ref="L12:L23" si="0">+D12-H12</f>
        <v>472182.44999999995</v>
      </c>
      <c r="M12" s="4"/>
      <c r="N12" s="12">
        <f t="shared" ref="N12:N23" si="1">IF(H12=0,0,L12/H12)</f>
        <v>0.35392483652292273</v>
      </c>
      <c r="O12" s="10"/>
      <c r="P12" s="4">
        <f>SUM(OSRRefP13x_0)</f>
        <v>9677608.9700000007</v>
      </c>
      <c r="Q12" s="4"/>
      <c r="R12" s="12"/>
      <c r="S12" s="4"/>
      <c r="T12" s="4">
        <f>SUM(OSRRefT13x_0)</f>
        <v>10168393</v>
      </c>
      <c r="U12" s="4"/>
      <c r="V12" s="12"/>
      <c r="W12" s="4"/>
      <c r="X12" s="4">
        <f t="shared" ref="X12:X23" si="2">+P12-T12</f>
        <v>-490784.02999999933</v>
      </c>
      <c r="Y12" s="4"/>
      <c r="Z12" s="12">
        <f t="shared" ref="Z12:Z23" si="3">IF(T12=0,0,X12/T12)</f>
        <v>-4.8265643351904211E-2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--366495.88</f>
        <v>366495.88</v>
      </c>
      <c r="E13" s="2"/>
      <c r="F13" s="19"/>
      <c r="G13" s="2"/>
      <c r="H13" s="2">
        <v>379655</v>
      </c>
      <c r="I13" s="2"/>
      <c r="J13" s="19"/>
      <c r="K13" s="2"/>
      <c r="L13" s="2">
        <f t="shared" si="0"/>
        <v>-13159.119999999995</v>
      </c>
      <c r="M13" s="2"/>
      <c r="N13" s="19">
        <f t="shared" si="1"/>
        <v>-3.4660731453556505E-2</v>
      </c>
      <c r="O13" s="11"/>
      <c r="P13" s="2">
        <f>--3326837.09</f>
        <v>3326837.09</v>
      </c>
      <c r="Q13" s="2"/>
      <c r="R13" s="19"/>
      <c r="S13" s="2"/>
      <c r="T13" s="2">
        <v>5622188</v>
      </c>
      <c r="U13" s="2"/>
      <c r="V13" s="19"/>
      <c r="W13" s="2"/>
      <c r="X13" s="2">
        <f t="shared" si="2"/>
        <v>-2295350.91</v>
      </c>
      <c r="Y13" s="2"/>
      <c r="Z13" s="19">
        <f t="shared" si="3"/>
        <v>-0.40826648095012125</v>
      </c>
    </row>
    <row r="14" spans="1:26" s="24" customFormat="1" hidden="1" outlineLevel="1" x14ac:dyDescent="0.3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--23100.6</f>
        <v>23100.6</v>
      </c>
      <c r="E14" s="2"/>
      <c r="F14" s="19"/>
      <c r="G14" s="2"/>
      <c r="H14" s="2"/>
      <c r="I14" s="2"/>
      <c r="J14" s="19"/>
      <c r="K14" s="2"/>
      <c r="L14" s="2">
        <f t="shared" si="0"/>
        <v>23100.6</v>
      </c>
      <c r="M14" s="2"/>
      <c r="N14" s="19">
        <f t="shared" si="1"/>
        <v>0</v>
      </c>
      <c r="O14" s="11"/>
      <c r="P14" s="2">
        <f>--127351.17</f>
        <v>127351.17</v>
      </c>
      <c r="Q14" s="2"/>
      <c r="R14" s="19"/>
      <c r="S14" s="2"/>
      <c r="T14" s="2"/>
      <c r="U14" s="2"/>
      <c r="V14" s="19"/>
      <c r="W14" s="2"/>
      <c r="X14" s="2">
        <f t="shared" si="2"/>
        <v>127351.17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--2037.86</f>
        <v>2037.86</v>
      </c>
      <c r="E15" s="2"/>
      <c r="F15" s="19"/>
      <c r="G15" s="2"/>
      <c r="H15" s="2"/>
      <c r="I15" s="2"/>
      <c r="J15" s="19"/>
      <c r="K15" s="2"/>
      <c r="L15" s="2">
        <f t="shared" si="0"/>
        <v>2037.86</v>
      </c>
      <c r="M15" s="2"/>
      <c r="N15" s="19">
        <f t="shared" si="1"/>
        <v>0</v>
      </c>
      <c r="O15" s="11"/>
      <c r="P15" s="2">
        <f>--8626.98</f>
        <v>8626.98</v>
      </c>
      <c r="Q15" s="2"/>
      <c r="R15" s="19"/>
      <c r="S15" s="2"/>
      <c r="T15" s="2"/>
      <c r="U15" s="2"/>
      <c r="V15" s="19"/>
      <c r="W15" s="2"/>
      <c r="X15" s="2">
        <f t="shared" si="2"/>
        <v>8626.98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>--113185.96</f>
        <v>113185.96</v>
      </c>
      <c r="E16" s="2"/>
      <c r="F16" s="19"/>
      <c r="G16" s="2"/>
      <c r="H16" s="2">
        <v>954477</v>
      </c>
      <c r="I16" s="2"/>
      <c r="J16" s="19"/>
      <c r="K16" s="2"/>
      <c r="L16" s="2">
        <f t="shared" si="0"/>
        <v>-841291.04</v>
      </c>
      <c r="M16" s="2"/>
      <c r="N16" s="19">
        <f t="shared" si="1"/>
        <v>-0.8814157281946029</v>
      </c>
      <c r="O16" s="11"/>
      <c r="P16" s="2">
        <f>--1302917.68</f>
        <v>1302917.68</v>
      </c>
      <c r="Q16" s="2"/>
      <c r="R16" s="19"/>
      <c r="S16" s="2"/>
      <c r="T16" s="2">
        <v>4546205</v>
      </c>
      <c r="U16" s="2"/>
      <c r="V16" s="19"/>
      <c r="W16" s="2"/>
      <c r="X16" s="2">
        <f t="shared" si="2"/>
        <v>-3243287.3200000003</v>
      </c>
      <c r="Y16" s="2"/>
      <c r="Z16" s="19">
        <f t="shared" si="3"/>
        <v>-0.71340542716397526</v>
      </c>
    </row>
    <row r="17" spans="1:26" s="24" customFormat="1" hidden="1" outlineLevel="1" x14ac:dyDescent="0.3">
      <c r="A17" s="44"/>
      <c r="B17" s="11" t="str">
        <f>CONCATENATE("          ", "4141", " - ", "NON-TAXABLE SALES-LOGO GIFTS")</f>
        <v xml:space="preserve">          4141 - NON-TAXABLE SALES-LOGO GIFTS</v>
      </c>
      <c r="C17" s="11"/>
      <c r="D17" s="2">
        <f t="shared" ref="D17:D18" si="4"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 t="shared" ref="P17:P18" si="5">0</f>
        <v>0</v>
      </c>
      <c r="Q17" s="2"/>
      <c r="R17" s="19"/>
      <c r="S17" s="2"/>
      <c r="T17" s="2"/>
      <c r="U17" s="2"/>
      <c r="V17" s="19"/>
      <c r="W17" s="2"/>
      <c r="X17" s="2">
        <f t="shared" si="2"/>
        <v>0</v>
      </c>
      <c r="Y17" s="2"/>
      <c r="Z17" s="19">
        <f t="shared" si="3"/>
        <v>0</v>
      </c>
    </row>
    <row r="18" spans="1:26" s="24" customFormat="1" hidden="1" outlineLevel="1" x14ac:dyDescent="0.3">
      <c r="A18" s="44"/>
      <c r="B18" s="11" t="str">
        <f>CONCATENATE("          ", "4146", " - ", "NON-TAXABLE SALES-COIN OP MACH")</f>
        <v xml:space="preserve">          4146 - NON-TAXABLE SALES-COIN OP MACH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 t="shared" si="5"/>
        <v>0</v>
      </c>
      <c r="Q18" s="2"/>
      <c r="R18" s="19"/>
      <c r="S18" s="2"/>
      <c r="T18" s="2"/>
      <c r="U18" s="2"/>
      <c r="V18" s="19"/>
      <c r="W18" s="2"/>
      <c r="X18" s="2">
        <f t="shared" si="2"/>
        <v>0</v>
      </c>
      <c r="Y18" s="2"/>
      <c r="Z18" s="19">
        <f t="shared" si="3"/>
        <v>0</v>
      </c>
    </row>
    <row r="19" spans="1:26" s="24" customFormat="1" hidden="1" outlineLevel="1" x14ac:dyDescent="0.3">
      <c r="A19" s="44"/>
      <c r="B19" s="11" t="str">
        <f>CONCATENATE("          ", "4151", " - ", "NON-TAXABLE SALES-FOOD")</f>
        <v xml:space="preserve">          4151 - NON-TAXABLE SALES-FOOD</v>
      </c>
      <c r="C19" s="11"/>
      <c r="D19" s="2">
        <f>--1356110.78</f>
        <v>1356110.78</v>
      </c>
      <c r="E19" s="2"/>
      <c r="F19" s="19"/>
      <c r="G19" s="2"/>
      <c r="H19" s="2"/>
      <c r="I19" s="2"/>
      <c r="J19" s="19"/>
      <c r="K19" s="2"/>
      <c r="L19" s="2">
        <f t="shared" si="0"/>
        <v>1356110.78</v>
      </c>
      <c r="M19" s="2"/>
      <c r="N19" s="19">
        <f t="shared" si="1"/>
        <v>0</v>
      </c>
      <c r="O19" s="11"/>
      <c r="P19" s="2">
        <f>--5127000.66</f>
        <v>5127000.66</v>
      </c>
      <c r="Q19" s="2"/>
      <c r="R19" s="19"/>
      <c r="S19" s="2"/>
      <c r="T19" s="2"/>
      <c r="U19" s="2"/>
      <c r="V19" s="19"/>
      <c r="W19" s="2"/>
      <c r="X19" s="2">
        <f t="shared" si="2"/>
        <v>5127000.66</v>
      </c>
      <c r="Y19" s="2"/>
      <c r="Z19" s="19">
        <f t="shared" si="3"/>
        <v>0</v>
      </c>
    </row>
    <row r="20" spans="1:26" s="24" customFormat="1" hidden="1" outlineLevel="1" x14ac:dyDescent="0.3">
      <c r="A20" s="44"/>
      <c r="B20" s="11" t="str">
        <f>CONCATENATE("          ", "4153", " - ", "NON-TAXABLE SALES-FOOD")</f>
        <v xml:space="preserve">          4153 - NON-TAXABLE SALES-FOOD</v>
      </c>
      <c r="C20" s="11"/>
      <c r="D20" s="2">
        <f>--6365.13</f>
        <v>6365.13</v>
      </c>
      <c r="E20" s="2"/>
      <c r="F20" s="19"/>
      <c r="G20" s="2"/>
      <c r="H20" s="2"/>
      <c r="I20" s="2"/>
      <c r="J20" s="19"/>
      <c r="K20" s="2"/>
      <c r="L20" s="2">
        <f t="shared" si="0"/>
        <v>6365.13</v>
      </c>
      <c r="M20" s="2"/>
      <c r="N20" s="19">
        <f t="shared" si="1"/>
        <v>0</v>
      </c>
      <c r="O20" s="11"/>
      <c r="P20" s="2">
        <f>--50769.83</f>
        <v>50769.83</v>
      </c>
      <c r="Q20" s="2"/>
      <c r="R20" s="19"/>
      <c r="S20" s="2"/>
      <c r="T20" s="2"/>
      <c r="U20" s="2"/>
      <c r="V20" s="19"/>
      <c r="W20" s="2"/>
      <c r="X20" s="2">
        <f t="shared" si="2"/>
        <v>50769.83</v>
      </c>
      <c r="Y20" s="2"/>
      <c r="Z20" s="19">
        <f t="shared" si="3"/>
        <v>0</v>
      </c>
    </row>
    <row r="21" spans="1:26" s="24" customFormat="1" hidden="1" outlineLevel="1" x14ac:dyDescent="0.3">
      <c r="A21" s="44"/>
      <c r="B21" s="11" t="str">
        <f>CONCATENATE("          ", "4200", " - ", "TAXABLE RETURNS")</f>
        <v xml:space="preserve">          4200 - TAXABLE RETURNS</v>
      </c>
      <c r="C21" s="11"/>
      <c r="D21" s="2">
        <f>-53747.52</f>
        <v>-53747.519999999997</v>
      </c>
      <c r="E21" s="2"/>
      <c r="F21" s="19"/>
      <c r="G21" s="2"/>
      <c r="H21" s="2"/>
      <c r="I21" s="2"/>
      <c r="J21" s="19"/>
      <c r="K21" s="2"/>
      <c r="L21" s="2">
        <f t="shared" si="0"/>
        <v>-53747.519999999997</v>
      </c>
      <c r="M21" s="2"/>
      <c r="N21" s="19">
        <f t="shared" si="1"/>
        <v>0</v>
      </c>
      <c r="O21" s="11"/>
      <c r="P21" s="2">
        <f>-224507.84</f>
        <v>-224507.84</v>
      </c>
      <c r="Q21" s="2"/>
      <c r="R21" s="19"/>
      <c r="S21" s="2"/>
      <c r="T21" s="2"/>
      <c r="U21" s="2"/>
      <c r="V21" s="19"/>
      <c r="W21" s="2"/>
      <c r="X21" s="2">
        <f t="shared" si="2"/>
        <v>-224507.84</v>
      </c>
      <c r="Y21" s="2"/>
      <c r="Z21" s="19">
        <f t="shared" si="3"/>
        <v>0</v>
      </c>
    </row>
    <row r="22" spans="1:26" s="24" customFormat="1" hidden="1" outlineLevel="1" x14ac:dyDescent="0.3">
      <c r="A22" s="44"/>
      <c r="B22" s="11" t="str">
        <f>CONCATENATE("          ", "4300", " - ", "NON-TAX RETURNS")</f>
        <v xml:space="preserve">          4300 - NON-TAX RETURNS</v>
      </c>
      <c r="C22" s="11"/>
      <c r="D22" s="2">
        <f>-715.91</f>
        <v>-715.91</v>
      </c>
      <c r="E22" s="2"/>
      <c r="F22" s="19"/>
      <c r="G22" s="2"/>
      <c r="H22" s="2"/>
      <c r="I22" s="2"/>
      <c r="J22" s="19"/>
      <c r="K22" s="2"/>
      <c r="L22" s="2">
        <f t="shared" si="0"/>
        <v>-715.91</v>
      </c>
      <c r="M22" s="2"/>
      <c r="N22" s="19">
        <f t="shared" si="1"/>
        <v>0</v>
      </c>
      <c r="O22" s="11"/>
      <c r="P22" s="2">
        <f>-27205.18</f>
        <v>-27205.18</v>
      </c>
      <c r="Q22" s="2"/>
      <c r="R22" s="19"/>
      <c r="S22" s="2"/>
      <c r="T22" s="2"/>
      <c r="U22" s="2"/>
      <c r="V22" s="19"/>
      <c r="W22" s="2"/>
      <c r="X22" s="2">
        <f t="shared" si="2"/>
        <v>-27205.18</v>
      </c>
      <c r="Y22" s="2"/>
      <c r="Z22" s="19">
        <f t="shared" si="3"/>
        <v>0</v>
      </c>
    </row>
    <row r="23" spans="1:26" s="24" customFormat="1" hidden="1" outlineLevel="1" x14ac:dyDescent="0.3">
      <c r="A23" s="44"/>
      <c r="B23" s="11" t="str">
        <f>CONCATENATE("          ", "4500", " - ", "SALES DISCOUNT")</f>
        <v xml:space="preserve">          4500 - SALES DISCOUNT</v>
      </c>
      <c r="C23" s="11"/>
      <c r="D23" s="2">
        <f>-6518.33</f>
        <v>-6518.33</v>
      </c>
      <c r="E23" s="2"/>
      <c r="F23" s="19"/>
      <c r="G23" s="2"/>
      <c r="H23" s="2"/>
      <c r="I23" s="2"/>
      <c r="J23" s="19"/>
      <c r="K23" s="2"/>
      <c r="L23" s="2">
        <f t="shared" si="0"/>
        <v>-6518.33</v>
      </c>
      <c r="M23" s="2"/>
      <c r="N23" s="19">
        <f t="shared" si="1"/>
        <v>0</v>
      </c>
      <c r="O23" s="11"/>
      <c r="P23" s="2">
        <f>-14181.42</f>
        <v>-14181.42</v>
      </c>
      <c r="Q23" s="2"/>
      <c r="R23" s="19"/>
      <c r="S23" s="2"/>
      <c r="T23" s="2"/>
      <c r="U23" s="2"/>
      <c r="V23" s="19"/>
      <c r="W23" s="2"/>
      <c r="X23" s="2">
        <f t="shared" si="2"/>
        <v>-14181.42</v>
      </c>
      <c r="Y23" s="2"/>
      <c r="Z23" s="19">
        <f t="shared" si="3"/>
        <v>0</v>
      </c>
    </row>
    <row r="24" spans="1:26" x14ac:dyDescent="0.3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collapsed="1" x14ac:dyDescent="0.3">
      <c r="A25" s="10"/>
      <c r="B25" s="25" t="s">
        <v>257</v>
      </c>
      <c r="C25" s="10"/>
      <c r="D25" s="4">
        <f>SUM(OSRRefD16x_0)</f>
        <v>561552.03</v>
      </c>
      <c r="E25" s="4"/>
      <c r="F25" s="12">
        <f t="shared" ref="F25:F60" si="6">IF(D$12=0,0,D25/D$12)</f>
        <v>0.31088276462605946</v>
      </c>
      <c r="G25" s="4"/>
      <c r="H25" s="4">
        <f>SUM(OSRRefH16x_0)</f>
        <v>495048</v>
      </c>
      <c r="I25" s="4"/>
      <c r="J25" s="12">
        <f t="shared" ref="J25:J60" si="7">IF(H$12=0,0,H25/H$12)</f>
        <v>0.37106373282403843</v>
      </c>
      <c r="K25" s="4"/>
      <c r="L25" s="4">
        <f t="shared" ref="L25:L60" si="8">+D25-H25</f>
        <v>66504.030000000028</v>
      </c>
      <c r="M25" s="4"/>
      <c r="N25" s="12">
        <f t="shared" ref="N25:N60" si="9">IF(H25=0,0,L25/H25)</f>
        <v>0.13433854898918898</v>
      </c>
      <c r="O25" s="10"/>
      <c r="P25" s="4">
        <f>SUM(OSRRefP16x_0)</f>
        <v>4164733.3200000003</v>
      </c>
      <c r="Q25" s="4"/>
      <c r="R25" s="12">
        <f t="shared" ref="R25:R60" si="10">IF(P$12=0,0,P25/P$12)</f>
        <v>0.43034734436061844</v>
      </c>
      <c r="S25" s="4"/>
      <c r="T25" s="4">
        <f>SUM(OSRRefT16x_0)</f>
        <v>5129234</v>
      </c>
      <c r="U25" s="4"/>
      <c r="V25" s="12">
        <f t="shared" ref="V25:V60" si="11">IF(T$12=0,0,T25/T$12)</f>
        <v>0.50442916594588738</v>
      </c>
      <c r="W25" s="4"/>
      <c r="X25" s="4">
        <f t="shared" ref="X25:X60" si="12">+P25-T25</f>
        <v>-964500.6799999997</v>
      </c>
      <c r="Y25" s="4"/>
      <c r="Z25" s="12">
        <f t="shared" ref="Z25:Z60" si="13">IF(T25=0,0,X25/T25)</f>
        <v>-0.18803990615362834</v>
      </c>
    </row>
    <row r="26" spans="1:26" s="24" customFormat="1" hidden="1" outlineLevel="1" x14ac:dyDescent="0.3">
      <c r="A26" s="44"/>
      <c r="B26" s="11" t="str">
        <f>CONCATENATE("          ", "5000", " - ", "PURCHASES @ COST")</f>
        <v xml:space="preserve">          5000 - PURCHASES @ COST</v>
      </c>
      <c r="C26" s="11"/>
      <c r="D26" s="2">
        <v>-11220.02</v>
      </c>
      <c r="E26" s="2"/>
      <c r="F26" s="19">
        <f t="shared" si="6"/>
        <v>-6.2115541399782306E-3</v>
      </c>
      <c r="G26" s="2"/>
      <c r="H26" s="2">
        <v>495048</v>
      </c>
      <c r="I26" s="2"/>
      <c r="J26" s="19">
        <f t="shared" si="7"/>
        <v>0.37106373282403843</v>
      </c>
      <c r="K26" s="2"/>
      <c r="L26" s="2">
        <f t="shared" si="8"/>
        <v>-506268.02</v>
      </c>
      <c r="M26" s="2"/>
      <c r="N26" s="19">
        <f t="shared" si="9"/>
        <v>-1.0226645093001083</v>
      </c>
      <c r="O26" s="11"/>
      <c r="P26" s="2">
        <v>2991769.29</v>
      </c>
      <c r="Q26" s="2"/>
      <c r="R26" s="19">
        <f t="shared" si="10"/>
        <v>0.30914343607747563</v>
      </c>
      <c r="S26" s="2"/>
      <c r="T26" s="2">
        <v>5129234</v>
      </c>
      <c r="U26" s="2"/>
      <c r="V26" s="19">
        <f t="shared" si="11"/>
        <v>0.50442916594588738</v>
      </c>
      <c r="W26" s="2"/>
      <c r="X26" s="2">
        <f t="shared" si="12"/>
        <v>-2137464.71</v>
      </c>
      <c r="Y26" s="2"/>
      <c r="Z26" s="19">
        <f t="shared" si="13"/>
        <v>-0.41672201151283017</v>
      </c>
    </row>
    <row r="27" spans="1:26" s="24" customFormat="1" hidden="1" outlineLevel="1" x14ac:dyDescent="0.3">
      <c r="A27" s="44"/>
      <c r="B27" s="11" t="str">
        <f>CONCATENATE("          ", "5001", " - ", "PURCHASES @ COST-NEW TEXT")</f>
        <v xml:space="preserve">          5001 - PURCHASES @ COST-NEW TEXT</v>
      </c>
      <c r="C27" s="11"/>
      <c r="D27" s="2"/>
      <c r="E27" s="2"/>
      <c r="F27" s="19">
        <f t="shared" si="6"/>
        <v>0</v>
      </c>
      <c r="G27" s="2"/>
      <c r="H27" s="2"/>
      <c r="I27" s="2"/>
      <c r="J27" s="19">
        <f t="shared" si="7"/>
        <v>0</v>
      </c>
      <c r="K27" s="2"/>
      <c r="L27" s="2">
        <f t="shared" si="8"/>
        <v>0</v>
      </c>
      <c r="M27" s="2"/>
      <c r="N27" s="19">
        <f t="shared" si="9"/>
        <v>0</v>
      </c>
      <c r="O27" s="11"/>
      <c r="P27" s="2">
        <v>0</v>
      </c>
      <c r="Q27" s="2"/>
      <c r="R27" s="19">
        <f t="shared" si="10"/>
        <v>0</v>
      </c>
      <c r="S27" s="2"/>
      <c r="T27" s="2"/>
      <c r="U27" s="2"/>
      <c r="V27" s="19">
        <f t="shared" si="11"/>
        <v>0</v>
      </c>
      <c r="W27" s="2"/>
      <c r="X27" s="2">
        <f t="shared" si="12"/>
        <v>0</v>
      </c>
      <c r="Y27" s="2"/>
      <c r="Z27" s="19">
        <f t="shared" si="13"/>
        <v>0</v>
      </c>
    </row>
    <row r="28" spans="1:26" s="24" customFormat="1" hidden="1" outlineLevel="1" x14ac:dyDescent="0.3">
      <c r="A28" s="44"/>
      <c r="B28" s="11" t="str">
        <f>CONCATENATE("          ", "5002", " - ", "PURCHASES @ COST-USED TEXT")</f>
        <v xml:space="preserve">          5002 - PURCHASES @ COST-USED TEXT</v>
      </c>
      <c r="C28" s="11"/>
      <c r="D28" s="2"/>
      <c r="E28" s="2"/>
      <c r="F28" s="19">
        <f t="shared" si="6"/>
        <v>0</v>
      </c>
      <c r="G28" s="2"/>
      <c r="H28" s="2"/>
      <c r="I28" s="2"/>
      <c r="J28" s="19">
        <f t="shared" si="7"/>
        <v>0</v>
      </c>
      <c r="K28" s="2"/>
      <c r="L28" s="2">
        <f t="shared" si="8"/>
        <v>0</v>
      </c>
      <c r="M28" s="2"/>
      <c r="N28" s="19">
        <f t="shared" si="9"/>
        <v>0</v>
      </c>
      <c r="O28" s="11"/>
      <c r="P28" s="2">
        <v>0</v>
      </c>
      <c r="Q28" s="2"/>
      <c r="R28" s="19">
        <f t="shared" si="10"/>
        <v>0</v>
      </c>
      <c r="S28" s="2"/>
      <c r="T28" s="2"/>
      <c r="U28" s="2"/>
      <c r="V28" s="19">
        <f t="shared" si="11"/>
        <v>0</v>
      </c>
      <c r="W28" s="2"/>
      <c r="X28" s="2">
        <f t="shared" si="12"/>
        <v>0</v>
      </c>
      <c r="Y28" s="2"/>
      <c r="Z28" s="19">
        <f t="shared" si="13"/>
        <v>0</v>
      </c>
    </row>
    <row r="29" spans="1:26" s="24" customFormat="1" hidden="1" outlineLevel="1" x14ac:dyDescent="0.3">
      <c r="A29" s="44"/>
      <c r="B29" s="11" t="str">
        <f>CONCATENATE("          ", "5004", " - ", "PURCHASES @ COST-DIGITAL TEXT")</f>
        <v xml:space="preserve">          5004 - PURCHASES @ COST-DIGITAL TEXT</v>
      </c>
      <c r="C29" s="11"/>
      <c r="D29" s="2"/>
      <c r="E29" s="2"/>
      <c r="F29" s="19">
        <f t="shared" si="6"/>
        <v>0</v>
      </c>
      <c r="G29" s="2"/>
      <c r="H29" s="2"/>
      <c r="I29" s="2"/>
      <c r="J29" s="19">
        <f t="shared" si="7"/>
        <v>0</v>
      </c>
      <c r="K29" s="2"/>
      <c r="L29" s="2">
        <f t="shared" si="8"/>
        <v>0</v>
      </c>
      <c r="M29" s="2"/>
      <c r="N29" s="19">
        <f t="shared" si="9"/>
        <v>0</v>
      </c>
      <c r="O29" s="11"/>
      <c r="P29" s="2">
        <v>0</v>
      </c>
      <c r="Q29" s="2"/>
      <c r="R29" s="19">
        <f t="shared" si="10"/>
        <v>0</v>
      </c>
      <c r="S29" s="2"/>
      <c r="T29" s="2"/>
      <c r="U29" s="2"/>
      <c r="V29" s="19">
        <f t="shared" si="11"/>
        <v>0</v>
      </c>
      <c r="W29" s="2"/>
      <c r="X29" s="2">
        <f t="shared" si="12"/>
        <v>0</v>
      </c>
      <c r="Y29" s="2"/>
      <c r="Z29" s="19">
        <f t="shared" si="13"/>
        <v>0</v>
      </c>
    </row>
    <row r="30" spans="1:26" s="24" customFormat="1" hidden="1" outlineLevel="1" x14ac:dyDescent="0.3">
      <c r="A30" s="44"/>
      <c r="B30" s="11" t="str">
        <f>CONCATENATE("          ", "5026", " - ", "PURCHASES @ COST-WRITING INSTR")</f>
        <v xml:space="preserve">          5026 - PURCHASES @ COST-WRITING INSTR</v>
      </c>
      <c r="C30" s="11"/>
      <c r="D30" s="2"/>
      <c r="E30" s="2"/>
      <c r="F30" s="19">
        <f t="shared" si="6"/>
        <v>0</v>
      </c>
      <c r="G30" s="2"/>
      <c r="H30" s="2"/>
      <c r="I30" s="2"/>
      <c r="J30" s="19">
        <f t="shared" si="7"/>
        <v>0</v>
      </c>
      <c r="K30" s="2"/>
      <c r="L30" s="2">
        <f t="shared" si="8"/>
        <v>0</v>
      </c>
      <c r="M30" s="2"/>
      <c r="N30" s="19">
        <f t="shared" si="9"/>
        <v>0</v>
      </c>
      <c r="O30" s="11"/>
      <c r="P30" s="2">
        <v>0</v>
      </c>
      <c r="Q30" s="2"/>
      <c r="R30" s="19">
        <f t="shared" si="10"/>
        <v>0</v>
      </c>
      <c r="S30" s="2"/>
      <c r="T30" s="2"/>
      <c r="U30" s="2"/>
      <c r="V30" s="19">
        <f t="shared" si="11"/>
        <v>0</v>
      </c>
      <c r="W30" s="2"/>
      <c r="X30" s="2">
        <f t="shared" si="12"/>
        <v>0</v>
      </c>
      <c r="Y30" s="2"/>
      <c r="Z30" s="19">
        <f t="shared" si="13"/>
        <v>0</v>
      </c>
    </row>
    <row r="31" spans="1:26" s="24" customFormat="1" hidden="1" outlineLevel="1" x14ac:dyDescent="0.3">
      <c r="A31" s="44"/>
      <c r="B31" s="11" t="str">
        <f>CONCATENATE("          ", "5027", " - ", "PURCHASES @ COST-SCHOOL SUPPLI")</f>
        <v xml:space="preserve">          5027 - PURCHASES @ COST-SCHOOL SUPPLI</v>
      </c>
      <c r="C31" s="11"/>
      <c r="D31" s="2"/>
      <c r="E31" s="2"/>
      <c r="F31" s="19">
        <f t="shared" si="6"/>
        <v>0</v>
      </c>
      <c r="G31" s="2"/>
      <c r="H31" s="2"/>
      <c r="I31" s="2"/>
      <c r="J31" s="19">
        <f t="shared" si="7"/>
        <v>0</v>
      </c>
      <c r="K31" s="2"/>
      <c r="L31" s="2">
        <f t="shared" si="8"/>
        <v>0</v>
      </c>
      <c r="M31" s="2"/>
      <c r="N31" s="19">
        <f t="shared" si="9"/>
        <v>0</v>
      </c>
      <c r="O31" s="11"/>
      <c r="P31" s="2">
        <v>0</v>
      </c>
      <c r="Q31" s="2"/>
      <c r="R31" s="19">
        <f t="shared" si="10"/>
        <v>0</v>
      </c>
      <c r="S31" s="2"/>
      <c r="T31" s="2"/>
      <c r="U31" s="2"/>
      <c r="V31" s="19">
        <f t="shared" si="11"/>
        <v>0</v>
      </c>
      <c r="W31" s="2"/>
      <c r="X31" s="2">
        <f t="shared" si="12"/>
        <v>0</v>
      </c>
      <c r="Y31" s="2"/>
      <c r="Z31" s="19">
        <f t="shared" si="13"/>
        <v>0</v>
      </c>
    </row>
    <row r="32" spans="1:26" s="24" customFormat="1" hidden="1" outlineLevel="1" x14ac:dyDescent="0.3">
      <c r="A32" s="44"/>
      <c r="B32" s="11" t="str">
        <f>CONCATENATE("          ", "5028", " - ", "PURCHASES @ COST-ART/TECH")</f>
        <v xml:space="preserve">          5028 - PURCHASES @ COST-ART/TECH</v>
      </c>
      <c r="C32" s="11"/>
      <c r="D32" s="2"/>
      <c r="E32" s="2"/>
      <c r="F32" s="19">
        <f t="shared" si="6"/>
        <v>0</v>
      </c>
      <c r="G32" s="2"/>
      <c r="H32" s="2"/>
      <c r="I32" s="2"/>
      <c r="J32" s="19">
        <f t="shared" si="7"/>
        <v>0</v>
      </c>
      <c r="K32" s="2"/>
      <c r="L32" s="2">
        <f t="shared" si="8"/>
        <v>0</v>
      </c>
      <c r="M32" s="2"/>
      <c r="N32" s="19">
        <f t="shared" si="9"/>
        <v>0</v>
      </c>
      <c r="O32" s="11"/>
      <c r="P32" s="2">
        <v>0</v>
      </c>
      <c r="Q32" s="2"/>
      <c r="R32" s="19">
        <f t="shared" si="10"/>
        <v>0</v>
      </c>
      <c r="S32" s="2"/>
      <c r="T32" s="2"/>
      <c r="U32" s="2"/>
      <c r="V32" s="19">
        <f t="shared" si="11"/>
        <v>0</v>
      </c>
      <c r="W32" s="2"/>
      <c r="X32" s="2">
        <f t="shared" si="12"/>
        <v>0</v>
      </c>
      <c r="Y32" s="2"/>
      <c r="Z32" s="19">
        <f t="shared" si="13"/>
        <v>0</v>
      </c>
    </row>
    <row r="33" spans="1:26" s="24" customFormat="1" hidden="1" outlineLevel="1" x14ac:dyDescent="0.3">
      <c r="A33" s="44"/>
      <c r="B33" s="11" t="str">
        <f>CONCATENATE("          ", "5031", " - ", "PURCHASES @ COST-FOOD")</f>
        <v xml:space="preserve">          5031 - PURCHASES @ COST-FOOD</v>
      </c>
      <c r="C33" s="11"/>
      <c r="D33" s="2"/>
      <c r="E33" s="2"/>
      <c r="F33" s="19">
        <f t="shared" si="6"/>
        <v>0</v>
      </c>
      <c r="G33" s="2"/>
      <c r="H33" s="2"/>
      <c r="I33" s="2"/>
      <c r="J33" s="19">
        <f t="shared" si="7"/>
        <v>0</v>
      </c>
      <c r="K33" s="2"/>
      <c r="L33" s="2">
        <f t="shared" si="8"/>
        <v>0</v>
      </c>
      <c r="M33" s="2"/>
      <c r="N33" s="19">
        <f t="shared" si="9"/>
        <v>0</v>
      </c>
      <c r="O33" s="11"/>
      <c r="P33" s="2">
        <v>0</v>
      </c>
      <c r="Q33" s="2"/>
      <c r="R33" s="19">
        <f t="shared" si="10"/>
        <v>0</v>
      </c>
      <c r="S33" s="2"/>
      <c r="T33" s="2"/>
      <c r="U33" s="2"/>
      <c r="V33" s="19">
        <f t="shared" si="11"/>
        <v>0</v>
      </c>
      <c r="W33" s="2"/>
      <c r="X33" s="2">
        <f t="shared" si="12"/>
        <v>0</v>
      </c>
      <c r="Y33" s="2"/>
      <c r="Z33" s="19">
        <f t="shared" si="13"/>
        <v>0</v>
      </c>
    </row>
    <row r="34" spans="1:26" s="24" customFormat="1" hidden="1" outlineLevel="1" x14ac:dyDescent="0.3">
      <c r="A34" s="44"/>
      <c r="B34" s="11" t="str">
        <f>CONCATENATE("          ", "5040", " - ", "PURCHASES @ COST-LOGO CLOTHING")</f>
        <v xml:space="preserve">          5040 - PURCHASES @ COST-LOGO CLOTHING</v>
      </c>
      <c r="C34" s="11"/>
      <c r="D34" s="2"/>
      <c r="E34" s="2"/>
      <c r="F34" s="19">
        <f t="shared" si="6"/>
        <v>0</v>
      </c>
      <c r="G34" s="2"/>
      <c r="H34" s="2"/>
      <c r="I34" s="2"/>
      <c r="J34" s="19">
        <f t="shared" si="7"/>
        <v>0</v>
      </c>
      <c r="K34" s="2"/>
      <c r="L34" s="2">
        <f t="shared" si="8"/>
        <v>0</v>
      </c>
      <c r="M34" s="2"/>
      <c r="N34" s="19">
        <f t="shared" si="9"/>
        <v>0</v>
      </c>
      <c r="O34" s="11"/>
      <c r="P34" s="2">
        <v>0</v>
      </c>
      <c r="Q34" s="2"/>
      <c r="R34" s="19">
        <f t="shared" si="10"/>
        <v>0</v>
      </c>
      <c r="S34" s="2"/>
      <c r="T34" s="2"/>
      <c r="U34" s="2"/>
      <c r="V34" s="19">
        <f t="shared" si="11"/>
        <v>0</v>
      </c>
      <c r="W34" s="2"/>
      <c r="X34" s="2">
        <f t="shared" si="12"/>
        <v>0</v>
      </c>
      <c r="Y34" s="2"/>
      <c r="Z34" s="19">
        <f t="shared" si="13"/>
        <v>0</v>
      </c>
    </row>
    <row r="35" spans="1:26" s="24" customFormat="1" hidden="1" outlineLevel="1" x14ac:dyDescent="0.3">
      <c r="A35" s="44"/>
      <c r="B35" s="11" t="str">
        <f>CONCATENATE("          ", "5041", " - ", "PURCHASES @ COST-LOGO GIFTS")</f>
        <v xml:space="preserve">          5041 - PURCHASES @ COST-LOGO GIFTS</v>
      </c>
      <c r="C35" s="11"/>
      <c r="D35" s="2"/>
      <c r="E35" s="2"/>
      <c r="F35" s="19">
        <f t="shared" si="6"/>
        <v>0</v>
      </c>
      <c r="G35" s="2"/>
      <c r="H35" s="2"/>
      <c r="I35" s="2"/>
      <c r="J35" s="19">
        <f t="shared" si="7"/>
        <v>0</v>
      </c>
      <c r="K35" s="2"/>
      <c r="L35" s="2">
        <f t="shared" si="8"/>
        <v>0</v>
      </c>
      <c r="M35" s="2"/>
      <c r="N35" s="19">
        <f t="shared" si="9"/>
        <v>0</v>
      </c>
      <c r="O35" s="11"/>
      <c r="P35" s="2">
        <v>0</v>
      </c>
      <c r="Q35" s="2"/>
      <c r="R35" s="19">
        <f t="shared" si="10"/>
        <v>0</v>
      </c>
      <c r="S35" s="2"/>
      <c r="T35" s="2"/>
      <c r="U35" s="2"/>
      <c r="V35" s="19">
        <f t="shared" si="11"/>
        <v>0</v>
      </c>
      <c r="W35" s="2"/>
      <c r="X35" s="2">
        <f t="shared" si="12"/>
        <v>0</v>
      </c>
      <c r="Y35" s="2"/>
      <c r="Z35" s="19">
        <f t="shared" si="13"/>
        <v>0</v>
      </c>
    </row>
    <row r="36" spans="1:26" s="24" customFormat="1" hidden="1" outlineLevel="1" x14ac:dyDescent="0.3">
      <c r="A36" s="44"/>
      <c r="B36" s="11" t="str">
        <f>CONCATENATE("          ", "5042", " - ", "PURCHASES @ COST-EVERYDAY GIFT")</f>
        <v xml:space="preserve">          5042 - PURCHASES @ COST-EVERYDAY GIFT</v>
      </c>
      <c r="C36" s="11"/>
      <c r="D36" s="2"/>
      <c r="E36" s="2"/>
      <c r="F36" s="19">
        <f t="shared" si="6"/>
        <v>0</v>
      </c>
      <c r="G36" s="2"/>
      <c r="H36" s="2"/>
      <c r="I36" s="2"/>
      <c r="J36" s="19">
        <f t="shared" si="7"/>
        <v>0</v>
      </c>
      <c r="K36" s="2"/>
      <c r="L36" s="2">
        <f t="shared" si="8"/>
        <v>0</v>
      </c>
      <c r="M36" s="2"/>
      <c r="N36" s="19">
        <f t="shared" si="9"/>
        <v>0</v>
      </c>
      <c r="O36" s="11"/>
      <c r="P36" s="2">
        <v>0</v>
      </c>
      <c r="Q36" s="2"/>
      <c r="R36" s="19">
        <f t="shared" si="10"/>
        <v>0</v>
      </c>
      <c r="S36" s="2"/>
      <c r="T36" s="2"/>
      <c r="U36" s="2"/>
      <c r="V36" s="19">
        <f t="shared" si="11"/>
        <v>0</v>
      </c>
      <c r="W36" s="2"/>
      <c r="X36" s="2">
        <f t="shared" si="12"/>
        <v>0</v>
      </c>
      <c r="Y36" s="2"/>
      <c r="Z36" s="19">
        <f t="shared" si="13"/>
        <v>0</v>
      </c>
    </row>
    <row r="37" spans="1:26" s="24" customFormat="1" hidden="1" outlineLevel="1" x14ac:dyDescent="0.3">
      <c r="A37" s="44"/>
      <c r="B37" s="11" t="str">
        <f>CONCATENATE("          ", "5043", " - ", "PURCHASES @ COST-CARDS")</f>
        <v xml:space="preserve">          5043 - PURCHASES @ COST-CARDS</v>
      </c>
      <c r="C37" s="11"/>
      <c r="D37" s="2"/>
      <c r="E37" s="2"/>
      <c r="F37" s="19">
        <f t="shared" si="6"/>
        <v>0</v>
      </c>
      <c r="G37" s="2"/>
      <c r="H37" s="2"/>
      <c r="I37" s="2"/>
      <c r="J37" s="19">
        <f t="shared" si="7"/>
        <v>0</v>
      </c>
      <c r="K37" s="2"/>
      <c r="L37" s="2">
        <f t="shared" si="8"/>
        <v>0</v>
      </c>
      <c r="M37" s="2"/>
      <c r="N37" s="19">
        <f t="shared" si="9"/>
        <v>0</v>
      </c>
      <c r="O37" s="11"/>
      <c r="P37" s="2">
        <v>0</v>
      </c>
      <c r="Q37" s="2"/>
      <c r="R37" s="19">
        <f t="shared" si="10"/>
        <v>0</v>
      </c>
      <c r="S37" s="2"/>
      <c r="T37" s="2"/>
      <c r="U37" s="2"/>
      <c r="V37" s="19">
        <f t="shared" si="11"/>
        <v>0</v>
      </c>
      <c r="W37" s="2"/>
      <c r="X37" s="2">
        <f t="shared" si="12"/>
        <v>0</v>
      </c>
      <c r="Y37" s="2"/>
      <c r="Z37" s="19">
        <f t="shared" si="13"/>
        <v>0</v>
      </c>
    </row>
    <row r="38" spans="1:26" s="24" customFormat="1" hidden="1" outlineLevel="1" x14ac:dyDescent="0.3">
      <c r="A38" s="44"/>
      <c r="B38" s="11" t="str">
        <f>CONCATENATE("          ", "5044", " - ", "PURCHASES @ COST-ACCESSORIES")</f>
        <v xml:space="preserve">          5044 - PURCHASES @ COST-ACCESSORIES</v>
      </c>
      <c r="C38" s="11"/>
      <c r="D38" s="2"/>
      <c r="E38" s="2"/>
      <c r="F38" s="19">
        <f t="shared" si="6"/>
        <v>0</v>
      </c>
      <c r="G38" s="2"/>
      <c r="H38" s="2"/>
      <c r="I38" s="2"/>
      <c r="J38" s="19">
        <f t="shared" si="7"/>
        <v>0</v>
      </c>
      <c r="K38" s="2"/>
      <c r="L38" s="2">
        <f t="shared" si="8"/>
        <v>0</v>
      </c>
      <c r="M38" s="2"/>
      <c r="N38" s="19">
        <f t="shared" si="9"/>
        <v>0</v>
      </c>
      <c r="O38" s="11"/>
      <c r="P38" s="2">
        <v>0</v>
      </c>
      <c r="Q38" s="2"/>
      <c r="R38" s="19">
        <f t="shared" si="10"/>
        <v>0</v>
      </c>
      <c r="S38" s="2"/>
      <c r="T38" s="2"/>
      <c r="U38" s="2"/>
      <c r="V38" s="19">
        <f t="shared" si="11"/>
        <v>0</v>
      </c>
      <c r="W38" s="2"/>
      <c r="X38" s="2">
        <f t="shared" si="12"/>
        <v>0</v>
      </c>
      <c r="Y38" s="2"/>
      <c r="Z38" s="19">
        <f t="shared" si="13"/>
        <v>0</v>
      </c>
    </row>
    <row r="39" spans="1:26" s="24" customFormat="1" hidden="1" outlineLevel="1" x14ac:dyDescent="0.3">
      <c r="A39" s="44"/>
      <c r="B39" s="11" t="str">
        <f>CONCATENATE("          ", "5045", " - ", "PURCHASES @ COST-SPECIAL ORDER")</f>
        <v xml:space="preserve">          5045 - PURCHASES @ COST-SPECIAL ORDER</v>
      </c>
      <c r="C39" s="11"/>
      <c r="D39" s="2"/>
      <c r="E39" s="2"/>
      <c r="F39" s="19">
        <f t="shared" si="6"/>
        <v>0</v>
      </c>
      <c r="G39" s="2"/>
      <c r="H39" s="2"/>
      <c r="I39" s="2"/>
      <c r="J39" s="19">
        <f t="shared" si="7"/>
        <v>0</v>
      </c>
      <c r="K39" s="2"/>
      <c r="L39" s="2">
        <f t="shared" si="8"/>
        <v>0</v>
      </c>
      <c r="M39" s="2"/>
      <c r="N39" s="19">
        <f t="shared" si="9"/>
        <v>0</v>
      </c>
      <c r="O39" s="11"/>
      <c r="P39" s="2">
        <v>0</v>
      </c>
      <c r="Q39" s="2"/>
      <c r="R39" s="19">
        <f t="shared" si="10"/>
        <v>0</v>
      </c>
      <c r="S39" s="2"/>
      <c r="T39" s="2"/>
      <c r="U39" s="2"/>
      <c r="V39" s="19">
        <f t="shared" si="11"/>
        <v>0</v>
      </c>
      <c r="W39" s="2"/>
      <c r="X39" s="2">
        <f t="shared" si="12"/>
        <v>0</v>
      </c>
      <c r="Y39" s="2"/>
      <c r="Z39" s="19">
        <f t="shared" si="13"/>
        <v>0</v>
      </c>
    </row>
    <row r="40" spans="1:26" s="24" customFormat="1" hidden="1" outlineLevel="1" x14ac:dyDescent="0.3">
      <c r="A40" s="44"/>
      <c r="B40" s="11" t="str">
        <f>CONCATENATE("          ", "5053", " - ", "PURCHASES @ COST-FOOD")</f>
        <v xml:space="preserve">          5053 - PURCHASES @ COST-FOOD</v>
      </c>
      <c r="C40" s="11"/>
      <c r="D40" s="2">
        <v>320688.57</v>
      </c>
      <c r="E40" s="2"/>
      <c r="F40" s="19">
        <f t="shared" si="6"/>
        <v>0.17753751014946484</v>
      </c>
      <c r="G40" s="2"/>
      <c r="H40" s="2"/>
      <c r="I40" s="2"/>
      <c r="J40" s="19">
        <f t="shared" si="7"/>
        <v>0</v>
      </c>
      <c r="K40" s="2"/>
      <c r="L40" s="2">
        <f t="shared" si="8"/>
        <v>320688.57</v>
      </c>
      <c r="M40" s="2"/>
      <c r="N40" s="19">
        <f t="shared" si="9"/>
        <v>0</v>
      </c>
      <c r="O40" s="11"/>
      <c r="P40" s="2">
        <v>1563865.7</v>
      </c>
      <c r="Q40" s="2"/>
      <c r="R40" s="19">
        <f t="shared" si="10"/>
        <v>0.16159628941899684</v>
      </c>
      <c r="S40" s="2"/>
      <c r="T40" s="2"/>
      <c r="U40" s="2"/>
      <c r="V40" s="19">
        <f t="shared" si="11"/>
        <v>0</v>
      </c>
      <c r="W40" s="2"/>
      <c r="X40" s="2">
        <f t="shared" si="12"/>
        <v>1563865.7</v>
      </c>
      <c r="Y40" s="2"/>
      <c r="Z40" s="19">
        <f t="shared" si="13"/>
        <v>0</v>
      </c>
    </row>
    <row r="41" spans="1:26" s="24" customFormat="1" hidden="1" outlineLevel="1" x14ac:dyDescent="0.3">
      <c r="A41" s="44"/>
      <c r="B41" s="11" t="str">
        <f>CONCATENATE("          ", "5059", " - ", "PURCHASES @ COST-FOOD")</f>
        <v xml:space="preserve">          5059 - PURCHASES @ COST-FOOD</v>
      </c>
      <c r="C41" s="11"/>
      <c r="D41" s="2">
        <v>19861.98</v>
      </c>
      <c r="E41" s="2"/>
      <c r="F41" s="19">
        <f t="shared" si="6"/>
        <v>1.0995859552582331E-2</v>
      </c>
      <c r="G41" s="2"/>
      <c r="H41" s="2"/>
      <c r="I41" s="2"/>
      <c r="J41" s="19">
        <f t="shared" si="7"/>
        <v>0</v>
      </c>
      <c r="K41" s="2"/>
      <c r="L41" s="2">
        <f t="shared" si="8"/>
        <v>19861.98</v>
      </c>
      <c r="M41" s="2"/>
      <c r="N41" s="19">
        <f t="shared" si="9"/>
        <v>0</v>
      </c>
      <c r="O41" s="11"/>
      <c r="P41" s="2">
        <v>-55619.1</v>
      </c>
      <c r="Q41" s="2"/>
      <c r="R41" s="19">
        <f t="shared" si="10"/>
        <v>-5.7471943919635343E-3</v>
      </c>
      <c r="S41" s="2"/>
      <c r="T41" s="2"/>
      <c r="U41" s="2"/>
      <c r="V41" s="19">
        <f t="shared" si="11"/>
        <v>0</v>
      </c>
      <c r="W41" s="2"/>
      <c r="X41" s="2">
        <f t="shared" si="12"/>
        <v>-55619.1</v>
      </c>
      <c r="Y41" s="2"/>
      <c r="Z41" s="19">
        <f t="shared" si="13"/>
        <v>0</v>
      </c>
    </row>
    <row r="42" spans="1:26" s="24" customFormat="1" hidden="1" outlineLevel="1" x14ac:dyDescent="0.3">
      <c r="A42" s="44"/>
      <c r="B42" s="11" t="str">
        <f>CONCATENATE("          ", "5081", " - ", "PURCHASES @ COST-ELECTRONICS")</f>
        <v xml:space="preserve">          5081 - PURCHASES @ COST-ELECTRONICS</v>
      </c>
      <c r="C42" s="11"/>
      <c r="D42" s="2"/>
      <c r="E42" s="2"/>
      <c r="F42" s="19">
        <f t="shared" si="6"/>
        <v>0</v>
      </c>
      <c r="G42" s="2"/>
      <c r="H42" s="2"/>
      <c r="I42" s="2"/>
      <c r="J42" s="19">
        <f t="shared" si="7"/>
        <v>0</v>
      </c>
      <c r="K42" s="2"/>
      <c r="L42" s="2">
        <f t="shared" si="8"/>
        <v>0</v>
      </c>
      <c r="M42" s="2"/>
      <c r="N42" s="19">
        <f t="shared" si="9"/>
        <v>0</v>
      </c>
      <c r="O42" s="11"/>
      <c r="P42" s="2">
        <v>0</v>
      </c>
      <c r="Q42" s="2"/>
      <c r="R42" s="19">
        <f t="shared" si="10"/>
        <v>0</v>
      </c>
      <c r="S42" s="2"/>
      <c r="T42" s="2"/>
      <c r="U42" s="2"/>
      <c r="V42" s="19">
        <f t="shared" si="11"/>
        <v>0</v>
      </c>
      <c r="W42" s="2"/>
      <c r="X42" s="2">
        <f t="shared" si="12"/>
        <v>0</v>
      </c>
      <c r="Y42" s="2"/>
      <c r="Z42" s="19">
        <f t="shared" si="13"/>
        <v>0</v>
      </c>
    </row>
    <row r="43" spans="1:26" s="24" customFormat="1" hidden="1" outlineLevel="1" x14ac:dyDescent="0.3">
      <c r="A43" s="44"/>
      <c r="B43" s="11" t="str">
        <f>CONCATENATE("          ", "5082", " - ", "PURCHASES @ COST-COMPUTER HARD")</f>
        <v xml:space="preserve">          5082 - PURCHASES @ COST-COMPUTER HARD</v>
      </c>
      <c r="C43" s="11"/>
      <c r="D43" s="2">
        <v>-3384.72</v>
      </c>
      <c r="E43" s="2"/>
      <c r="F43" s="19">
        <f t="shared" si="6"/>
        <v>-1.8738265643614819E-3</v>
      </c>
      <c r="G43" s="2"/>
      <c r="H43" s="2"/>
      <c r="I43" s="2"/>
      <c r="J43" s="19">
        <f t="shared" si="7"/>
        <v>0</v>
      </c>
      <c r="K43" s="2"/>
      <c r="L43" s="2">
        <f t="shared" si="8"/>
        <v>-3384.72</v>
      </c>
      <c r="M43" s="2"/>
      <c r="N43" s="19">
        <f t="shared" si="9"/>
        <v>0</v>
      </c>
      <c r="O43" s="11"/>
      <c r="P43" s="2">
        <v>-80709.45</v>
      </c>
      <c r="Q43" s="2"/>
      <c r="R43" s="19">
        <f t="shared" si="10"/>
        <v>-8.339813093316167E-3</v>
      </c>
      <c r="S43" s="2"/>
      <c r="T43" s="2"/>
      <c r="U43" s="2"/>
      <c r="V43" s="19">
        <f t="shared" si="11"/>
        <v>0</v>
      </c>
      <c r="W43" s="2"/>
      <c r="X43" s="2">
        <f t="shared" si="12"/>
        <v>-80709.45</v>
      </c>
      <c r="Y43" s="2"/>
      <c r="Z43" s="19">
        <f t="shared" si="13"/>
        <v>0</v>
      </c>
    </row>
    <row r="44" spans="1:26" s="24" customFormat="1" hidden="1" outlineLevel="1" x14ac:dyDescent="0.3">
      <c r="A44" s="44"/>
      <c r="B44" s="11" t="str">
        <f>CONCATENATE("          ", "5083", " - ", "PURCHASES @ COST-COMPUTER EQUI")</f>
        <v xml:space="preserve">          5083 - PURCHASES @ COST-COMPUTER EQUI</v>
      </c>
      <c r="C44" s="11"/>
      <c r="D44" s="2"/>
      <c r="E44" s="2"/>
      <c r="F44" s="19">
        <f t="shared" si="6"/>
        <v>0</v>
      </c>
      <c r="G44" s="2"/>
      <c r="H44" s="2"/>
      <c r="I44" s="2"/>
      <c r="J44" s="19">
        <f t="shared" si="7"/>
        <v>0</v>
      </c>
      <c r="K44" s="2"/>
      <c r="L44" s="2">
        <f t="shared" si="8"/>
        <v>0</v>
      </c>
      <c r="M44" s="2"/>
      <c r="N44" s="19">
        <f t="shared" si="9"/>
        <v>0</v>
      </c>
      <c r="O44" s="11"/>
      <c r="P44" s="2">
        <v>0</v>
      </c>
      <c r="Q44" s="2"/>
      <c r="R44" s="19">
        <f t="shared" si="10"/>
        <v>0</v>
      </c>
      <c r="S44" s="2"/>
      <c r="T44" s="2"/>
      <c r="U44" s="2"/>
      <c r="V44" s="19">
        <f t="shared" si="11"/>
        <v>0</v>
      </c>
      <c r="W44" s="2"/>
      <c r="X44" s="2">
        <f t="shared" si="12"/>
        <v>0</v>
      </c>
      <c r="Y44" s="2"/>
      <c r="Z44" s="19">
        <f t="shared" si="13"/>
        <v>0</v>
      </c>
    </row>
    <row r="45" spans="1:26" s="24" customFormat="1" hidden="1" outlineLevel="1" x14ac:dyDescent="0.3">
      <c r="A45" s="44"/>
      <c r="B45" s="11" t="str">
        <f>CONCATENATE("          ", "5085", " - ", "PURCHASES @ COST-SOFTWARE")</f>
        <v xml:space="preserve">          5085 - PURCHASES @ COST-SOFTWARE</v>
      </c>
      <c r="C45" s="11"/>
      <c r="D45" s="2"/>
      <c r="E45" s="2"/>
      <c r="F45" s="19">
        <f t="shared" si="6"/>
        <v>0</v>
      </c>
      <c r="G45" s="2"/>
      <c r="H45" s="2"/>
      <c r="I45" s="2"/>
      <c r="J45" s="19">
        <f t="shared" si="7"/>
        <v>0</v>
      </c>
      <c r="K45" s="2"/>
      <c r="L45" s="2">
        <f t="shared" si="8"/>
        <v>0</v>
      </c>
      <c r="M45" s="2"/>
      <c r="N45" s="19">
        <f t="shared" si="9"/>
        <v>0</v>
      </c>
      <c r="O45" s="11"/>
      <c r="P45" s="2">
        <v>0</v>
      </c>
      <c r="Q45" s="2"/>
      <c r="R45" s="19">
        <f t="shared" si="10"/>
        <v>0</v>
      </c>
      <c r="S45" s="2"/>
      <c r="T45" s="2"/>
      <c r="U45" s="2"/>
      <c r="V45" s="19">
        <f t="shared" si="11"/>
        <v>0</v>
      </c>
      <c r="W45" s="2"/>
      <c r="X45" s="2">
        <f t="shared" si="12"/>
        <v>0</v>
      </c>
      <c r="Y45" s="2"/>
      <c r="Z45" s="19">
        <f t="shared" si="13"/>
        <v>0</v>
      </c>
    </row>
    <row r="46" spans="1:26" s="24" customFormat="1" hidden="1" outlineLevel="1" x14ac:dyDescent="0.3">
      <c r="A46" s="44"/>
      <c r="B46" s="11" t="str">
        <f>CONCATENATE("          ", "5086", " - ", "PURCHASES @ COST-COMPUTER SUPP")</f>
        <v xml:space="preserve">          5086 - PURCHASES @ COST-COMPUTER SUPP</v>
      </c>
      <c r="C46" s="11"/>
      <c r="D46" s="2"/>
      <c r="E46" s="2"/>
      <c r="F46" s="19">
        <f t="shared" si="6"/>
        <v>0</v>
      </c>
      <c r="G46" s="2"/>
      <c r="H46" s="2"/>
      <c r="I46" s="2"/>
      <c r="J46" s="19">
        <f t="shared" si="7"/>
        <v>0</v>
      </c>
      <c r="K46" s="2"/>
      <c r="L46" s="2">
        <f t="shared" si="8"/>
        <v>0</v>
      </c>
      <c r="M46" s="2"/>
      <c r="N46" s="19">
        <f t="shared" si="9"/>
        <v>0</v>
      </c>
      <c r="O46" s="11"/>
      <c r="P46" s="2">
        <v>0</v>
      </c>
      <c r="Q46" s="2"/>
      <c r="R46" s="19">
        <f t="shared" si="10"/>
        <v>0</v>
      </c>
      <c r="S46" s="2"/>
      <c r="T46" s="2"/>
      <c r="U46" s="2"/>
      <c r="V46" s="19">
        <f t="shared" si="11"/>
        <v>0</v>
      </c>
      <c r="W46" s="2"/>
      <c r="X46" s="2">
        <f t="shared" si="12"/>
        <v>0</v>
      </c>
      <c r="Y46" s="2"/>
      <c r="Z46" s="19">
        <f t="shared" si="13"/>
        <v>0</v>
      </c>
    </row>
    <row r="47" spans="1:26" s="24" customFormat="1" hidden="1" outlineLevel="1" x14ac:dyDescent="0.3">
      <c r="A47" s="44"/>
      <c r="B47" s="11" t="str">
        <f>CONCATENATE("          ", "5200", " - ", "PURCHASES OFFSET")</f>
        <v xml:space="preserve">          5200 - PURCHASES OFFSET</v>
      </c>
      <c r="C47" s="11"/>
      <c r="D47" s="2">
        <v>427.46</v>
      </c>
      <c r="E47" s="2"/>
      <c r="F47" s="19">
        <f t="shared" si="6"/>
        <v>2.3664761138349969E-4</v>
      </c>
      <c r="G47" s="2"/>
      <c r="H47" s="2"/>
      <c r="I47" s="2"/>
      <c r="J47" s="19">
        <f t="shared" si="7"/>
        <v>0</v>
      </c>
      <c r="K47" s="2"/>
      <c r="L47" s="2">
        <f t="shared" si="8"/>
        <v>427.46</v>
      </c>
      <c r="M47" s="2"/>
      <c r="N47" s="19">
        <f t="shared" si="9"/>
        <v>0</v>
      </c>
      <c r="O47" s="11"/>
      <c r="P47" s="2">
        <v>-2798823.91</v>
      </c>
      <c r="Q47" s="2"/>
      <c r="R47" s="19">
        <f t="shared" si="10"/>
        <v>-0.28920613745359874</v>
      </c>
      <c r="S47" s="2"/>
      <c r="T47" s="2"/>
      <c r="U47" s="2"/>
      <c r="V47" s="19">
        <f t="shared" si="11"/>
        <v>0</v>
      </c>
      <c r="W47" s="2"/>
      <c r="X47" s="2">
        <f t="shared" si="12"/>
        <v>-2798823.91</v>
      </c>
      <c r="Y47" s="2"/>
      <c r="Z47" s="19">
        <f t="shared" si="13"/>
        <v>0</v>
      </c>
    </row>
    <row r="48" spans="1:26" s="24" customFormat="1" hidden="1" outlineLevel="1" x14ac:dyDescent="0.3">
      <c r="A48" s="44"/>
      <c r="B48" s="11" t="str">
        <f>CONCATENATE("          ", "5300", " - ", "COG$ OFFSET")</f>
        <v xml:space="preserve">          5300 - COG$ OFFSET</v>
      </c>
      <c r="C48" s="11"/>
      <c r="D48" s="2">
        <v>224057.66</v>
      </c>
      <c r="E48" s="2"/>
      <c r="F48" s="19">
        <f t="shared" si="6"/>
        <v>0.12404133732086349</v>
      </c>
      <c r="G48" s="2"/>
      <c r="H48" s="2"/>
      <c r="I48" s="2"/>
      <c r="J48" s="19">
        <f t="shared" si="7"/>
        <v>0</v>
      </c>
      <c r="K48" s="2"/>
      <c r="L48" s="2">
        <f t="shared" si="8"/>
        <v>224057.66</v>
      </c>
      <c r="M48" s="2"/>
      <c r="N48" s="19">
        <f t="shared" si="9"/>
        <v>0</v>
      </c>
      <c r="O48" s="11"/>
      <c r="P48" s="2">
        <v>2483449.54</v>
      </c>
      <c r="Q48" s="2"/>
      <c r="R48" s="19">
        <f t="shared" si="10"/>
        <v>0.25661809106965805</v>
      </c>
      <c r="S48" s="2"/>
      <c r="T48" s="2"/>
      <c r="U48" s="2"/>
      <c r="V48" s="19">
        <f t="shared" si="11"/>
        <v>0</v>
      </c>
      <c r="W48" s="2"/>
      <c r="X48" s="2">
        <f t="shared" si="12"/>
        <v>2483449.54</v>
      </c>
      <c r="Y48" s="2"/>
      <c r="Z48" s="19">
        <f t="shared" si="13"/>
        <v>0</v>
      </c>
    </row>
    <row r="49" spans="1:26" s="24" customFormat="1" hidden="1" outlineLevel="1" x14ac:dyDescent="0.3">
      <c r="A49" s="44"/>
      <c r="B49" s="11" t="str">
        <f>CONCATENATE("          ", "5500", " - ", "FREIGHT-IN")</f>
        <v xml:space="preserve">          5500 - FREIGHT-IN</v>
      </c>
      <c r="C49" s="11"/>
      <c r="D49" s="2">
        <v>11121.1</v>
      </c>
      <c r="E49" s="2"/>
      <c r="F49" s="19">
        <f t="shared" si="6"/>
        <v>6.1567906961049893E-3</v>
      </c>
      <c r="G49" s="2"/>
      <c r="H49" s="2"/>
      <c r="I49" s="2"/>
      <c r="J49" s="19">
        <f t="shared" si="7"/>
        <v>0</v>
      </c>
      <c r="K49" s="2"/>
      <c r="L49" s="2">
        <f t="shared" si="8"/>
        <v>11121.1</v>
      </c>
      <c r="M49" s="2"/>
      <c r="N49" s="19">
        <f t="shared" si="9"/>
        <v>0</v>
      </c>
      <c r="O49" s="11"/>
      <c r="P49" s="2">
        <v>60801.25</v>
      </c>
      <c r="Q49" s="2"/>
      <c r="R49" s="19">
        <f t="shared" si="10"/>
        <v>6.2826727333662865E-3</v>
      </c>
      <c r="S49" s="2"/>
      <c r="T49" s="2"/>
      <c r="U49" s="2"/>
      <c r="V49" s="19">
        <f t="shared" si="11"/>
        <v>0</v>
      </c>
      <c r="W49" s="2"/>
      <c r="X49" s="2">
        <f t="shared" si="12"/>
        <v>60801.25</v>
      </c>
      <c r="Y49" s="2"/>
      <c r="Z49" s="19">
        <f t="shared" si="13"/>
        <v>0</v>
      </c>
    </row>
    <row r="50" spans="1:26" s="24" customFormat="1" hidden="1" outlineLevel="1" x14ac:dyDescent="0.3">
      <c r="A50" s="44"/>
      <c r="B50" s="11" t="str">
        <f>CONCATENATE("          ", "5501", " - ", "FREIGHT-IN-NEW TEXT")</f>
        <v xml:space="preserve">          5501 - FREIGHT-IN-NEW TEXT</v>
      </c>
      <c r="C50" s="11"/>
      <c r="D50" s="2"/>
      <c r="E50" s="2"/>
      <c r="F50" s="19">
        <f t="shared" si="6"/>
        <v>0</v>
      </c>
      <c r="G50" s="2"/>
      <c r="H50" s="2"/>
      <c r="I50" s="2"/>
      <c r="J50" s="19">
        <f t="shared" si="7"/>
        <v>0</v>
      </c>
      <c r="K50" s="2"/>
      <c r="L50" s="2">
        <f t="shared" si="8"/>
        <v>0</v>
      </c>
      <c r="M50" s="2"/>
      <c r="N50" s="19">
        <f t="shared" si="9"/>
        <v>0</v>
      </c>
      <c r="O50" s="11"/>
      <c r="P50" s="2">
        <v>0</v>
      </c>
      <c r="Q50" s="2"/>
      <c r="R50" s="19">
        <f t="shared" si="10"/>
        <v>0</v>
      </c>
      <c r="S50" s="2"/>
      <c r="T50" s="2"/>
      <c r="U50" s="2"/>
      <c r="V50" s="19">
        <f t="shared" si="11"/>
        <v>0</v>
      </c>
      <c r="W50" s="2"/>
      <c r="X50" s="2">
        <f t="shared" si="12"/>
        <v>0</v>
      </c>
      <c r="Y50" s="2"/>
      <c r="Z50" s="19">
        <f t="shared" si="13"/>
        <v>0</v>
      </c>
    </row>
    <row r="51" spans="1:26" s="24" customFormat="1" hidden="1" outlineLevel="1" x14ac:dyDescent="0.3">
      <c r="A51" s="44"/>
      <c r="B51" s="11" t="str">
        <f>CONCATENATE("          ", "5502", " - ", "FREIGHT-IN-USED TEXT")</f>
        <v xml:space="preserve">          5502 - FREIGHT-IN-USED TEXT</v>
      </c>
      <c r="C51" s="11"/>
      <c r="D51" s="2"/>
      <c r="E51" s="2"/>
      <c r="F51" s="19">
        <f t="shared" si="6"/>
        <v>0</v>
      </c>
      <c r="G51" s="2"/>
      <c r="H51" s="2"/>
      <c r="I51" s="2"/>
      <c r="J51" s="19">
        <f t="shared" si="7"/>
        <v>0</v>
      </c>
      <c r="K51" s="2"/>
      <c r="L51" s="2">
        <f t="shared" si="8"/>
        <v>0</v>
      </c>
      <c r="M51" s="2"/>
      <c r="N51" s="19">
        <f t="shared" si="9"/>
        <v>0</v>
      </c>
      <c r="O51" s="11"/>
      <c r="P51" s="2">
        <v>0</v>
      </c>
      <c r="Q51" s="2"/>
      <c r="R51" s="19">
        <f t="shared" si="10"/>
        <v>0</v>
      </c>
      <c r="S51" s="2"/>
      <c r="T51" s="2"/>
      <c r="U51" s="2"/>
      <c r="V51" s="19">
        <f t="shared" si="11"/>
        <v>0</v>
      </c>
      <c r="W51" s="2"/>
      <c r="X51" s="2">
        <f t="shared" si="12"/>
        <v>0</v>
      </c>
      <c r="Y51" s="2"/>
      <c r="Z51" s="19">
        <f t="shared" si="13"/>
        <v>0</v>
      </c>
    </row>
    <row r="52" spans="1:26" s="24" customFormat="1" hidden="1" outlineLevel="1" x14ac:dyDescent="0.3">
      <c r="A52" s="44"/>
      <c r="B52" s="11" t="str">
        <f>CONCATENATE("          ", "5518", " - ", "FREIGHT-IN-STUDY GUIDES")</f>
        <v xml:space="preserve">          5518 - FREIGHT-IN-STUDY GUIDES</v>
      </c>
      <c r="C52" s="11"/>
      <c r="D52" s="2"/>
      <c r="E52" s="2"/>
      <c r="F52" s="19">
        <f t="shared" si="6"/>
        <v>0</v>
      </c>
      <c r="G52" s="2"/>
      <c r="H52" s="2"/>
      <c r="I52" s="2"/>
      <c r="J52" s="19">
        <f t="shared" si="7"/>
        <v>0</v>
      </c>
      <c r="K52" s="2"/>
      <c r="L52" s="2">
        <f t="shared" si="8"/>
        <v>0</v>
      </c>
      <c r="M52" s="2"/>
      <c r="N52" s="19">
        <f t="shared" si="9"/>
        <v>0</v>
      </c>
      <c r="O52" s="11"/>
      <c r="P52" s="2">
        <v>0</v>
      </c>
      <c r="Q52" s="2"/>
      <c r="R52" s="19">
        <f t="shared" si="10"/>
        <v>0</v>
      </c>
      <c r="S52" s="2"/>
      <c r="T52" s="2"/>
      <c r="U52" s="2"/>
      <c r="V52" s="19">
        <f t="shared" si="11"/>
        <v>0</v>
      </c>
      <c r="W52" s="2"/>
      <c r="X52" s="2">
        <f t="shared" si="12"/>
        <v>0</v>
      </c>
      <c r="Y52" s="2"/>
      <c r="Z52" s="19">
        <f t="shared" si="13"/>
        <v>0</v>
      </c>
    </row>
    <row r="53" spans="1:26" s="24" customFormat="1" hidden="1" outlineLevel="1" x14ac:dyDescent="0.3">
      <c r="A53" s="44"/>
      <c r="B53" s="11" t="str">
        <f>CONCATENATE("          ", "5527", " - ", "FREIGHT-IN-SCHOOL SUPPLIES")</f>
        <v xml:space="preserve">          5527 - FREIGHT-IN-SCHOOL SUPPLIES</v>
      </c>
      <c r="C53" s="11"/>
      <c r="D53" s="2"/>
      <c r="E53" s="2"/>
      <c r="F53" s="19">
        <f t="shared" si="6"/>
        <v>0</v>
      </c>
      <c r="G53" s="2"/>
      <c r="H53" s="2"/>
      <c r="I53" s="2"/>
      <c r="J53" s="19">
        <f t="shared" si="7"/>
        <v>0</v>
      </c>
      <c r="K53" s="2"/>
      <c r="L53" s="2">
        <f t="shared" si="8"/>
        <v>0</v>
      </c>
      <c r="M53" s="2"/>
      <c r="N53" s="19">
        <f t="shared" si="9"/>
        <v>0</v>
      </c>
      <c r="O53" s="11"/>
      <c r="P53" s="2">
        <v>0</v>
      </c>
      <c r="Q53" s="2"/>
      <c r="R53" s="19">
        <f t="shared" si="10"/>
        <v>0</v>
      </c>
      <c r="S53" s="2"/>
      <c r="T53" s="2"/>
      <c r="U53" s="2"/>
      <c r="V53" s="19">
        <f t="shared" si="11"/>
        <v>0</v>
      </c>
      <c r="W53" s="2"/>
      <c r="X53" s="2">
        <f t="shared" si="12"/>
        <v>0</v>
      </c>
      <c r="Y53" s="2"/>
      <c r="Z53" s="19">
        <f t="shared" si="13"/>
        <v>0</v>
      </c>
    </row>
    <row r="54" spans="1:26" s="24" customFormat="1" hidden="1" outlineLevel="1" x14ac:dyDescent="0.3">
      <c r="A54" s="44"/>
      <c r="B54" s="11" t="str">
        <f>CONCATENATE("          ", "5528", " - ", "FREIGHT-IN-ART/TECH")</f>
        <v xml:space="preserve">          5528 - FREIGHT-IN-ART/TECH</v>
      </c>
      <c r="C54" s="11"/>
      <c r="D54" s="2"/>
      <c r="E54" s="2"/>
      <c r="F54" s="19">
        <f t="shared" si="6"/>
        <v>0</v>
      </c>
      <c r="G54" s="2"/>
      <c r="H54" s="2"/>
      <c r="I54" s="2"/>
      <c r="J54" s="19">
        <f t="shared" si="7"/>
        <v>0</v>
      </c>
      <c r="K54" s="2"/>
      <c r="L54" s="2">
        <f t="shared" si="8"/>
        <v>0</v>
      </c>
      <c r="M54" s="2"/>
      <c r="N54" s="19">
        <f t="shared" si="9"/>
        <v>0</v>
      </c>
      <c r="O54" s="11"/>
      <c r="P54" s="2">
        <v>0</v>
      </c>
      <c r="Q54" s="2"/>
      <c r="R54" s="19">
        <f t="shared" si="10"/>
        <v>0</v>
      </c>
      <c r="S54" s="2"/>
      <c r="T54" s="2"/>
      <c r="U54" s="2"/>
      <c r="V54" s="19">
        <f t="shared" si="11"/>
        <v>0</v>
      </c>
      <c r="W54" s="2"/>
      <c r="X54" s="2">
        <f t="shared" si="12"/>
        <v>0</v>
      </c>
      <c r="Y54" s="2"/>
      <c r="Z54" s="19">
        <f t="shared" si="13"/>
        <v>0</v>
      </c>
    </row>
    <row r="55" spans="1:26" s="24" customFormat="1" hidden="1" outlineLevel="1" x14ac:dyDescent="0.3">
      <c r="A55" s="44"/>
      <c r="B55" s="11" t="str">
        <f>CONCATENATE("          ", "5540", " - ", "FREIGHT-IN-LOGO CLOTHING")</f>
        <v xml:space="preserve">          5540 - FREIGHT-IN-LOGO CLOTHING</v>
      </c>
      <c r="C55" s="11"/>
      <c r="D55" s="2"/>
      <c r="E55" s="2"/>
      <c r="F55" s="19">
        <f t="shared" si="6"/>
        <v>0</v>
      </c>
      <c r="G55" s="2"/>
      <c r="H55" s="2"/>
      <c r="I55" s="2"/>
      <c r="J55" s="19">
        <f t="shared" si="7"/>
        <v>0</v>
      </c>
      <c r="K55" s="2"/>
      <c r="L55" s="2">
        <f t="shared" si="8"/>
        <v>0</v>
      </c>
      <c r="M55" s="2"/>
      <c r="N55" s="19">
        <f t="shared" si="9"/>
        <v>0</v>
      </c>
      <c r="O55" s="11"/>
      <c r="P55" s="2">
        <v>0</v>
      </c>
      <c r="Q55" s="2"/>
      <c r="R55" s="19">
        <f t="shared" si="10"/>
        <v>0</v>
      </c>
      <c r="S55" s="2"/>
      <c r="T55" s="2"/>
      <c r="U55" s="2"/>
      <c r="V55" s="19">
        <f t="shared" si="11"/>
        <v>0</v>
      </c>
      <c r="W55" s="2"/>
      <c r="X55" s="2">
        <f t="shared" si="12"/>
        <v>0</v>
      </c>
      <c r="Y55" s="2"/>
      <c r="Z55" s="19">
        <f t="shared" si="13"/>
        <v>0</v>
      </c>
    </row>
    <row r="56" spans="1:26" s="24" customFormat="1" hidden="1" outlineLevel="1" x14ac:dyDescent="0.3">
      <c r="A56" s="44"/>
      <c r="B56" s="11" t="str">
        <f>CONCATENATE("          ", "5541", " - ", "FREIGHT-IN-LOGO GIFTS")</f>
        <v xml:space="preserve">          5541 - FREIGHT-IN-LOGO GIFTS</v>
      </c>
      <c r="C56" s="11"/>
      <c r="D56" s="2"/>
      <c r="E56" s="2"/>
      <c r="F56" s="19">
        <f t="shared" si="6"/>
        <v>0</v>
      </c>
      <c r="G56" s="2"/>
      <c r="H56" s="2"/>
      <c r="I56" s="2"/>
      <c r="J56" s="19">
        <f t="shared" si="7"/>
        <v>0</v>
      </c>
      <c r="K56" s="2"/>
      <c r="L56" s="2">
        <f t="shared" si="8"/>
        <v>0</v>
      </c>
      <c r="M56" s="2"/>
      <c r="N56" s="19">
        <f t="shared" si="9"/>
        <v>0</v>
      </c>
      <c r="O56" s="11"/>
      <c r="P56" s="2">
        <v>0</v>
      </c>
      <c r="Q56" s="2"/>
      <c r="R56" s="19">
        <f t="shared" si="10"/>
        <v>0</v>
      </c>
      <c r="S56" s="2"/>
      <c r="T56" s="2"/>
      <c r="U56" s="2"/>
      <c r="V56" s="19">
        <f t="shared" si="11"/>
        <v>0</v>
      </c>
      <c r="W56" s="2"/>
      <c r="X56" s="2">
        <f t="shared" si="12"/>
        <v>0</v>
      </c>
      <c r="Y56" s="2"/>
      <c r="Z56" s="19">
        <f t="shared" si="13"/>
        <v>0</v>
      </c>
    </row>
    <row r="57" spans="1:26" s="24" customFormat="1" hidden="1" outlineLevel="1" x14ac:dyDescent="0.3">
      <c r="A57" s="44"/>
      <c r="B57" s="11" t="str">
        <f>CONCATENATE("          ", "5542", " - ", "FREIGHT-IN-EVERYDAY GIFTS")</f>
        <v xml:space="preserve">          5542 - FREIGHT-IN-EVERYDAY GIFTS</v>
      </c>
      <c r="C57" s="11"/>
      <c r="D57" s="2"/>
      <c r="E57" s="2"/>
      <c r="F57" s="19">
        <f t="shared" si="6"/>
        <v>0</v>
      </c>
      <c r="G57" s="2"/>
      <c r="H57" s="2"/>
      <c r="I57" s="2"/>
      <c r="J57" s="19">
        <f t="shared" si="7"/>
        <v>0</v>
      </c>
      <c r="K57" s="2"/>
      <c r="L57" s="2">
        <f t="shared" si="8"/>
        <v>0</v>
      </c>
      <c r="M57" s="2"/>
      <c r="N57" s="19">
        <f t="shared" si="9"/>
        <v>0</v>
      </c>
      <c r="O57" s="11"/>
      <c r="P57" s="2">
        <v>0</v>
      </c>
      <c r="Q57" s="2"/>
      <c r="R57" s="19">
        <f t="shared" si="10"/>
        <v>0</v>
      </c>
      <c r="S57" s="2"/>
      <c r="T57" s="2"/>
      <c r="U57" s="2"/>
      <c r="V57" s="19">
        <f t="shared" si="11"/>
        <v>0</v>
      </c>
      <c r="W57" s="2"/>
      <c r="X57" s="2">
        <f t="shared" si="12"/>
        <v>0</v>
      </c>
      <c r="Y57" s="2"/>
      <c r="Z57" s="19">
        <f t="shared" si="13"/>
        <v>0</v>
      </c>
    </row>
    <row r="58" spans="1:26" s="24" customFormat="1" hidden="1" outlineLevel="1" x14ac:dyDescent="0.3">
      <c r="A58" s="44"/>
      <c r="B58" s="11" t="str">
        <f>CONCATENATE("          ", "5544", " - ", "FREIGHT-IN-ACCESSORIES")</f>
        <v xml:space="preserve">          5544 - FREIGHT-IN-ACCESSORIES</v>
      </c>
      <c r="C58" s="11"/>
      <c r="D58" s="2"/>
      <c r="E58" s="2"/>
      <c r="F58" s="19">
        <f t="shared" si="6"/>
        <v>0</v>
      </c>
      <c r="G58" s="2"/>
      <c r="H58" s="2"/>
      <c r="I58" s="2"/>
      <c r="J58" s="19">
        <f t="shared" si="7"/>
        <v>0</v>
      </c>
      <c r="K58" s="2"/>
      <c r="L58" s="2">
        <f t="shared" si="8"/>
        <v>0</v>
      </c>
      <c r="M58" s="2"/>
      <c r="N58" s="19">
        <f t="shared" si="9"/>
        <v>0</v>
      </c>
      <c r="O58" s="11"/>
      <c r="P58" s="2">
        <v>0</v>
      </c>
      <c r="Q58" s="2"/>
      <c r="R58" s="19">
        <f t="shared" si="10"/>
        <v>0</v>
      </c>
      <c r="S58" s="2"/>
      <c r="T58" s="2"/>
      <c r="U58" s="2"/>
      <c r="V58" s="19">
        <f t="shared" si="11"/>
        <v>0</v>
      </c>
      <c r="W58" s="2"/>
      <c r="X58" s="2">
        <f t="shared" si="12"/>
        <v>0</v>
      </c>
      <c r="Y58" s="2"/>
      <c r="Z58" s="19">
        <f t="shared" si="13"/>
        <v>0</v>
      </c>
    </row>
    <row r="59" spans="1:26" s="24" customFormat="1" hidden="1" outlineLevel="1" x14ac:dyDescent="0.3">
      <c r="A59" s="44"/>
      <c r="B59" s="11" t="str">
        <f>CONCATENATE("          ", "5545", " - ", "FREIGHT-IN-SPECIAL ORDERS")</f>
        <v xml:space="preserve">          5545 - FREIGHT-IN-SPECIAL ORDERS</v>
      </c>
      <c r="C59" s="11"/>
      <c r="D59" s="2"/>
      <c r="E59" s="2"/>
      <c r="F59" s="19">
        <f t="shared" si="6"/>
        <v>0</v>
      </c>
      <c r="G59" s="2"/>
      <c r="H59" s="2"/>
      <c r="I59" s="2"/>
      <c r="J59" s="19">
        <f t="shared" si="7"/>
        <v>0</v>
      </c>
      <c r="K59" s="2"/>
      <c r="L59" s="2">
        <f t="shared" si="8"/>
        <v>0</v>
      </c>
      <c r="M59" s="2"/>
      <c r="N59" s="19">
        <f t="shared" si="9"/>
        <v>0</v>
      </c>
      <c r="O59" s="11"/>
      <c r="P59" s="2">
        <v>0</v>
      </c>
      <c r="Q59" s="2"/>
      <c r="R59" s="19">
        <f t="shared" si="10"/>
        <v>0</v>
      </c>
      <c r="S59" s="2"/>
      <c r="T59" s="2"/>
      <c r="U59" s="2"/>
      <c r="V59" s="19">
        <f t="shared" si="11"/>
        <v>0</v>
      </c>
      <c r="W59" s="2"/>
      <c r="X59" s="2">
        <f t="shared" si="12"/>
        <v>0</v>
      </c>
      <c r="Y59" s="2"/>
      <c r="Z59" s="19">
        <f t="shared" si="13"/>
        <v>0</v>
      </c>
    </row>
    <row r="60" spans="1:26" s="24" customFormat="1" hidden="1" outlineLevel="1" x14ac:dyDescent="0.3">
      <c r="A60" s="44"/>
      <c r="B60" s="11" t="str">
        <f>CONCATENATE("          ", "5583", " - ", "FREIGHT-IN-COMPUTER EQUIPMENT")</f>
        <v xml:space="preserve">          5583 - FREIGHT-IN-COMPUTER EQUIPMENT</v>
      </c>
      <c r="C60" s="11"/>
      <c r="D60" s="2"/>
      <c r="E60" s="2"/>
      <c r="F60" s="19">
        <f t="shared" si="6"/>
        <v>0</v>
      </c>
      <c r="G60" s="2"/>
      <c r="H60" s="2"/>
      <c r="I60" s="2"/>
      <c r="J60" s="19">
        <f t="shared" si="7"/>
        <v>0</v>
      </c>
      <c r="K60" s="2"/>
      <c r="L60" s="2">
        <f t="shared" si="8"/>
        <v>0</v>
      </c>
      <c r="M60" s="2"/>
      <c r="N60" s="19">
        <f t="shared" si="9"/>
        <v>0</v>
      </c>
      <c r="O60" s="11"/>
      <c r="P60" s="2">
        <v>0</v>
      </c>
      <c r="Q60" s="2"/>
      <c r="R60" s="19">
        <f t="shared" si="10"/>
        <v>0</v>
      </c>
      <c r="S60" s="2"/>
      <c r="T60" s="2"/>
      <c r="U60" s="2"/>
      <c r="V60" s="19">
        <f t="shared" si="11"/>
        <v>0</v>
      </c>
      <c r="W60" s="2"/>
      <c r="X60" s="2">
        <f t="shared" si="12"/>
        <v>0</v>
      </c>
      <c r="Y60" s="2"/>
      <c r="Z60" s="19">
        <f t="shared" si="13"/>
        <v>0</v>
      </c>
    </row>
    <row r="61" spans="1:26" x14ac:dyDescent="0.3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3">
      <c r="A62" s="10"/>
      <c r="B62" s="26" t="s">
        <v>108</v>
      </c>
      <c r="C62" s="26"/>
      <c r="D62" s="20">
        <f>D12-D25</f>
        <v>1244762.42</v>
      </c>
      <c r="E62" s="13"/>
      <c r="F62" s="22">
        <f>IF(D$12=0,0,D62/D$12)</f>
        <v>0.68911723537394054</v>
      </c>
      <c r="G62" s="13"/>
      <c r="H62" s="20">
        <f>H12-H25</f>
        <v>839084</v>
      </c>
      <c r="I62" s="13"/>
      <c r="J62" s="22">
        <f>IF(H$12=0,0,H62/H$12)</f>
        <v>0.62893626717596163</v>
      </c>
      <c r="K62" s="15"/>
      <c r="L62" s="20">
        <f>+D62-H62</f>
        <v>405678.41999999993</v>
      </c>
      <c r="M62" s="15"/>
      <c r="N62" s="22">
        <f>IF(H62=0,0,L62/H62)</f>
        <v>0.48347772094331426</v>
      </c>
      <c r="O62" s="25"/>
      <c r="P62" s="20">
        <f>P12-P25</f>
        <v>5512875.6500000004</v>
      </c>
      <c r="Q62" s="13"/>
      <c r="R62" s="22">
        <f>IF(P$12=0,0,P62/P$12)</f>
        <v>0.5696526556393815</v>
      </c>
      <c r="S62" s="13"/>
      <c r="T62" s="20">
        <f>T12-T25</f>
        <v>5039159</v>
      </c>
      <c r="U62" s="13"/>
      <c r="V62" s="22">
        <f>IF(T$12=0,0,T62/T$12)</f>
        <v>0.49557083405411256</v>
      </c>
      <c r="W62" s="15"/>
      <c r="X62" s="20">
        <f>+P62-T62</f>
        <v>473716.65000000037</v>
      </c>
      <c r="Y62" s="15"/>
      <c r="Z62" s="22">
        <f>IF(T62=0,0,X62/T62)</f>
        <v>9.4007085309274901E-2</v>
      </c>
    </row>
    <row r="63" spans="1:26" x14ac:dyDescent="0.3">
      <c r="A63" s="9"/>
      <c r="B63" s="10"/>
      <c r="C63" s="9"/>
      <c r="D63" s="1"/>
      <c r="E63" s="1"/>
      <c r="F63" s="5"/>
      <c r="G63" s="1"/>
      <c r="H63" s="1"/>
      <c r="I63" s="1"/>
      <c r="J63" s="5"/>
      <c r="K63" s="1"/>
      <c r="L63" s="1"/>
      <c r="M63" s="1"/>
      <c r="N63" s="5"/>
      <c r="O63" s="36"/>
      <c r="P63" s="1"/>
      <c r="Q63" s="1"/>
      <c r="R63" s="5"/>
      <c r="S63" s="1"/>
      <c r="T63" s="1"/>
      <c r="U63" s="1"/>
      <c r="V63" s="5"/>
      <c r="W63" s="1"/>
      <c r="X63" s="1"/>
      <c r="Y63" s="1"/>
      <c r="Z63" s="5"/>
    </row>
    <row r="64" spans="1:26" s="23" customFormat="1" x14ac:dyDescent="0.3">
      <c r="A64" s="10"/>
      <c r="B64" s="25" t="s">
        <v>295</v>
      </c>
      <c r="C64" s="10"/>
      <c r="D64" s="21">
        <f>SUM(OSRRefD22x_0)</f>
        <v>959248.34999999951</v>
      </c>
      <c r="E64" s="21"/>
      <c r="F64" s="30">
        <f t="shared" ref="F64:F75" si="14">IF(D$12=0,0,D64/D$12)</f>
        <v>0.53105280201905014</v>
      </c>
      <c r="G64" s="21"/>
      <c r="H64" s="21">
        <f>SUM(OSRRefH22x_0)</f>
        <v>1034157.3372979946</v>
      </c>
      <c r="I64" s="21"/>
      <c r="J64" s="30">
        <f t="shared" ref="J64:J75" si="15">IF(H$12=0,0,H64/H$12)</f>
        <v>0.7751536859156325</v>
      </c>
      <c r="K64" s="4"/>
      <c r="L64" s="21">
        <f t="shared" ref="L64:L75" si="16">+D64-H64</f>
        <v>-74908.987297995132</v>
      </c>
      <c r="M64" s="4"/>
      <c r="N64" s="30">
        <f t="shared" ref="N64:N75" si="17">IF(H64=0,0,L64/H64)</f>
        <v>-7.2434807157791256E-2</v>
      </c>
      <c r="O64" s="10"/>
      <c r="P64" s="21">
        <f>SUM(OSRRefP22x_0)</f>
        <v>5139499.3500000015</v>
      </c>
      <c r="Q64" s="21"/>
      <c r="R64" s="30">
        <f t="shared" ref="R64:R75" si="18">IF(P$12=0,0,P64/P$12)</f>
        <v>0.53107119392115731</v>
      </c>
      <c r="S64" s="21"/>
      <c r="T64" s="21">
        <f>SUM(OSRRefT22x_0)</f>
        <v>5645499.8826440219</v>
      </c>
      <c r="U64" s="21"/>
      <c r="V64" s="30">
        <f t="shared" ref="V64:V75" si="19">IF(T$12=0,0,T64/T$12)</f>
        <v>0.55520079550859436</v>
      </c>
      <c r="W64" s="4"/>
      <c r="X64" s="21">
        <f t="shared" ref="X64:X75" si="20">+P64-T64</f>
        <v>-506000.53264402039</v>
      </c>
      <c r="Y64" s="4"/>
      <c r="Z64" s="30">
        <f t="shared" ref="Z64:Z75" si="21">IF(T64=0,0,X64/T64)</f>
        <v>-8.9629004191394884E-2</v>
      </c>
    </row>
    <row r="65" spans="1:26" s="29" customFormat="1" outlineLevel="1" collapsed="1" x14ac:dyDescent="0.3">
      <c r="A65" s="28"/>
      <c r="B65" s="14" t="str">
        <f>CONCATENATE("     ","*Benefits                                         ")</f>
        <v xml:space="preserve">     *Benefits                                         </v>
      </c>
      <c r="C65" s="14"/>
      <c r="D65" s="1">
        <f>SUM(OSRRefD22_0x_0)</f>
        <v>175467.33</v>
      </c>
      <c r="E65" s="1"/>
      <c r="F65" s="5">
        <f t="shared" si="14"/>
        <v>9.7141076405605903E-2</v>
      </c>
      <c r="G65" s="1"/>
      <c r="H65" s="1">
        <f>SUM(OSRRefH22_0x_0)</f>
        <v>184416.08599735648</v>
      </c>
      <c r="I65" s="1"/>
      <c r="J65" s="5">
        <f t="shared" si="15"/>
        <v>0.13822926516818163</v>
      </c>
      <c r="K65" s="1"/>
      <c r="L65" s="1">
        <f t="shared" si="16"/>
        <v>-8948.755997356493</v>
      </c>
      <c r="M65" s="1"/>
      <c r="N65" s="5">
        <f t="shared" si="17"/>
        <v>-4.8524812512747775E-2</v>
      </c>
      <c r="O65" s="14"/>
      <c r="P65" s="1">
        <f>SUM(OSRRefP22_0x_0)</f>
        <v>860353.92</v>
      </c>
      <c r="Q65" s="1"/>
      <c r="R65" s="5">
        <f t="shared" si="18"/>
        <v>8.8901496502601512E-2</v>
      </c>
      <c r="S65" s="1"/>
      <c r="T65" s="1">
        <f>SUM(OSRRefT22_0x_0)</f>
        <v>1010738.1365420489</v>
      </c>
      <c r="U65" s="1"/>
      <c r="V65" s="5">
        <f t="shared" si="19"/>
        <v>9.9399987445612001E-2</v>
      </c>
      <c r="W65" s="1"/>
      <c r="X65" s="1">
        <f t="shared" si="20"/>
        <v>-150384.21654204885</v>
      </c>
      <c r="Y65" s="1"/>
      <c r="Z65" s="5">
        <f t="shared" si="21"/>
        <v>-0.14878652650482288</v>
      </c>
    </row>
    <row r="66" spans="1:26" s="24" customFormat="1" hidden="1" outlineLevel="2" x14ac:dyDescent="0.3">
      <c r="A66" s="27"/>
      <c r="B66" s="11" t="str">
        <f>CONCATENATE("          ", "6111", " - ", "F.I.C.A.")</f>
        <v xml:space="preserve">          6111 - F.I.C.A.</v>
      </c>
      <c r="C66" s="11"/>
      <c r="D66" s="6">
        <v>26684.97</v>
      </c>
      <c r="E66" s="2"/>
      <c r="F66" s="7">
        <f t="shared" si="14"/>
        <v>1.4773158682310271E-2</v>
      </c>
      <c r="G66" s="2"/>
      <c r="H66" s="6">
        <v>25014.374207385001</v>
      </c>
      <c r="I66" s="2"/>
      <c r="J66" s="7">
        <f t="shared" si="15"/>
        <v>1.8749549675283257E-2</v>
      </c>
      <c r="K66" s="2"/>
      <c r="L66" s="6">
        <f t="shared" si="16"/>
        <v>1670.5957926150004</v>
      </c>
      <c r="M66" s="2"/>
      <c r="N66" s="7">
        <f t="shared" si="17"/>
        <v>6.6785432198491299E-2</v>
      </c>
      <c r="O66" s="11"/>
      <c r="P66" s="6">
        <v>142149.66</v>
      </c>
      <c r="Q66" s="2"/>
      <c r="R66" s="7">
        <f t="shared" si="18"/>
        <v>1.4688510399692248E-2</v>
      </c>
      <c r="S66" s="2"/>
      <c r="T66" s="6">
        <v>147176.34989424399</v>
      </c>
      <c r="U66" s="2"/>
      <c r="V66" s="7">
        <f t="shared" si="19"/>
        <v>1.4473904568228627E-2</v>
      </c>
      <c r="W66" s="2"/>
      <c r="X66" s="6">
        <f t="shared" si="20"/>
        <v>-5026.6898942439875</v>
      </c>
      <c r="Y66" s="2"/>
      <c r="Z66" s="7">
        <f t="shared" si="21"/>
        <v>-3.4154195955097395E-2</v>
      </c>
    </row>
    <row r="67" spans="1:26" s="24" customFormat="1" hidden="1" outlineLevel="2" x14ac:dyDescent="0.3">
      <c r="A67" s="27"/>
      <c r="B67" s="11" t="str">
        <f>CONCATENATE("          ", "6112", " - ", "COMPENSATION INSURANCE")</f>
        <v xml:space="preserve">          6112 - COMPENSATION INSURANCE</v>
      </c>
      <c r="C67" s="11"/>
      <c r="D67" s="6">
        <v>13414.4</v>
      </c>
      <c r="E67" s="2"/>
      <c r="F67" s="7">
        <f t="shared" si="14"/>
        <v>7.4263924534291358E-3</v>
      </c>
      <c r="G67" s="2"/>
      <c r="H67" s="6">
        <v>15928.305613713799</v>
      </c>
      <c r="I67" s="2"/>
      <c r="J67" s="7">
        <f t="shared" si="15"/>
        <v>1.1939077702741408E-2</v>
      </c>
      <c r="K67" s="2"/>
      <c r="L67" s="6">
        <f t="shared" si="16"/>
        <v>-2513.9056137137995</v>
      </c>
      <c r="M67" s="2"/>
      <c r="N67" s="7">
        <f t="shared" si="17"/>
        <v>-0.15782630461016528</v>
      </c>
      <c r="O67" s="11"/>
      <c r="P67" s="6">
        <v>61278.86</v>
      </c>
      <c r="Q67" s="2"/>
      <c r="R67" s="7">
        <f t="shared" si="18"/>
        <v>6.3320247997166179E-3</v>
      </c>
      <c r="S67" s="2"/>
      <c r="T67" s="6">
        <v>82224.035541046207</v>
      </c>
      <c r="U67" s="2"/>
      <c r="V67" s="7">
        <f t="shared" si="19"/>
        <v>8.0862369836655814E-3</v>
      </c>
      <c r="W67" s="2"/>
      <c r="X67" s="6">
        <f t="shared" si="20"/>
        <v>-20945.175541046206</v>
      </c>
      <c r="Y67" s="2"/>
      <c r="Z67" s="7">
        <f t="shared" si="21"/>
        <v>-0.25473300359467743</v>
      </c>
    </row>
    <row r="68" spans="1:26" s="24" customFormat="1" hidden="1" outlineLevel="2" x14ac:dyDescent="0.3">
      <c r="A68" s="27"/>
      <c r="B68" s="11" t="str">
        <f>CONCATENATE("          ", "6113", " - ", "GROUP INSURANCE")</f>
        <v xml:space="preserve">          6113 - GROUP INSURANCE</v>
      </c>
      <c r="C68" s="11"/>
      <c r="D68" s="6">
        <v>77438.84</v>
      </c>
      <c r="E68" s="2"/>
      <c r="F68" s="7">
        <f t="shared" si="14"/>
        <v>4.2871184471784521E-2</v>
      </c>
      <c r="G68" s="2"/>
      <c r="H68" s="6">
        <v>93102.996153846194</v>
      </c>
      <c r="I68" s="2"/>
      <c r="J68" s="7">
        <f t="shared" si="15"/>
        <v>6.978544563345021E-2</v>
      </c>
      <c r="K68" s="2"/>
      <c r="L68" s="6">
        <f t="shared" si="16"/>
        <v>-15664.156153846197</v>
      </c>
      <c r="M68" s="2"/>
      <c r="N68" s="7">
        <f t="shared" si="17"/>
        <v>-0.16824545719197129</v>
      </c>
      <c r="O68" s="11"/>
      <c r="P68" s="6">
        <v>375481.73</v>
      </c>
      <c r="Q68" s="2"/>
      <c r="R68" s="7">
        <f t="shared" si="18"/>
        <v>3.8799018555509997E-2</v>
      </c>
      <c r="S68" s="2"/>
      <c r="T68" s="6">
        <v>506555.92692307697</v>
      </c>
      <c r="U68" s="2"/>
      <c r="V68" s="7">
        <f t="shared" si="19"/>
        <v>4.9816714098587359E-2</v>
      </c>
      <c r="W68" s="2"/>
      <c r="X68" s="6">
        <f t="shared" si="20"/>
        <v>-131074.19692307699</v>
      </c>
      <c r="Y68" s="2"/>
      <c r="Z68" s="7">
        <f t="shared" si="21"/>
        <v>-0.25875562787163137</v>
      </c>
    </row>
    <row r="69" spans="1:26" s="24" customFormat="1" hidden="1" outlineLevel="2" x14ac:dyDescent="0.3">
      <c r="A69" s="27"/>
      <c r="B69" s="11" t="str">
        <f>CONCATENATE("          ", "6114", " - ", "STATE UNEMPLOYMENT INSURANCE")</f>
        <v xml:space="preserve">          6114 - STATE UNEMPLOYMENT INSURANCE</v>
      </c>
      <c r="C69" s="11"/>
      <c r="D69" s="6">
        <v>1296.1199999999999</v>
      </c>
      <c r="E69" s="2"/>
      <c r="F69" s="7">
        <f t="shared" si="14"/>
        <v>7.1754948314785392E-4</v>
      </c>
      <c r="G69" s="2"/>
      <c r="H69" s="6">
        <v>1092.34619445</v>
      </c>
      <c r="I69" s="2"/>
      <c r="J69" s="7">
        <f t="shared" si="15"/>
        <v>8.1876920308485211E-4</v>
      </c>
      <c r="K69" s="2"/>
      <c r="L69" s="6">
        <f t="shared" si="16"/>
        <v>203.77380554999991</v>
      </c>
      <c r="M69" s="2"/>
      <c r="N69" s="7">
        <f t="shared" si="17"/>
        <v>0.18654690846668873</v>
      </c>
      <c r="O69" s="11"/>
      <c r="P69" s="6">
        <v>6180.05</v>
      </c>
      <c r="Q69" s="2"/>
      <c r="R69" s="7">
        <f t="shared" si="18"/>
        <v>6.3859265435892057E-4</v>
      </c>
      <c r="S69" s="2"/>
      <c r="T69" s="6">
        <v>5885.9743745088499</v>
      </c>
      <c r="U69" s="2"/>
      <c r="V69" s="7">
        <f t="shared" si="19"/>
        <v>5.7885000850270538E-4</v>
      </c>
      <c r="W69" s="2"/>
      <c r="X69" s="6">
        <f t="shared" si="20"/>
        <v>294.07562549115028</v>
      </c>
      <c r="Y69" s="2"/>
      <c r="Z69" s="7">
        <f t="shared" si="21"/>
        <v>4.9962097484613867E-2</v>
      </c>
    </row>
    <row r="70" spans="1:26" s="24" customFormat="1" hidden="1" outlineLevel="2" x14ac:dyDescent="0.3">
      <c r="A70" s="27"/>
      <c r="B70" s="11" t="str">
        <f>CONCATENATE("          ", "6115", " - ", "P.E.R.S.")</f>
        <v xml:space="preserve">          6115 - P.E.R.S.</v>
      </c>
      <c r="C70" s="11"/>
      <c r="D70" s="6">
        <v>16626.18</v>
      </c>
      <c r="E70" s="2"/>
      <c r="F70" s="7">
        <f t="shared" si="14"/>
        <v>9.2044771053013501E-3</v>
      </c>
      <c r="G70" s="2"/>
      <c r="H70" s="6">
        <v>11573.4108958</v>
      </c>
      <c r="I70" s="2"/>
      <c r="J70" s="7">
        <f t="shared" si="15"/>
        <v>8.6748619295541965E-3</v>
      </c>
      <c r="K70" s="2"/>
      <c r="L70" s="6">
        <f t="shared" si="16"/>
        <v>5052.7691042000006</v>
      </c>
      <c r="M70" s="2"/>
      <c r="N70" s="7">
        <f t="shared" si="17"/>
        <v>0.43658426627137681</v>
      </c>
      <c r="O70" s="11"/>
      <c r="P70" s="6">
        <v>79408.73</v>
      </c>
      <c r="Q70" s="2"/>
      <c r="R70" s="7">
        <f t="shared" si="18"/>
        <v>8.2054079934581192E-3</v>
      </c>
      <c r="S70" s="2"/>
      <c r="T70" s="6">
        <v>65471.353388438503</v>
      </c>
      <c r="U70" s="2"/>
      <c r="V70" s="7">
        <f t="shared" si="19"/>
        <v>6.4387119369243989E-3</v>
      </c>
      <c r="W70" s="2"/>
      <c r="X70" s="6">
        <f t="shared" si="20"/>
        <v>13937.376611561493</v>
      </c>
      <c r="Y70" s="2"/>
      <c r="Z70" s="7">
        <f t="shared" si="21"/>
        <v>0.21287747832050583</v>
      </c>
    </row>
    <row r="71" spans="1:26" s="24" customFormat="1" hidden="1" outlineLevel="2" x14ac:dyDescent="0.3">
      <c r="A71" s="27"/>
      <c r="B71" s="11" t="str">
        <f>CONCATENATE("          ", "6116", " - ", "EDUCATIONAL BENEFITS")</f>
        <v xml:space="preserve">          6116 - EDUCATIONAL BENEFITS</v>
      </c>
      <c r="C71" s="11"/>
      <c r="D71" s="6"/>
      <c r="E71" s="2"/>
      <c r="F71" s="7">
        <f t="shared" si="14"/>
        <v>0</v>
      </c>
      <c r="G71" s="2"/>
      <c r="H71" s="6">
        <v>0</v>
      </c>
      <c r="I71" s="2"/>
      <c r="J71" s="7">
        <f t="shared" si="15"/>
        <v>0</v>
      </c>
      <c r="K71" s="2"/>
      <c r="L71" s="6">
        <f t="shared" si="16"/>
        <v>0</v>
      </c>
      <c r="M71" s="2"/>
      <c r="N71" s="7">
        <f t="shared" si="17"/>
        <v>0</v>
      </c>
      <c r="O71" s="11"/>
      <c r="P71" s="6"/>
      <c r="Q71" s="2"/>
      <c r="R71" s="7">
        <f t="shared" si="18"/>
        <v>0</v>
      </c>
      <c r="S71" s="2"/>
      <c r="T71" s="6">
        <v>0</v>
      </c>
      <c r="U71" s="2"/>
      <c r="V71" s="7">
        <f t="shared" si="19"/>
        <v>0</v>
      </c>
      <c r="W71" s="2"/>
      <c r="X71" s="6">
        <f t="shared" si="20"/>
        <v>0</v>
      </c>
      <c r="Y71" s="2"/>
      <c r="Z71" s="7">
        <f t="shared" si="21"/>
        <v>0</v>
      </c>
    </row>
    <row r="72" spans="1:26" s="24" customFormat="1" hidden="1" outlineLevel="2" x14ac:dyDescent="0.3">
      <c r="A72" s="27"/>
      <c r="B72" s="11" t="str">
        <f>CONCATENATE("          ", "6117", " - ", "RETIREMENT STAFF HOURLY")</f>
        <v xml:space="preserve">          6117 - RETIREMENT STAFF HOURLY</v>
      </c>
      <c r="C72" s="11"/>
      <c r="D72" s="6">
        <v>2512.9899999999998</v>
      </c>
      <c r="E72" s="2"/>
      <c r="F72" s="7">
        <f t="shared" si="14"/>
        <v>1.391225099262202E-3</v>
      </c>
      <c r="G72" s="2"/>
      <c r="H72" s="6"/>
      <c r="I72" s="2"/>
      <c r="J72" s="7">
        <f t="shared" si="15"/>
        <v>0</v>
      </c>
      <c r="K72" s="2"/>
      <c r="L72" s="6">
        <f t="shared" si="16"/>
        <v>2512.9899999999998</v>
      </c>
      <c r="M72" s="2"/>
      <c r="N72" s="7">
        <f t="shared" si="17"/>
        <v>0</v>
      </c>
      <c r="O72" s="11"/>
      <c r="P72" s="6">
        <v>11071.93</v>
      </c>
      <c r="Q72" s="2"/>
      <c r="R72" s="7">
        <f t="shared" si="18"/>
        <v>1.1440770167840332E-3</v>
      </c>
      <c r="S72" s="2"/>
      <c r="T72" s="6"/>
      <c r="U72" s="2"/>
      <c r="V72" s="7">
        <f t="shared" si="19"/>
        <v>0</v>
      </c>
      <c r="W72" s="2"/>
      <c r="X72" s="6">
        <f t="shared" si="20"/>
        <v>11071.93</v>
      </c>
      <c r="Y72" s="2"/>
      <c r="Z72" s="7">
        <f t="shared" si="21"/>
        <v>0</v>
      </c>
    </row>
    <row r="73" spans="1:26" s="24" customFormat="1" hidden="1" outlineLevel="2" x14ac:dyDescent="0.3">
      <c r="A73" s="27"/>
      <c r="B73" s="11" t="str">
        <f>CONCATENATE("          ", "6118", " - ", "VACATION")</f>
        <v xml:space="preserve">          6118 - VACATION</v>
      </c>
      <c r="C73" s="11"/>
      <c r="D73" s="6">
        <v>16474.259999999998</v>
      </c>
      <c r="E73" s="2"/>
      <c r="F73" s="7">
        <f t="shared" si="14"/>
        <v>9.1203721478284126E-3</v>
      </c>
      <c r="G73" s="2"/>
      <c r="H73" s="6">
        <v>12270.025950207701</v>
      </c>
      <c r="I73" s="2"/>
      <c r="J73" s="7">
        <f t="shared" si="15"/>
        <v>9.1970104533941922E-3</v>
      </c>
      <c r="K73" s="2"/>
      <c r="L73" s="6">
        <f t="shared" si="16"/>
        <v>4204.2340497922978</v>
      </c>
      <c r="M73" s="2"/>
      <c r="N73" s="7">
        <f t="shared" si="17"/>
        <v>0.34264263717560683</v>
      </c>
      <c r="O73" s="11"/>
      <c r="P73" s="6">
        <v>85666.38</v>
      </c>
      <c r="Q73" s="2"/>
      <c r="R73" s="7">
        <f t="shared" si="18"/>
        <v>8.8520191573725048E-3</v>
      </c>
      <c r="S73" s="2"/>
      <c r="T73" s="6">
        <v>69987.781479373007</v>
      </c>
      <c r="U73" s="2"/>
      <c r="V73" s="7">
        <f t="shared" si="19"/>
        <v>6.8828753451379201E-3</v>
      </c>
      <c r="W73" s="2"/>
      <c r="X73" s="6">
        <f t="shared" si="20"/>
        <v>15678.598520626998</v>
      </c>
      <c r="Y73" s="2"/>
      <c r="Z73" s="7">
        <f t="shared" si="21"/>
        <v>0.22401908146278129</v>
      </c>
    </row>
    <row r="74" spans="1:26" s="24" customFormat="1" hidden="1" outlineLevel="2" x14ac:dyDescent="0.3">
      <c r="A74" s="27"/>
      <c r="B74" s="11" t="str">
        <f>CONCATENATE("          ", "6119", " - ", "SICK LEAVE")</f>
        <v xml:space="preserve">          6119 - SICK LEAVE</v>
      </c>
      <c r="C74" s="11"/>
      <c r="D74" s="6">
        <v>11924.32</v>
      </c>
      <c r="E74" s="2"/>
      <c r="F74" s="7">
        <f t="shared" si="14"/>
        <v>6.6014641027756825E-3</v>
      </c>
      <c r="G74" s="2"/>
      <c r="H74" s="6">
        <v>16313.626981953799</v>
      </c>
      <c r="I74" s="2"/>
      <c r="J74" s="7">
        <f t="shared" si="15"/>
        <v>1.2227895726924922E-2</v>
      </c>
      <c r="K74" s="2"/>
      <c r="L74" s="6">
        <f t="shared" si="16"/>
        <v>-4389.3069819537995</v>
      </c>
      <c r="M74" s="2"/>
      <c r="N74" s="7">
        <f t="shared" si="17"/>
        <v>-0.26905770168763016</v>
      </c>
      <c r="O74" s="11"/>
      <c r="P74" s="6">
        <v>60797.46</v>
      </c>
      <c r="Q74" s="2"/>
      <c r="R74" s="7">
        <f t="shared" si="18"/>
        <v>6.2822811077062968E-3</v>
      </c>
      <c r="S74" s="2"/>
      <c r="T74" s="6">
        <v>88263.714941361497</v>
      </c>
      <c r="U74" s="2"/>
      <c r="V74" s="7">
        <f t="shared" si="19"/>
        <v>8.6802029525571544E-3</v>
      </c>
      <c r="W74" s="2"/>
      <c r="X74" s="6">
        <f t="shared" si="20"/>
        <v>-27466.254941361498</v>
      </c>
      <c r="Y74" s="2"/>
      <c r="Z74" s="7">
        <f t="shared" si="21"/>
        <v>-0.31118398947527715</v>
      </c>
    </row>
    <row r="75" spans="1:26" s="24" customFormat="1" hidden="1" outlineLevel="2" x14ac:dyDescent="0.3">
      <c r="A75" s="27"/>
      <c r="B75" s="11" t="str">
        <f>CONCATENATE("          ", "6156", " - ", "EMPLOYEE MEALS")</f>
        <v xml:space="preserve">          6156 - EMPLOYEE MEALS</v>
      </c>
      <c r="C75" s="11"/>
      <c r="D75" s="6">
        <v>9095.25</v>
      </c>
      <c r="E75" s="2"/>
      <c r="F75" s="7">
        <f t="shared" si="14"/>
        <v>5.0352528597664712E-3</v>
      </c>
      <c r="G75" s="2"/>
      <c r="H75" s="6">
        <v>9121</v>
      </c>
      <c r="I75" s="2"/>
      <c r="J75" s="7">
        <f t="shared" si="15"/>
        <v>6.8366548437485946E-3</v>
      </c>
      <c r="K75" s="2"/>
      <c r="L75" s="6">
        <f t="shared" si="16"/>
        <v>-25.75</v>
      </c>
      <c r="M75" s="2"/>
      <c r="N75" s="7">
        <f t="shared" si="17"/>
        <v>-2.8231553557723933E-3</v>
      </c>
      <c r="O75" s="11"/>
      <c r="P75" s="6">
        <v>38319.120000000003</v>
      </c>
      <c r="Q75" s="2"/>
      <c r="R75" s="7">
        <f t="shared" si="18"/>
        <v>3.9595648180027676E-3</v>
      </c>
      <c r="S75" s="2"/>
      <c r="T75" s="6">
        <v>45173</v>
      </c>
      <c r="U75" s="2"/>
      <c r="V75" s="7">
        <f t="shared" si="19"/>
        <v>4.442491552008267E-3</v>
      </c>
      <c r="W75" s="2"/>
      <c r="X75" s="6">
        <f t="shared" si="20"/>
        <v>-6853.8799999999974</v>
      </c>
      <c r="Y75" s="2"/>
      <c r="Z75" s="7">
        <f t="shared" si="21"/>
        <v>-0.15172514555154623</v>
      </c>
    </row>
    <row r="76" spans="1:26" s="29" customFormat="1" outlineLevel="1" collapsed="1" x14ac:dyDescent="0.3">
      <c r="A76" s="28"/>
      <c r="B76" s="14" t="str">
        <f>CONCATENATE("     ","*Payroll                                          ")</f>
        <v xml:space="preserve">     *Payroll                                          </v>
      </c>
      <c r="C76" s="14"/>
      <c r="D76" s="1">
        <f>SUM(OSRRefD22_1x_0)</f>
        <v>445852.24</v>
      </c>
      <c r="E76" s="1"/>
      <c r="F76" s="5">
        <f t="shared" ref="F76:F86" si="22">IF(D$12=0,0,D76/D$12)</f>
        <v>0.24682980308328928</v>
      </c>
      <c r="G76" s="1"/>
      <c r="H76" s="1">
        <f>SUM(OSRRefH22_1x_0)</f>
        <v>495564.75130063813</v>
      </c>
      <c r="I76" s="1"/>
      <c r="J76" s="5">
        <f t="shared" ref="J76:J86" si="23">IF(H$12=0,0,H76/H$12)</f>
        <v>0.37145106428797009</v>
      </c>
      <c r="K76" s="1"/>
      <c r="L76" s="1">
        <f t="shared" ref="L76:L86" si="24">+D76-H76</f>
        <v>-49712.511300638143</v>
      </c>
      <c r="M76" s="1"/>
      <c r="N76" s="5">
        <f t="shared" ref="N76:N86" si="25">IF(H76=0,0,L76/H76)</f>
        <v>-0.10031486535344736</v>
      </c>
      <c r="O76" s="14"/>
      <c r="P76" s="1">
        <f>SUM(OSRRefP22_1x_0)</f>
        <v>2369844.89</v>
      </c>
      <c r="Q76" s="1"/>
      <c r="R76" s="5">
        <f t="shared" ref="R76:R86" si="26">IF(P$12=0,0,P76/P$12)</f>
        <v>0.24487917391024738</v>
      </c>
      <c r="S76" s="1"/>
      <c r="T76" s="1">
        <f>SUM(OSRRefT22_1x_0)</f>
        <v>2669327.9961019726</v>
      </c>
      <c r="U76" s="1"/>
      <c r="V76" s="5">
        <f t="shared" ref="V76:V86" si="27">IF(T$12=0,0,T76/T$12)</f>
        <v>0.26251227663033605</v>
      </c>
      <c r="W76" s="1"/>
      <c r="X76" s="1">
        <f t="shared" ref="X76:X86" si="28">+P76-T76</f>
        <v>-299483.10610197252</v>
      </c>
      <c r="Y76" s="1"/>
      <c r="Z76" s="5">
        <f t="shared" ref="Z76:Z86" si="29">IF(T76=0,0,X76/T76)</f>
        <v>-0.11219419514548551</v>
      </c>
    </row>
    <row r="77" spans="1:26" s="24" customFormat="1" hidden="1" outlineLevel="2" x14ac:dyDescent="0.3">
      <c r="A77" s="27"/>
      <c r="B77" s="11" t="str">
        <f>CONCATENATE("          ", "6001", " - ", "ADMINISTRATIVE SALARIES")</f>
        <v xml:space="preserve">          6001 - ADMINISTRATIVE SALARIES</v>
      </c>
      <c r="C77" s="11"/>
      <c r="D77" s="6">
        <v>25514.75</v>
      </c>
      <c r="E77" s="2"/>
      <c r="F77" s="7">
        <f t="shared" si="22"/>
        <v>1.4125309134298296E-2</v>
      </c>
      <c r="G77" s="2"/>
      <c r="H77" s="6">
        <v>18547.9230769231</v>
      </c>
      <c r="I77" s="2"/>
      <c r="J77" s="7">
        <f t="shared" si="23"/>
        <v>1.3902614641522053E-2</v>
      </c>
      <c r="K77" s="2"/>
      <c r="L77" s="6">
        <f t="shared" si="24"/>
        <v>6966.8269230769001</v>
      </c>
      <c r="M77" s="2"/>
      <c r="N77" s="7">
        <f t="shared" si="25"/>
        <v>0.37561223939648891</v>
      </c>
      <c r="O77" s="11"/>
      <c r="P77" s="6">
        <v>147180.53</v>
      </c>
      <c r="Q77" s="2"/>
      <c r="R77" s="7">
        <f t="shared" si="26"/>
        <v>1.5208356780714192E-2</v>
      </c>
      <c r="S77" s="2"/>
      <c r="T77" s="6">
        <v>102013.57692307699</v>
      </c>
      <c r="U77" s="2"/>
      <c r="V77" s="7">
        <f t="shared" si="27"/>
        <v>1.0032418782700177E-2</v>
      </c>
      <c r="W77" s="2"/>
      <c r="X77" s="6">
        <f t="shared" si="28"/>
        <v>45166.953076923004</v>
      </c>
      <c r="Y77" s="2"/>
      <c r="Z77" s="7">
        <f t="shared" si="29"/>
        <v>0.44275433171979645</v>
      </c>
    </row>
    <row r="78" spans="1:26" s="24" customFormat="1" hidden="1" outlineLevel="2" x14ac:dyDescent="0.3">
      <c r="A78" s="27"/>
      <c r="B78" s="11" t="str">
        <f>CONCATENATE("          ", "6002", " - ", "STAFF SALARIES")</f>
        <v xml:space="preserve">          6002 - STAFF SALARIES</v>
      </c>
      <c r="C78" s="11"/>
      <c r="D78" s="6">
        <v>98872.4</v>
      </c>
      <c r="E78" s="2"/>
      <c r="F78" s="7">
        <f t="shared" si="22"/>
        <v>5.473709187234814E-2</v>
      </c>
      <c r="G78" s="2"/>
      <c r="H78" s="6">
        <v>105462.71511571499</v>
      </c>
      <c r="I78" s="2"/>
      <c r="J78" s="7">
        <f t="shared" si="23"/>
        <v>7.9049685575126746E-2</v>
      </c>
      <c r="K78" s="2"/>
      <c r="L78" s="6">
        <f t="shared" si="24"/>
        <v>-6590.3151157149987</v>
      </c>
      <c r="M78" s="2"/>
      <c r="N78" s="7">
        <f t="shared" si="25"/>
        <v>-6.2489526355205473E-2</v>
      </c>
      <c r="O78" s="11"/>
      <c r="P78" s="6">
        <v>610963.42000000004</v>
      </c>
      <c r="Q78" s="2"/>
      <c r="R78" s="7">
        <f t="shared" si="26"/>
        <v>6.3131649759144995E-2</v>
      </c>
      <c r="S78" s="2"/>
      <c r="T78" s="6">
        <v>598009.51967489603</v>
      </c>
      <c r="U78" s="2"/>
      <c r="V78" s="7">
        <f t="shared" si="27"/>
        <v>5.8810622256131921E-2</v>
      </c>
      <c r="W78" s="2"/>
      <c r="X78" s="6">
        <f t="shared" si="28"/>
        <v>12953.900325104012</v>
      </c>
      <c r="Y78" s="2"/>
      <c r="Z78" s="7">
        <f t="shared" si="29"/>
        <v>2.1661695840805871E-2</v>
      </c>
    </row>
    <row r="79" spans="1:26" s="24" customFormat="1" hidden="1" outlineLevel="2" x14ac:dyDescent="0.3">
      <c r="A79" s="27"/>
      <c r="B79" s="11" t="str">
        <f>CONCATENATE("          ", "6003", " - ", "STAFF HOURLY-9 MONTH")</f>
        <v xml:space="preserve">          6003 - STAFF HOURLY-9 MONTH</v>
      </c>
      <c r="C79" s="11"/>
      <c r="D79" s="6"/>
      <c r="E79" s="2"/>
      <c r="F79" s="7">
        <f t="shared" si="22"/>
        <v>0</v>
      </c>
      <c r="G79" s="2"/>
      <c r="H79" s="6">
        <v>0</v>
      </c>
      <c r="I79" s="2"/>
      <c r="J79" s="7">
        <f t="shared" si="23"/>
        <v>0</v>
      </c>
      <c r="K79" s="2"/>
      <c r="L79" s="6">
        <f t="shared" si="24"/>
        <v>0</v>
      </c>
      <c r="M79" s="2"/>
      <c r="N79" s="7">
        <f t="shared" si="25"/>
        <v>0</v>
      </c>
      <c r="O79" s="11"/>
      <c r="P79" s="6"/>
      <c r="Q79" s="2"/>
      <c r="R79" s="7">
        <f t="shared" si="26"/>
        <v>0</v>
      </c>
      <c r="S79" s="2"/>
      <c r="T79" s="6">
        <v>0</v>
      </c>
      <c r="U79" s="2"/>
      <c r="V79" s="7">
        <f t="shared" si="27"/>
        <v>0</v>
      </c>
      <c r="W79" s="2"/>
      <c r="X79" s="6">
        <f t="shared" si="28"/>
        <v>0</v>
      </c>
      <c r="Y79" s="2"/>
      <c r="Z79" s="7">
        <f t="shared" si="29"/>
        <v>0</v>
      </c>
    </row>
    <row r="80" spans="1:26" s="24" customFormat="1" hidden="1" outlineLevel="2" x14ac:dyDescent="0.3">
      <c r="A80" s="27"/>
      <c r="B80" s="11" t="str">
        <f>CONCATENATE("          ", "6004", " - ", "STAFF HOURLY")</f>
        <v xml:space="preserve">          6004 - STAFF HOURLY</v>
      </c>
      <c r="C80" s="11"/>
      <c r="D80" s="6">
        <v>117919.18</v>
      </c>
      <c r="E80" s="2"/>
      <c r="F80" s="7">
        <f t="shared" si="22"/>
        <v>6.5281645728959323E-2</v>
      </c>
      <c r="G80" s="2"/>
      <c r="H80" s="6">
        <v>152546.70560799999</v>
      </c>
      <c r="I80" s="2"/>
      <c r="J80" s="7">
        <f t="shared" si="23"/>
        <v>0.114341538624364</v>
      </c>
      <c r="K80" s="2"/>
      <c r="L80" s="6">
        <f t="shared" si="24"/>
        <v>-34627.525607999996</v>
      </c>
      <c r="M80" s="2"/>
      <c r="N80" s="7">
        <f t="shared" si="25"/>
        <v>-0.22699622040335973</v>
      </c>
      <c r="O80" s="11"/>
      <c r="P80" s="6">
        <v>573463.98</v>
      </c>
      <c r="Q80" s="2"/>
      <c r="R80" s="7">
        <f t="shared" si="26"/>
        <v>5.925678354826109E-2</v>
      </c>
      <c r="S80" s="2"/>
      <c r="T80" s="6">
        <v>827390.70450400002</v>
      </c>
      <c r="U80" s="2"/>
      <c r="V80" s="7">
        <f t="shared" si="27"/>
        <v>8.1368875544444441E-2</v>
      </c>
      <c r="W80" s="2"/>
      <c r="X80" s="6">
        <f t="shared" si="28"/>
        <v>-253926.72450400004</v>
      </c>
      <c r="Y80" s="2"/>
      <c r="Z80" s="7">
        <f t="shared" si="29"/>
        <v>-0.30690062520852557</v>
      </c>
    </row>
    <row r="81" spans="1:26" s="24" customFormat="1" hidden="1" outlineLevel="2" x14ac:dyDescent="0.3">
      <c r="A81" s="27"/>
      <c r="B81" s="11" t="str">
        <f>CONCATENATE("          ", "6005", " - ", "TEMPORARY WAGES-HOURLY")</f>
        <v xml:space="preserve">          6005 - TEMPORARY WAGES-HOURLY</v>
      </c>
      <c r="C81" s="11"/>
      <c r="D81" s="6">
        <v>49252.480000000003</v>
      </c>
      <c r="E81" s="2"/>
      <c r="F81" s="7">
        <f t="shared" si="22"/>
        <v>2.7266836070541318E-2</v>
      </c>
      <c r="G81" s="2"/>
      <c r="H81" s="6">
        <v>34968.264999999999</v>
      </c>
      <c r="I81" s="2"/>
      <c r="J81" s="7">
        <f t="shared" si="23"/>
        <v>2.621049866130188E-2</v>
      </c>
      <c r="K81" s="2"/>
      <c r="L81" s="6">
        <f t="shared" si="24"/>
        <v>14284.215000000004</v>
      </c>
      <c r="M81" s="2"/>
      <c r="N81" s="7">
        <f t="shared" si="25"/>
        <v>0.40849081302718349</v>
      </c>
      <c r="O81" s="11"/>
      <c r="P81" s="6">
        <v>350011.5</v>
      </c>
      <c r="Q81" s="2"/>
      <c r="R81" s="7">
        <f t="shared" si="26"/>
        <v>3.6167146356606714E-2</v>
      </c>
      <c r="S81" s="2"/>
      <c r="T81" s="6">
        <v>162008.42000000001</v>
      </c>
      <c r="U81" s="2"/>
      <c r="V81" s="7">
        <f t="shared" si="27"/>
        <v>1.5932549027166832E-2</v>
      </c>
      <c r="W81" s="2"/>
      <c r="X81" s="6">
        <f t="shared" si="28"/>
        <v>188003.08</v>
      </c>
      <c r="Y81" s="2"/>
      <c r="Z81" s="7">
        <f t="shared" si="29"/>
        <v>1.1604525246280408</v>
      </c>
    </row>
    <row r="82" spans="1:26" s="24" customFormat="1" hidden="1" outlineLevel="2" x14ac:dyDescent="0.3">
      <c r="A82" s="27"/>
      <c r="B82" s="11" t="str">
        <f>CONCATENATE("          ", "6006", " - ", "TEMPORARY PART TIME")</f>
        <v xml:space="preserve">          6006 - TEMPORARY PART TIME</v>
      </c>
      <c r="C82" s="11"/>
      <c r="D82" s="6"/>
      <c r="E82" s="2"/>
      <c r="F82" s="7">
        <f t="shared" si="22"/>
        <v>0</v>
      </c>
      <c r="G82" s="2"/>
      <c r="H82" s="6">
        <v>0</v>
      </c>
      <c r="I82" s="2"/>
      <c r="J82" s="7">
        <f t="shared" si="23"/>
        <v>0</v>
      </c>
      <c r="K82" s="2"/>
      <c r="L82" s="6">
        <f t="shared" si="24"/>
        <v>0</v>
      </c>
      <c r="M82" s="2"/>
      <c r="N82" s="7">
        <f t="shared" si="25"/>
        <v>0</v>
      </c>
      <c r="O82" s="11"/>
      <c r="P82" s="6">
        <v>9877.6200000000008</v>
      </c>
      <c r="Q82" s="2"/>
      <c r="R82" s="7">
        <f t="shared" si="26"/>
        <v>1.0206674014852245E-3</v>
      </c>
      <c r="S82" s="2"/>
      <c r="T82" s="6">
        <v>0</v>
      </c>
      <c r="U82" s="2"/>
      <c r="V82" s="7">
        <f t="shared" si="27"/>
        <v>0</v>
      </c>
      <c r="W82" s="2"/>
      <c r="X82" s="6">
        <f t="shared" si="28"/>
        <v>9877.6200000000008</v>
      </c>
      <c r="Y82" s="2"/>
      <c r="Z82" s="7">
        <f t="shared" si="29"/>
        <v>0</v>
      </c>
    </row>
    <row r="83" spans="1:26" s="24" customFormat="1" hidden="1" outlineLevel="2" x14ac:dyDescent="0.3">
      <c r="A83" s="27"/>
      <c r="B83" s="11" t="str">
        <f>CONCATENATE("          ", "6007", " - ", "STUDENT HOURLY")</f>
        <v xml:space="preserve">          6007 - STUDENT HOURLY</v>
      </c>
      <c r="C83" s="11"/>
      <c r="D83" s="6">
        <v>120094.13</v>
      </c>
      <c r="E83" s="2"/>
      <c r="F83" s="7">
        <f t="shared" si="22"/>
        <v>6.6485727332801892E-2</v>
      </c>
      <c r="G83" s="2"/>
      <c r="H83" s="6">
        <v>29457.51</v>
      </c>
      <c r="I83" s="2"/>
      <c r="J83" s="7">
        <f t="shared" si="23"/>
        <v>2.207990663592508E-2</v>
      </c>
      <c r="K83" s="2"/>
      <c r="L83" s="6">
        <f t="shared" si="24"/>
        <v>90636.62000000001</v>
      </c>
      <c r="M83" s="2"/>
      <c r="N83" s="7">
        <f t="shared" si="25"/>
        <v>3.0768595173183346</v>
      </c>
      <c r="O83" s="11"/>
      <c r="P83" s="6">
        <v>578068</v>
      </c>
      <c r="Q83" s="2"/>
      <c r="R83" s="7">
        <f t="shared" si="26"/>
        <v>5.9732522960162543E-2</v>
      </c>
      <c r="S83" s="2"/>
      <c r="T83" s="6">
        <v>276375.43</v>
      </c>
      <c r="U83" s="2"/>
      <c r="V83" s="7">
        <f t="shared" si="27"/>
        <v>2.7179853296386162E-2</v>
      </c>
      <c r="W83" s="2"/>
      <c r="X83" s="6">
        <f t="shared" si="28"/>
        <v>301692.57</v>
      </c>
      <c r="Y83" s="2"/>
      <c r="Z83" s="7">
        <f t="shared" si="29"/>
        <v>1.0916041632210216</v>
      </c>
    </row>
    <row r="84" spans="1:26" s="24" customFormat="1" hidden="1" outlineLevel="2" x14ac:dyDescent="0.3">
      <c r="A84" s="27"/>
      <c r="B84" s="11" t="str">
        <f>CONCATENATE("          ", "6008", " - ", "STUDENT HOURLY-FICA EXEMPT")</f>
        <v xml:space="preserve">          6008 - STUDENT HOURLY-FICA EXEMPT</v>
      </c>
      <c r="C84" s="11"/>
      <c r="D84" s="6">
        <v>34199.300000000003</v>
      </c>
      <c r="E84" s="2"/>
      <c r="F84" s="7">
        <f t="shared" si="22"/>
        <v>1.893319294434034E-2</v>
      </c>
      <c r="G84" s="2"/>
      <c r="H84" s="6">
        <v>154581.63250000001</v>
      </c>
      <c r="I84" s="2"/>
      <c r="J84" s="7">
        <f t="shared" si="23"/>
        <v>0.11586682014973032</v>
      </c>
      <c r="K84" s="2"/>
      <c r="L84" s="6">
        <f t="shared" si="24"/>
        <v>-120382.3325</v>
      </c>
      <c r="M84" s="2"/>
      <c r="N84" s="7">
        <f t="shared" si="25"/>
        <v>-0.77876220190649104</v>
      </c>
      <c r="O84" s="11"/>
      <c r="P84" s="6">
        <v>100279.84</v>
      </c>
      <c r="Q84" s="2"/>
      <c r="R84" s="7">
        <f t="shared" si="26"/>
        <v>1.0362047103872599E-2</v>
      </c>
      <c r="S84" s="2"/>
      <c r="T84" s="6">
        <v>703530.34499999997</v>
      </c>
      <c r="U84" s="2"/>
      <c r="V84" s="7">
        <f t="shared" si="27"/>
        <v>6.9187957723506555E-2</v>
      </c>
      <c r="W84" s="2"/>
      <c r="X84" s="6">
        <f t="shared" si="28"/>
        <v>-603250.505</v>
      </c>
      <c r="Y84" s="2"/>
      <c r="Z84" s="7">
        <f t="shared" si="29"/>
        <v>-0.85746195496371946</v>
      </c>
    </row>
    <row r="85" spans="1:26" s="24" customFormat="1" hidden="1" outlineLevel="2" x14ac:dyDescent="0.3">
      <c r="A85" s="27"/>
      <c r="B85" s="11" t="str">
        <f>CONCATENATE("          ", "6009", " - ", "TEMPORARY-SEASONAL")</f>
        <v xml:space="preserve">          6009 - TEMPORARY-SEASONAL</v>
      </c>
      <c r="C85" s="11"/>
      <c r="D85" s="6"/>
      <c r="E85" s="2"/>
      <c r="F85" s="7">
        <f t="shared" si="22"/>
        <v>0</v>
      </c>
      <c r="G85" s="2"/>
      <c r="H85" s="6">
        <v>0</v>
      </c>
      <c r="I85" s="2"/>
      <c r="J85" s="7">
        <f t="shared" si="23"/>
        <v>0</v>
      </c>
      <c r="K85" s="2"/>
      <c r="L85" s="6">
        <f t="shared" si="24"/>
        <v>0</v>
      </c>
      <c r="M85" s="2"/>
      <c r="N85" s="7">
        <f t="shared" si="25"/>
        <v>0</v>
      </c>
      <c r="O85" s="11"/>
      <c r="P85" s="6"/>
      <c r="Q85" s="2"/>
      <c r="R85" s="7">
        <f t="shared" si="26"/>
        <v>0</v>
      </c>
      <c r="S85" s="2"/>
      <c r="T85" s="6">
        <v>0</v>
      </c>
      <c r="U85" s="2"/>
      <c r="V85" s="7">
        <f t="shared" si="27"/>
        <v>0</v>
      </c>
      <c r="W85" s="2"/>
      <c r="X85" s="6">
        <f t="shared" si="28"/>
        <v>0</v>
      </c>
      <c r="Y85" s="2"/>
      <c r="Z85" s="7">
        <f t="shared" si="29"/>
        <v>0</v>
      </c>
    </row>
    <row r="86" spans="1:26" s="24" customFormat="1" hidden="1" outlineLevel="2" x14ac:dyDescent="0.3">
      <c r="A86" s="27"/>
      <c r="B86" s="11" t="str">
        <f>CONCATENATE("          ", "6010", " - ", "GRATUITY")</f>
        <v xml:space="preserve">          6010 - GRATUITY</v>
      </c>
      <c r="C86" s="11"/>
      <c r="D86" s="6"/>
      <c r="E86" s="2"/>
      <c r="F86" s="7">
        <f t="shared" si="22"/>
        <v>0</v>
      </c>
      <c r="G86" s="2"/>
      <c r="H86" s="6">
        <v>0</v>
      </c>
      <c r="I86" s="2"/>
      <c r="J86" s="7">
        <f t="shared" si="23"/>
        <v>0</v>
      </c>
      <c r="K86" s="2"/>
      <c r="L86" s="6">
        <f t="shared" si="24"/>
        <v>0</v>
      </c>
      <c r="M86" s="2"/>
      <c r="N86" s="7">
        <f t="shared" si="25"/>
        <v>0</v>
      </c>
      <c r="O86" s="11"/>
      <c r="P86" s="6"/>
      <c r="Q86" s="2"/>
      <c r="R86" s="7">
        <f t="shared" si="26"/>
        <v>0</v>
      </c>
      <c r="S86" s="2"/>
      <c r="T86" s="6">
        <v>0</v>
      </c>
      <c r="U86" s="2"/>
      <c r="V86" s="7">
        <f t="shared" si="27"/>
        <v>0</v>
      </c>
      <c r="W86" s="2"/>
      <c r="X86" s="6">
        <f t="shared" si="28"/>
        <v>0</v>
      </c>
      <c r="Y86" s="2"/>
      <c r="Z86" s="7">
        <f t="shared" si="29"/>
        <v>0</v>
      </c>
    </row>
    <row r="87" spans="1:26" s="29" customFormat="1" outlineLevel="1" collapsed="1" x14ac:dyDescent="0.3">
      <c r="A87" s="28"/>
      <c r="B87" s="14" t="str">
        <f>CONCATENATE("     ","Advertising/Promo                                 ")</f>
        <v xml:space="preserve">     Advertising/Promo                                 </v>
      </c>
      <c r="C87" s="14"/>
      <c r="D87" s="1">
        <f>SUM(OSRRefD22_2x_0)</f>
        <v>1962.6</v>
      </c>
      <c r="E87" s="1"/>
      <c r="F87" s="5">
        <f t="shared" ref="F87:F95" si="30">IF(D$12=0,0,D87/D$12)</f>
        <v>1.086521784731335E-3</v>
      </c>
      <c r="G87" s="1"/>
      <c r="H87" s="1">
        <f>SUM(OSRRefH22_2x_0)</f>
        <v>1919</v>
      </c>
      <c r="I87" s="1"/>
      <c r="J87" s="5">
        <f t="shared" ref="J87:J95" si="31">IF(H$12=0,0,H87/H$12)</f>
        <v>1.4383884053451982E-3</v>
      </c>
      <c r="K87" s="1"/>
      <c r="L87" s="1">
        <f t="shared" ref="L87:L95" si="32">+D87-H87</f>
        <v>43.599999999999909</v>
      </c>
      <c r="M87" s="1"/>
      <c r="N87" s="5">
        <f t="shared" ref="N87:N95" si="33">IF(H87=0,0,L87/H87)</f>
        <v>2.2720166753517408E-2</v>
      </c>
      <c r="O87" s="14"/>
      <c r="P87" s="1">
        <f>SUM(OSRRefP22_2x_0)</f>
        <v>9017.7099999999991</v>
      </c>
      <c r="Q87" s="1"/>
      <c r="R87" s="5">
        <f t="shared" ref="R87:R95" si="34">IF(P$12=0,0,P87/P$12)</f>
        <v>9.318117758171829E-4</v>
      </c>
      <c r="S87" s="1"/>
      <c r="T87" s="1">
        <f>SUM(OSRRefT22_2x_0)</f>
        <v>12595</v>
      </c>
      <c r="U87" s="1"/>
      <c r="V87" s="5">
        <f t="shared" ref="V87:V95" si="35">IF(T$12=0,0,T87/T$12)</f>
        <v>1.2386421335209999E-3</v>
      </c>
      <c r="W87" s="1"/>
      <c r="X87" s="1">
        <f t="shared" ref="X87:X95" si="36">+P87-T87</f>
        <v>-3577.2900000000009</v>
      </c>
      <c r="Y87" s="1"/>
      <c r="Z87" s="5">
        <f t="shared" ref="Z87:Z95" si="37">IF(T87=0,0,X87/T87)</f>
        <v>-0.28402461294164361</v>
      </c>
    </row>
    <row r="88" spans="1:26" s="24" customFormat="1" hidden="1" outlineLevel="2" x14ac:dyDescent="0.3">
      <c r="A88" s="27"/>
      <c r="B88" s="11" t="str">
        <f>CONCATENATE("          ", "6362", " - ", "ADVERTISING EXPENSE")</f>
        <v xml:space="preserve">          6362 - ADVERTISING EXPENSE</v>
      </c>
      <c r="C88" s="11"/>
      <c r="D88" s="6">
        <v>1962.6</v>
      </c>
      <c r="E88" s="2"/>
      <c r="F88" s="7">
        <f t="shared" si="30"/>
        <v>1.086521784731335E-3</v>
      </c>
      <c r="G88" s="2"/>
      <c r="H88" s="6">
        <v>1919</v>
      </c>
      <c r="I88" s="2"/>
      <c r="J88" s="7">
        <f t="shared" si="31"/>
        <v>1.4383884053451982E-3</v>
      </c>
      <c r="K88" s="2"/>
      <c r="L88" s="6">
        <f t="shared" si="32"/>
        <v>43.599999999999909</v>
      </c>
      <c r="M88" s="2"/>
      <c r="N88" s="7">
        <f t="shared" si="33"/>
        <v>2.2720166753517408E-2</v>
      </c>
      <c r="O88" s="11"/>
      <c r="P88" s="6">
        <v>9017.7099999999991</v>
      </c>
      <c r="Q88" s="2"/>
      <c r="R88" s="7">
        <f t="shared" si="34"/>
        <v>9.318117758171829E-4</v>
      </c>
      <c r="S88" s="2"/>
      <c r="T88" s="6">
        <v>12595</v>
      </c>
      <c r="U88" s="2"/>
      <c r="V88" s="7">
        <f t="shared" si="35"/>
        <v>1.2386421335209999E-3</v>
      </c>
      <c r="W88" s="2"/>
      <c r="X88" s="6">
        <f t="shared" si="36"/>
        <v>-3577.2900000000009</v>
      </c>
      <c r="Y88" s="2"/>
      <c r="Z88" s="7">
        <f t="shared" si="37"/>
        <v>-0.28402461294164361</v>
      </c>
    </row>
    <row r="89" spans="1:26" s="29" customFormat="1" outlineLevel="1" collapsed="1" x14ac:dyDescent="0.3">
      <c r="A89" s="28"/>
      <c r="B89" s="14" t="str">
        <f>CONCATENATE("     ","Bad Debts/Over/Short                              ")</f>
        <v xml:space="preserve">     Bad Debts/Over/Short                              </v>
      </c>
      <c r="C89" s="14"/>
      <c r="D89" s="1">
        <f>SUM(OSRRefD22_3x_0)</f>
        <v>-42.52</v>
      </c>
      <c r="E89" s="1"/>
      <c r="F89" s="5">
        <f t="shared" si="30"/>
        <v>-2.353964449545316E-5</v>
      </c>
      <c r="G89" s="1"/>
      <c r="H89" s="1">
        <f>SUM(OSRRefH22_3x_0)</f>
        <v>268</v>
      </c>
      <c r="I89" s="1"/>
      <c r="J89" s="5">
        <f t="shared" si="31"/>
        <v>2.0087967307582758E-4</v>
      </c>
      <c r="K89" s="1"/>
      <c r="L89" s="1">
        <f t="shared" si="32"/>
        <v>-310.52</v>
      </c>
      <c r="M89" s="1"/>
      <c r="N89" s="5">
        <f t="shared" si="33"/>
        <v>-1.1586567164179105</v>
      </c>
      <c r="O89" s="14"/>
      <c r="P89" s="1">
        <f>SUM(OSRRefP22_3x_0)</f>
        <v>56.15</v>
      </c>
      <c r="Q89" s="1"/>
      <c r="R89" s="5">
        <f t="shared" si="34"/>
        <v>5.8020529837547251E-6</v>
      </c>
      <c r="S89" s="1"/>
      <c r="T89" s="1">
        <f>SUM(OSRRefT22_3x_0)</f>
        <v>1362</v>
      </c>
      <c r="U89" s="1"/>
      <c r="V89" s="5">
        <f t="shared" si="35"/>
        <v>1.3394446890477188E-4</v>
      </c>
      <c r="W89" s="1"/>
      <c r="X89" s="1">
        <f t="shared" si="36"/>
        <v>-1305.8499999999999</v>
      </c>
      <c r="Y89" s="1"/>
      <c r="Z89" s="5">
        <f t="shared" si="37"/>
        <v>-0.95877386196769454</v>
      </c>
    </row>
    <row r="90" spans="1:26" s="24" customFormat="1" hidden="1" outlineLevel="2" x14ac:dyDescent="0.3">
      <c r="A90" s="27"/>
      <c r="B90" s="11" t="str">
        <f>CONCATENATE("          ", "6272", " - ", "CASH (OVER/SHORT)")</f>
        <v xml:space="preserve">          6272 - CASH (OVER/SHORT)</v>
      </c>
      <c r="C90" s="11"/>
      <c r="D90" s="6">
        <v>-42.52</v>
      </c>
      <c r="E90" s="2"/>
      <c r="F90" s="7">
        <f t="shared" si="30"/>
        <v>-2.353964449545316E-5</v>
      </c>
      <c r="G90" s="2"/>
      <c r="H90" s="6">
        <v>268</v>
      </c>
      <c r="I90" s="2"/>
      <c r="J90" s="7">
        <f t="shared" si="31"/>
        <v>2.0087967307582758E-4</v>
      </c>
      <c r="K90" s="2"/>
      <c r="L90" s="6">
        <f t="shared" si="32"/>
        <v>-310.52</v>
      </c>
      <c r="M90" s="2"/>
      <c r="N90" s="7">
        <f t="shared" si="33"/>
        <v>-1.1586567164179105</v>
      </c>
      <c r="O90" s="11"/>
      <c r="P90" s="6">
        <v>56.15</v>
      </c>
      <c r="Q90" s="2"/>
      <c r="R90" s="7">
        <f t="shared" si="34"/>
        <v>5.8020529837547251E-6</v>
      </c>
      <c r="S90" s="2"/>
      <c r="T90" s="6">
        <v>1362</v>
      </c>
      <c r="U90" s="2"/>
      <c r="V90" s="7">
        <f t="shared" si="35"/>
        <v>1.3394446890477188E-4</v>
      </c>
      <c r="W90" s="2"/>
      <c r="X90" s="6">
        <f t="shared" si="36"/>
        <v>-1305.8499999999999</v>
      </c>
      <c r="Y90" s="2"/>
      <c r="Z90" s="7">
        <f t="shared" si="37"/>
        <v>-0.95877386196769454</v>
      </c>
    </row>
    <row r="91" spans="1:26" s="29" customFormat="1" outlineLevel="1" collapsed="1" x14ac:dyDescent="0.3">
      <c r="A91" s="28"/>
      <c r="B91" s="14" t="str">
        <f>CONCATENATE("     ","Bank/card Fees                                    ")</f>
        <v xml:space="preserve">     Bank/card Fees                                    </v>
      </c>
      <c r="C91" s="14"/>
      <c r="D91" s="1">
        <f>SUM(OSRRefD22_4x_0)</f>
        <v>13300.69</v>
      </c>
      <c r="E91" s="1"/>
      <c r="F91" s="5">
        <f t="shared" si="30"/>
        <v>7.3634410664211872E-3</v>
      </c>
      <c r="G91" s="1"/>
      <c r="H91" s="1">
        <f>SUM(OSRRefH22_4x_0)</f>
        <v>14129.5</v>
      </c>
      <c r="I91" s="1"/>
      <c r="J91" s="5">
        <f t="shared" si="31"/>
        <v>1.0590781122107857E-2</v>
      </c>
      <c r="K91" s="1"/>
      <c r="L91" s="1">
        <f t="shared" si="32"/>
        <v>-828.80999999999949</v>
      </c>
      <c r="M91" s="1"/>
      <c r="N91" s="5">
        <f t="shared" si="33"/>
        <v>-5.8658126614529849E-2</v>
      </c>
      <c r="O91" s="14"/>
      <c r="P91" s="1">
        <f>SUM(OSRRefP22_4x_0)</f>
        <v>82428.91</v>
      </c>
      <c r="Q91" s="1"/>
      <c r="R91" s="5">
        <f t="shared" si="34"/>
        <v>8.5174871453811175E-3</v>
      </c>
      <c r="S91" s="1"/>
      <c r="T91" s="1">
        <f>SUM(OSRRefT22_4x_0)</f>
        <v>128146.75</v>
      </c>
      <c r="U91" s="1"/>
      <c r="V91" s="5">
        <f t="shared" si="35"/>
        <v>1.2602458421896164E-2</v>
      </c>
      <c r="W91" s="1"/>
      <c r="X91" s="1">
        <f t="shared" si="36"/>
        <v>-45717.84</v>
      </c>
      <c r="Y91" s="1"/>
      <c r="Z91" s="5">
        <f t="shared" si="37"/>
        <v>-0.35676160339610641</v>
      </c>
    </row>
    <row r="92" spans="1:26" s="24" customFormat="1" hidden="1" outlineLevel="2" x14ac:dyDescent="0.3">
      <c r="A92" s="27"/>
      <c r="B92" s="11" t="str">
        <f>CONCATENATE("          ", "6381", " - ", "BANK/CREDIT CARD FEES")</f>
        <v xml:space="preserve">          6381 - BANK/CREDIT CARD FEES</v>
      </c>
      <c r="C92" s="11"/>
      <c r="D92" s="6">
        <v>13300.69</v>
      </c>
      <c r="E92" s="2"/>
      <c r="F92" s="7">
        <f t="shared" si="30"/>
        <v>7.3634410664211872E-3</v>
      </c>
      <c r="G92" s="2"/>
      <c r="H92" s="6">
        <v>14129.5</v>
      </c>
      <c r="I92" s="2"/>
      <c r="J92" s="7">
        <f t="shared" si="31"/>
        <v>1.0590781122107857E-2</v>
      </c>
      <c r="K92" s="2"/>
      <c r="L92" s="6">
        <f t="shared" si="32"/>
        <v>-828.80999999999949</v>
      </c>
      <c r="M92" s="2"/>
      <c r="N92" s="7">
        <f t="shared" si="33"/>
        <v>-5.8658126614529849E-2</v>
      </c>
      <c r="O92" s="11"/>
      <c r="P92" s="6">
        <v>82428.91</v>
      </c>
      <c r="Q92" s="2"/>
      <c r="R92" s="7">
        <f t="shared" si="34"/>
        <v>8.5174871453811175E-3</v>
      </c>
      <c r="S92" s="2"/>
      <c r="T92" s="6">
        <v>128146.75</v>
      </c>
      <c r="U92" s="2"/>
      <c r="V92" s="7">
        <f t="shared" si="35"/>
        <v>1.2602458421896164E-2</v>
      </c>
      <c r="W92" s="2"/>
      <c r="X92" s="6">
        <f t="shared" si="36"/>
        <v>-45717.84</v>
      </c>
      <c r="Y92" s="2"/>
      <c r="Z92" s="7">
        <f t="shared" si="37"/>
        <v>-0.35676160339610641</v>
      </c>
    </row>
    <row r="93" spans="1:26" s="29" customFormat="1" outlineLevel="1" collapsed="1" x14ac:dyDescent="0.3">
      <c r="A93" s="28"/>
      <c r="B93" s="14" t="str">
        <f>CONCATENATE("     ","Depreciation                                      ")</f>
        <v xml:space="preserve">     Depreciation                                      </v>
      </c>
      <c r="C93" s="14"/>
      <c r="D93" s="1">
        <f>SUM(OSRRefD22_5x_0)</f>
        <v>70762.12</v>
      </c>
      <c r="E93" s="1"/>
      <c r="F93" s="5">
        <f t="shared" si="30"/>
        <v>3.9174862383457097E-2</v>
      </c>
      <c r="G93" s="1"/>
      <c r="H93" s="1">
        <f>SUM(OSRRefH22_5x_0)</f>
        <v>70087</v>
      </c>
      <c r="I93" s="1"/>
      <c r="J93" s="5">
        <f t="shared" si="31"/>
        <v>5.2533782264423609E-2</v>
      </c>
      <c r="K93" s="1"/>
      <c r="L93" s="1">
        <f t="shared" si="32"/>
        <v>675.11999999999534</v>
      </c>
      <c r="M93" s="1"/>
      <c r="N93" s="5">
        <f t="shared" si="33"/>
        <v>9.6325994834990138E-3</v>
      </c>
      <c r="O93" s="14"/>
      <c r="P93" s="1">
        <f>SUM(OSRRefP22_5x_0)</f>
        <v>356648.6</v>
      </c>
      <c r="Q93" s="1"/>
      <c r="R93" s="5">
        <f t="shared" si="34"/>
        <v>3.6852966585609E-2</v>
      </c>
      <c r="S93" s="1"/>
      <c r="T93" s="1">
        <f>SUM(OSRRefT22_5x_0)</f>
        <v>353270</v>
      </c>
      <c r="U93" s="1"/>
      <c r="V93" s="5">
        <f t="shared" si="35"/>
        <v>3.4741969552120971E-2</v>
      </c>
      <c r="W93" s="1"/>
      <c r="X93" s="1">
        <f t="shared" si="36"/>
        <v>3378.5999999999767</v>
      </c>
      <c r="Y93" s="1"/>
      <c r="Z93" s="5">
        <f t="shared" si="37"/>
        <v>9.5637897358959913E-3</v>
      </c>
    </row>
    <row r="94" spans="1:26" s="24" customFormat="1" hidden="1" outlineLevel="2" x14ac:dyDescent="0.3">
      <c r="A94" s="27"/>
      <c r="B94" s="11" t="str">
        <f>CONCATENATE("          ", "6321", " - ", "BUILDING DEPRECIATION")</f>
        <v xml:space="preserve">          6321 - BUILDING DEPRECIATION</v>
      </c>
      <c r="C94" s="11"/>
      <c r="D94" s="6">
        <v>45016.43</v>
      </c>
      <c r="E94" s="2"/>
      <c r="F94" s="7">
        <f t="shared" si="30"/>
        <v>2.4921701755749117E-2</v>
      </c>
      <c r="G94" s="2"/>
      <c r="H94" s="6"/>
      <c r="I94" s="2"/>
      <c r="J94" s="7">
        <f t="shared" si="31"/>
        <v>0</v>
      </c>
      <c r="K94" s="2"/>
      <c r="L94" s="6">
        <f t="shared" si="32"/>
        <v>45016.43</v>
      </c>
      <c r="M94" s="2"/>
      <c r="N94" s="7">
        <f t="shared" si="33"/>
        <v>0</v>
      </c>
      <c r="O94" s="11"/>
      <c r="P94" s="6">
        <v>225170.29</v>
      </c>
      <c r="Q94" s="2"/>
      <c r="R94" s="7">
        <f t="shared" si="34"/>
        <v>2.3267140747059961E-2</v>
      </c>
      <c r="S94" s="2"/>
      <c r="T94" s="6"/>
      <c r="U94" s="2"/>
      <c r="V94" s="7">
        <f t="shared" si="35"/>
        <v>0</v>
      </c>
      <c r="W94" s="2"/>
      <c r="X94" s="6">
        <f t="shared" si="36"/>
        <v>225170.29</v>
      </c>
      <c r="Y94" s="2"/>
      <c r="Z94" s="7">
        <f t="shared" si="37"/>
        <v>0</v>
      </c>
    </row>
    <row r="95" spans="1:26" s="24" customFormat="1" hidden="1" outlineLevel="2" x14ac:dyDescent="0.3">
      <c r="A95" s="27"/>
      <c r="B95" s="11" t="str">
        <f>CONCATENATE("          ", "6322", " - ", "EQUIPMENT DEPRECIATION EXPENSE")</f>
        <v xml:space="preserve">          6322 - EQUIPMENT DEPRECIATION EXPENSE</v>
      </c>
      <c r="C95" s="11"/>
      <c r="D95" s="6">
        <v>25745.69</v>
      </c>
      <c r="E95" s="2"/>
      <c r="F95" s="7">
        <f t="shared" si="30"/>
        <v>1.4253160627707982E-2</v>
      </c>
      <c r="G95" s="2"/>
      <c r="H95" s="6">
        <v>70087</v>
      </c>
      <c r="I95" s="2"/>
      <c r="J95" s="7">
        <f t="shared" si="31"/>
        <v>5.2533782264423609E-2</v>
      </c>
      <c r="K95" s="2"/>
      <c r="L95" s="6">
        <f t="shared" si="32"/>
        <v>-44341.31</v>
      </c>
      <c r="M95" s="2"/>
      <c r="N95" s="7">
        <f t="shared" si="33"/>
        <v>-0.63266097849815228</v>
      </c>
      <c r="O95" s="11"/>
      <c r="P95" s="6">
        <v>131478.31</v>
      </c>
      <c r="Q95" s="2"/>
      <c r="R95" s="7">
        <f t="shared" si="34"/>
        <v>1.3585825838549042E-2</v>
      </c>
      <c r="S95" s="2"/>
      <c r="T95" s="6">
        <v>353270</v>
      </c>
      <c r="U95" s="2"/>
      <c r="V95" s="7">
        <f t="shared" si="35"/>
        <v>3.4741969552120971E-2</v>
      </c>
      <c r="W95" s="2"/>
      <c r="X95" s="6">
        <f t="shared" si="36"/>
        <v>-221791.69</v>
      </c>
      <c r="Y95" s="2"/>
      <c r="Z95" s="7">
        <f t="shared" si="37"/>
        <v>-0.6278248648342627</v>
      </c>
    </row>
    <row r="96" spans="1:26" s="29" customFormat="1" outlineLevel="1" collapsed="1" x14ac:dyDescent="0.3">
      <c r="A96" s="28"/>
      <c r="B96" s="14" t="str">
        <f>CONCATENATE("     ","Discounts and Markdowns                           ")</f>
        <v xml:space="preserve">     Discounts and Markdowns                           </v>
      </c>
      <c r="C96" s="14"/>
      <c r="D96" s="1">
        <f>SUM(OSRRefD22_6x_0)</f>
        <v>3409.87</v>
      </c>
      <c r="E96" s="1"/>
      <c r="F96" s="5">
        <f t="shared" ref="F96:F98" si="38">IF(D$12=0,0,D96/D$12)</f>
        <v>1.8877499429847332E-3</v>
      </c>
      <c r="G96" s="1"/>
      <c r="H96" s="1">
        <f>SUM(OSRRefH22_6x_0)</f>
        <v>0</v>
      </c>
      <c r="I96" s="1"/>
      <c r="J96" s="5">
        <f t="shared" ref="J96:J98" si="39">IF(H$12=0,0,H96/H$12)</f>
        <v>0</v>
      </c>
      <c r="K96" s="1"/>
      <c r="L96" s="1">
        <f t="shared" ref="L96:L98" si="40">+D96-H96</f>
        <v>3409.87</v>
      </c>
      <c r="M96" s="1"/>
      <c r="N96" s="5">
        <f t="shared" ref="N96:N98" si="41">IF(H96=0,0,L96/H96)</f>
        <v>0</v>
      </c>
      <c r="O96" s="14"/>
      <c r="P96" s="1">
        <f>SUM(OSRRefP22_6x_0)</f>
        <v>3343.63</v>
      </c>
      <c r="Q96" s="1"/>
      <c r="R96" s="5">
        <f t="shared" ref="R96:R98" si="42">IF(P$12=0,0,P96/P$12)</f>
        <v>3.455016637234517E-4</v>
      </c>
      <c r="S96" s="1"/>
      <c r="T96" s="1">
        <f>SUM(OSRRefT22_6x_0)</f>
        <v>0</v>
      </c>
      <c r="U96" s="1"/>
      <c r="V96" s="5">
        <f t="shared" ref="V96:V98" si="43">IF(T$12=0,0,T96/T$12)</f>
        <v>0</v>
      </c>
      <c r="W96" s="1"/>
      <c r="X96" s="1">
        <f t="shared" ref="X96:X98" si="44">+P96-T96</f>
        <v>3343.63</v>
      </c>
      <c r="Y96" s="1"/>
      <c r="Z96" s="5">
        <f t="shared" ref="Z96:Z98" si="45">IF(T96=0,0,X96/T96)</f>
        <v>0</v>
      </c>
    </row>
    <row r="97" spans="1:26" s="24" customFormat="1" hidden="1" outlineLevel="2" x14ac:dyDescent="0.3">
      <c r="A97" s="27"/>
      <c r="B97" s="11" t="str">
        <f>CONCATENATE("          ", "6382", " - ", "DISCOUNTS/MARK DOWNS")</f>
        <v xml:space="preserve">          6382 - DISCOUNTS/MARK DOWNS</v>
      </c>
      <c r="C97" s="11"/>
      <c r="D97" s="6">
        <v>3410</v>
      </c>
      <c r="E97" s="2"/>
      <c r="F97" s="7">
        <f t="shared" si="38"/>
        <v>1.8878219127350722E-3</v>
      </c>
      <c r="G97" s="2"/>
      <c r="H97" s="6"/>
      <c r="I97" s="2"/>
      <c r="J97" s="7">
        <f t="shared" si="39"/>
        <v>0</v>
      </c>
      <c r="K97" s="2"/>
      <c r="L97" s="6">
        <f t="shared" si="40"/>
        <v>3410</v>
      </c>
      <c r="M97" s="2"/>
      <c r="N97" s="7">
        <f t="shared" si="41"/>
        <v>0</v>
      </c>
      <c r="O97" s="11"/>
      <c r="P97" s="6">
        <v>3410</v>
      </c>
      <c r="Q97" s="2"/>
      <c r="R97" s="7">
        <f t="shared" si="42"/>
        <v>3.5235976268216585E-4</v>
      </c>
      <c r="S97" s="2"/>
      <c r="T97" s="6">
        <v>0</v>
      </c>
      <c r="U97" s="2"/>
      <c r="V97" s="7">
        <f t="shared" si="43"/>
        <v>0</v>
      </c>
      <c r="W97" s="2"/>
      <c r="X97" s="6">
        <f t="shared" si="44"/>
        <v>3410</v>
      </c>
      <c r="Y97" s="2"/>
      <c r="Z97" s="7">
        <f t="shared" si="45"/>
        <v>0</v>
      </c>
    </row>
    <row r="98" spans="1:26" s="24" customFormat="1" hidden="1" outlineLevel="2" x14ac:dyDescent="0.3">
      <c r="A98" s="27"/>
      <c r="B98" s="11" t="str">
        <f>CONCATENATE("          ", "9175", " - ", "EARNED DISCOUNTS")</f>
        <v xml:space="preserve">          9175 - EARNED DISCOUNTS</v>
      </c>
      <c r="C98" s="11"/>
      <c r="D98" s="6">
        <v>-0.13</v>
      </c>
      <c r="E98" s="2"/>
      <c r="F98" s="7">
        <f t="shared" si="38"/>
        <v>-7.1969750338873724E-8</v>
      </c>
      <c r="G98" s="2"/>
      <c r="H98" s="6"/>
      <c r="I98" s="2"/>
      <c r="J98" s="7">
        <f t="shared" si="39"/>
        <v>0</v>
      </c>
      <c r="K98" s="2"/>
      <c r="L98" s="6">
        <f t="shared" si="40"/>
        <v>-0.13</v>
      </c>
      <c r="M98" s="2"/>
      <c r="N98" s="7">
        <f t="shared" si="41"/>
        <v>0</v>
      </c>
      <c r="O98" s="11"/>
      <c r="P98" s="6">
        <v>-66.37</v>
      </c>
      <c r="Q98" s="2"/>
      <c r="R98" s="7">
        <f t="shared" si="42"/>
        <v>-6.8580989587141795E-6</v>
      </c>
      <c r="S98" s="2"/>
      <c r="T98" s="6"/>
      <c r="U98" s="2"/>
      <c r="V98" s="7">
        <f t="shared" si="43"/>
        <v>0</v>
      </c>
      <c r="W98" s="2"/>
      <c r="X98" s="6">
        <f t="shared" si="44"/>
        <v>-66.37</v>
      </c>
      <c r="Y98" s="2"/>
      <c r="Z98" s="7">
        <f t="shared" si="45"/>
        <v>0</v>
      </c>
    </row>
    <row r="99" spans="1:26" s="29" customFormat="1" outlineLevel="1" collapsed="1" x14ac:dyDescent="0.3">
      <c r="A99" s="28"/>
      <c r="B99" s="14" t="str">
        <f>CONCATENATE("     ","Donations                                         ")</f>
        <v xml:space="preserve">     Donations                                         </v>
      </c>
      <c r="C99" s="14"/>
      <c r="D99" s="1">
        <f>SUM(OSRRefD22_7x_0)</f>
        <v>9735.59</v>
      </c>
      <c r="E99" s="1"/>
      <c r="F99" s="5">
        <f t="shared" ref="F99:F107" si="46">IF(D$12=0,0,D99/D$12)</f>
        <v>5.389753705397197E-3</v>
      </c>
      <c r="G99" s="1"/>
      <c r="H99" s="1">
        <f>SUM(OSRRefH22_7x_0)</f>
        <v>16750</v>
      </c>
      <c r="I99" s="1"/>
      <c r="J99" s="5">
        <f t="shared" ref="J99:J107" si="47">IF(H$12=0,0,H99/H$12)</f>
        <v>1.2554979567239223E-2</v>
      </c>
      <c r="K99" s="1"/>
      <c r="L99" s="1">
        <f t="shared" ref="L99:L107" si="48">+D99-H99</f>
        <v>-7014.41</v>
      </c>
      <c r="M99" s="1"/>
      <c r="N99" s="5">
        <f t="shared" ref="N99:N107" si="49">IF(H99=0,0,L99/H99)</f>
        <v>-0.41877074626865674</v>
      </c>
      <c r="O99" s="14"/>
      <c r="P99" s="1">
        <f>SUM(OSRRefP22_7x_0)</f>
        <v>35632.81</v>
      </c>
      <c r="Q99" s="1"/>
      <c r="R99" s="5">
        <f t="shared" ref="R99:R107" si="50">IF(P$12=0,0,P99/P$12)</f>
        <v>3.6819848901169226E-3</v>
      </c>
      <c r="S99" s="1"/>
      <c r="T99" s="1">
        <f>SUM(OSRRefT22_7x_0)</f>
        <v>68250</v>
      </c>
      <c r="U99" s="1"/>
      <c r="V99" s="5">
        <f t="shared" ref="V99:V107" si="51">IF(T$12=0,0,T99/T$12)</f>
        <v>6.7119750387303091E-3</v>
      </c>
      <c r="W99" s="1"/>
      <c r="X99" s="1">
        <f t="shared" ref="X99:X107" si="52">+P99-T99</f>
        <v>-32617.190000000002</v>
      </c>
      <c r="Y99" s="1"/>
      <c r="Z99" s="5">
        <f t="shared" ref="Z99:Z107" si="53">IF(T99=0,0,X99/T99)</f>
        <v>-0.4779075457875458</v>
      </c>
    </row>
    <row r="100" spans="1:26" s="24" customFormat="1" hidden="1" outlineLevel="2" x14ac:dyDescent="0.3">
      <c r="A100" s="27"/>
      <c r="B100" s="11" t="str">
        <f>CONCATENATE("          ", "6399", " - ", "DONATION-ON CAMPUS")</f>
        <v xml:space="preserve">          6399 - DONATION-ON CAMPUS</v>
      </c>
      <c r="C100" s="11"/>
      <c r="D100" s="6">
        <v>9735.59</v>
      </c>
      <c r="E100" s="2"/>
      <c r="F100" s="7">
        <f t="shared" si="46"/>
        <v>5.389753705397197E-3</v>
      </c>
      <c r="G100" s="2"/>
      <c r="H100" s="6">
        <v>16750</v>
      </c>
      <c r="I100" s="2"/>
      <c r="J100" s="7">
        <f t="shared" si="47"/>
        <v>1.2554979567239223E-2</v>
      </c>
      <c r="K100" s="2"/>
      <c r="L100" s="6">
        <f t="shared" si="48"/>
        <v>-7014.41</v>
      </c>
      <c r="M100" s="2"/>
      <c r="N100" s="7">
        <f t="shared" si="49"/>
        <v>-0.41877074626865674</v>
      </c>
      <c r="O100" s="11"/>
      <c r="P100" s="6">
        <v>35632.81</v>
      </c>
      <c r="Q100" s="2"/>
      <c r="R100" s="7">
        <f t="shared" si="50"/>
        <v>3.6819848901169226E-3</v>
      </c>
      <c r="S100" s="2"/>
      <c r="T100" s="6">
        <v>68250</v>
      </c>
      <c r="U100" s="2"/>
      <c r="V100" s="7">
        <f t="shared" si="51"/>
        <v>6.7119750387303091E-3</v>
      </c>
      <c r="W100" s="2"/>
      <c r="X100" s="6">
        <f t="shared" si="52"/>
        <v>-32617.190000000002</v>
      </c>
      <c r="Y100" s="2"/>
      <c r="Z100" s="7">
        <f t="shared" si="53"/>
        <v>-0.4779075457875458</v>
      </c>
    </row>
    <row r="101" spans="1:26" s="29" customFormat="1" outlineLevel="1" collapsed="1" x14ac:dyDescent="0.3">
      <c r="A101" s="28"/>
      <c r="B101" s="14" t="str">
        <f>CONCATENATE("     ","Employees' Appreciation                           ")</f>
        <v xml:space="preserve">     Employees' Appreciation                           </v>
      </c>
      <c r="C101" s="14"/>
      <c r="D101" s="1">
        <f>SUM(OSRRefD22_8x_0)</f>
        <v>524.49</v>
      </c>
      <c r="E101" s="1"/>
      <c r="F101" s="5">
        <f t="shared" si="46"/>
        <v>2.9036472580950678E-4</v>
      </c>
      <c r="G101" s="1"/>
      <c r="H101" s="1">
        <f>SUM(OSRRefH22_8x_0)</f>
        <v>505</v>
      </c>
      <c r="I101" s="1"/>
      <c r="J101" s="5">
        <f t="shared" si="47"/>
        <v>3.7852326456452585E-4</v>
      </c>
      <c r="K101" s="1"/>
      <c r="L101" s="1">
        <f t="shared" si="48"/>
        <v>19.490000000000009</v>
      </c>
      <c r="M101" s="1"/>
      <c r="N101" s="5">
        <f t="shared" si="49"/>
        <v>3.8594059405940614E-2</v>
      </c>
      <c r="O101" s="14"/>
      <c r="P101" s="1">
        <f>SUM(OSRRefP22_8x_0)</f>
        <v>2064.7800000000002</v>
      </c>
      <c r="Q101" s="1"/>
      <c r="R101" s="5">
        <f t="shared" si="50"/>
        <v>2.1335641958676908E-4</v>
      </c>
      <c r="S101" s="1"/>
      <c r="T101" s="1">
        <f>SUM(OSRRefT22_8x_0)</f>
        <v>2645</v>
      </c>
      <c r="U101" s="1"/>
      <c r="V101" s="5">
        <f t="shared" si="51"/>
        <v>2.6011976523724055E-4</v>
      </c>
      <c r="W101" s="1"/>
      <c r="X101" s="1">
        <f t="shared" si="52"/>
        <v>-580.2199999999998</v>
      </c>
      <c r="Y101" s="1"/>
      <c r="Z101" s="5">
        <f t="shared" si="53"/>
        <v>-0.21936483931947062</v>
      </c>
    </row>
    <row r="102" spans="1:26" s="24" customFormat="1" hidden="1" outlineLevel="2" x14ac:dyDescent="0.3">
      <c r="A102" s="27"/>
      <c r="B102" s="11" t="str">
        <f>CONCATENATE("          ", "6277", " - ", "EMPLOYEE APPRECIATION")</f>
        <v xml:space="preserve">          6277 - EMPLOYEE APPRECIATION</v>
      </c>
      <c r="C102" s="11"/>
      <c r="D102" s="6">
        <v>524.49</v>
      </c>
      <c r="E102" s="2"/>
      <c r="F102" s="7">
        <f t="shared" si="46"/>
        <v>2.9036472580950678E-4</v>
      </c>
      <c r="G102" s="2"/>
      <c r="H102" s="6">
        <v>505</v>
      </c>
      <c r="I102" s="2"/>
      <c r="J102" s="7">
        <f t="shared" si="47"/>
        <v>3.7852326456452585E-4</v>
      </c>
      <c r="K102" s="2"/>
      <c r="L102" s="6">
        <f t="shared" si="48"/>
        <v>19.490000000000009</v>
      </c>
      <c r="M102" s="2"/>
      <c r="N102" s="7">
        <f t="shared" si="49"/>
        <v>3.8594059405940614E-2</v>
      </c>
      <c r="O102" s="11"/>
      <c r="P102" s="6">
        <v>2064.7800000000002</v>
      </c>
      <c r="Q102" s="2"/>
      <c r="R102" s="7">
        <f t="shared" si="50"/>
        <v>2.1335641958676908E-4</v>
      </c>
      <c r="S102" s="2"/>
      <c r="T102" s="6">
        <v>2645</v>
      </c>
      <c r="U102" s="2"/>
      <c r="V102" s="7">
        <f t="shared" si="51"/>
        <v>2.6011976523724055E-4</v>
      </c>
      <c r="W102" s="2"/>
      <c r="X102" s="6">
        <f t="shared" si="52"/>
        <v>-580.2199999999998</v>
      </c>
      <c r="Y102" s="2"/>
      <c r="Z102" s="7">
        <f t="shared" si="53"/>
        <v>-0.21936483931947062</v>
      </c>
    </row>
    <row r="103" spans="1:26" s="29" customFormat="1" outlineLevel="1" collapsed="1" x14ac:dyDescent="0.3">
      <c r="A103" s="28"/>
      <c r="B103" s="14" t="str">
        <f>CONCATENATE("     ","Equipment Rental                                  ")</f>
        <v xml:space="preserve">     Equipment Rental                                  </v>
      </c>
      <c r="C103" s="14"/>
      <c r="D103" s="1">
        <f>SUM(OSRRefD22_9x_0)</f>
        <v>3040.96</v>
      </c>
      <c r="E103" s="1"/>
      <c r="F103" s="5">
        <f t="shared" si="46"/>
        <v>1.6835163999269342E-3</v>
      </c>
      <c r="G103" s="1"/>
      <c r="H103" s="1">
        <f>SUM(OSRRefH22_9x_0)</f>
        <v>3446</v>
      </c>
      <c r="I103" s="1"/>
      <c r="J103" s="5">
        <f t="shared" si="47"/>
        <v>2.5829528112660516E-3</v>
      </c>
      <c r="K103" s="1"/>
      <c r="L103" s="1">
        <f t="shared" si="48"/>
        <v>-405.03999999999996</v>
      </c>
      <c r="M103" s="1"/>
      <c r="N103" s="5">
        <f t="shared" si="49"/>
        <v>-0.11753917585606499</v>
      </c>
      <c r="O103" s="14"/>
      <c r="P103" s="1">
        <f>SUM(OSRRefP22_9x_0)</f>
        <v>19376.560000000001</v>
      </c>
      <c r="Q103" s="1"/>
      <c r="R103" s="5">
        <f t="shared" si="50"/>
        <v>2.0022053029902487E-3</v>
      </c>
      <c r="S103" s="1"/>
      <c r="T103" s="1">
        <f>SUM(OSRRefT22_9x_0)</f>
        <v>17030</v>
      </c>
      <c r="U103" s="1"/>
      <c r="V103" s="5">
        <f t="shared" si="51"/>
        <v>1.6747975810927056E-3</v>
      </c>
      <c r="W103" s="1"/>
      <c r="X103" s="1">
        <f t="shared" si="52"/>
        <v>2346.5600000000013</v>
      </c>
      <c r="Y103" s="1"/>
      <c r="Z103" s="5">
        <f t="shared" si="53"/>
        <v>0.1377897827363477</v>
      </c>
    </row>
    <row r="104" spans="1:26" s="24" customFormat="1" hidden="1" outlineLevel="2" x14ac:dyDescent="0.3">
      <c r="A104" s="27"/>
      <c r="B104" s="11" t="str">
        <f>CONCATENATE("          ", "6351", " - ", "EQUIPMENT RENTAL")</f>
        <v xml:space="preserve">          6351 - EQUIPMENT RENTAL</v>
      </c>
      <c r="C104" s="11"/>
      <c r="D104" s="6">
        <v>3040.96</v>
      </c>
      <c r="E104" s="2"/>
      <c r="F104" s="7">
        <f t="shared" si="46"/>
        <v>1.6835163999269342E-3</v>
      </c>
      <c r="G104" s="2"/>
      <c r="H104" s="6">
        <v>3446</v>
      </c>
      <c r="I104" s="2"/>
      <c r="J104" s="7">
        <f t="shared" si="47"/>
        <v>2.5829528112660516E-3</v>
      </c>
      <c r="K104" s="2"/>
      <c r="L104" s="6">
        <f t="shared" si="48"/>
        <v>-405.03999999999996</v>
      </c>
      <c r="M104" s="2"/>
      <c r="N104" s="7">
        <f t="shared" si="49"/>
        <v>-0.11753917585606499</v>
      </c>
      <c r="O104" s="11"/>
      <c r="P104" s="6">
        <v>19376.560000000001</v>
      </c>
      <c r="Q104" s="2"/>
      <c r="R104" s="7">
        <f t="shared" si="50"/>
        <v>2.0022053029902487E-3</v>
      </c>
      <c r="S104" s="2"/>
      <c r="T104" s="6">
        <v>17030</v>
      </c>
      <c r="U104" s="2"/>
      <c r="V104" s="7">
        <f t="shared" si="51"/>
        <v>1.6747975810927056E-3</v>
      </c>
      <c r="W104" s="2"/>
      <c r="X104" s="6">
        <f t="shared" si="52"/>
        <v>2346.5600000000013</v>
      </c>
      <c r="Y104" s="2"/>
      <c r="Z104" s="7">
        <f t="shared" si="53"/>
        <v>0.1377897827363477</v>
      </c>
    </row>
    <row r="105" spans="1:26" s="29" customFormat="1" outlineLevel="1" collapsed="1" x14ac:dyDescent="0.3">
      <c r="A105" s="28"/>
      <c r="B105" s="14" t="str">
        <f>CONCATENATE("     ","Freight out/Postage                               ")</f>
        <v xml:space="preserve">     Freight out/Postage                               </v>
      </c>
      <c r="C105" s="14"/>
      <c r="D105" s="1">
        <f>SUM(OSRRefD22_10x_0)</f>
        <v>5663.4</v>
      </c>
      <c r="E105" s="1"/>
      <c r="F105" s="5">
        <f t="shared" si="46"/>
        <v>3.1353344928398263E-3</v>
      </c>
      <c r="G105" s="1"/>
      <c r="H105" s="1">
        <f>SUM(OSRRefH22_10x_0)</f>
        <v>10675</v>
      </c>
      <c r="I105" s="1"/>
      <c r="J105" s="5">
        <f t="shared" si="47"/>
        <v>8.001457127180818E-3</v>
      </c>
      <c r="K105" s="1"/>
      <c r="L105" s="1">
        <f t="shared" si="48"/>
        <v>-5011.6000000000004</v>
      </c>
      <c r="M105" s="1"/>
      <c r="N105" s="5">
        <f t="shared" si="49"/>
        <v>-0.4694707259953162</v>
      </c>
      <c r="O105" s="14"/>
      <c r="P105" s="1">
        <f>SUM(OSRRefP22_10x_0)</f>
        <v>-29863.48000000001</v>
      </c>
      <c r="Q105" s="1"/>
      <c r="R105" s="5">
        <f t="shared" si="50"/>
        <v>-3.0858324708690939E-3</v>
      </c>
      <c r="S105" s="1"/>
      <c r="T105" s="1">
        <f>SUM(OSRRefT22_10x_0)</f>
        <v>8775</v>
      </c>
      <c r="U105" s="1"/>
      <c r="V105" s="5">
        <f t="shared" si="51"/>
        <v>8.6296821926532539E-4</v>
      </c>
      <c r="W105" s="1"/>
      <c r="X105" s="1">
        <f t="shared" si="52"/>
        <v>-38638.48000000001</v>
      </c>
      <c r="Y105" s="1"/>
      <c r="Z105" s="5">
        <f t="shared" si="53"/>
        <v>-4.4032455840455853</v>
      </c>
    </row>
    <row r="106" spans="1:26" s="24" customFormat="1" hidden="1" outlineLevel="2" x14ac:dyDescent="0.3">
      <c r="A106" s="27"/>
      <c r="B106" s="11" t="str">
        <f>CONCATENATE("          ", "6305", " - ", "FREIGHT OUT")</f>
        <v xml:space="preserve">          6305 - FREIGHT OUT</v>
      </c>
      <c r="C106" s="11"/>
      <c r="D106" s="6">
        <v>11064.07</v>
      </c>
      <c r="E106" s="2"/>
      <c r="F106" s="7">
        <f t="shared" si="46"/>
        <v>6.1252181202447889E-3</v>
      </c>
      <c r="G106" s="2"/>
      <c r="H106" s="6">
        <v>15065</v>
      </c>
      <c r="I106" s="2"/>
      <c r="J106" s="7">
        <f t="shared" si="47"/>
        <v>1.1291986100325904E-2</v>
      </c>
      <c r="K106" s="2"/>
      <c r="L106" s="6">
        <f t="shared" si="48"/>
        <v>-4000.9300000000003</v>
      </c>
      <c r="M106" s="2"/>
      <c r="N106" s="7">
        <f t="shared" si="49"/>
        <v>-0.26557782940590774</v>
      </c>
      <c r="O106" s="11"/>
      <c r="P106" s="6">
        <v>65951.37</v>
      </c>
      <c r="Q106" s="2"/>
      <c r="R106" s="7">
        <f t="shared" si="50"/>
        <v>6.8148413729512353E-3</v>
      </c>
      <c r="S106" s="2"/>
      <c r="T106" s="6">
        <v>90025</v>
      </c>
      <c r="U106" s="2"/>
      <c r="V106" s="7">
        <f t="shared" si="51"/>
        <v>8.8534146939442636E-3</v>
      </c>
      <c r="W106" s="2"/>
      <c r="X106" s="6">
        <f t="shared" si="52"/>
        <v>-24073.630000000005</v>
      </c>
      <c r="Y106" s="2"/>
      <c r="Z106" s="7">
        <f t="shared" si="53"/>
        <v>-0.26741049708414333</v>
      </c>
    </row>
    <row r="107" spans="1:26" s="24" customFormat="1" hidden="1" outlineLevel="2" x14ac:dyDescent="0.3">
      <c r="A107" s="27"/>
      <c r="B107" s="11" t="str">
        <f>CONCATENATE("          ", "6307", " - ", "POSTAGE")</f>
        <v xml:space="preserve">          6307 - POSTAGE</v>
      </c>
      <c r="C107" s="11"/>
      <c r="D107" s="6">
        <v>-5400.67</v>
      </c>
      <c r="E107" s="2"/>
      <c r="F107" s="7">
        <f t="shared" si="46"/>
        <v>-2.9898836274049627E-3</v>
      </c>
      <c r="G107" s="2"/>
      <c r="H107" s="6">
        <v>-4390</v>
      </c>
      <c r="I107" s="2"/>
      <c r="J107" s="7">
        <f t="shared" si="47"/>
        <v>-3.2905289731450862E-3</v>
      </c>
      <c r="K107" s="2"/>
      <c r="L107" s="6">
        <f t="shared" si="48"/>
        <v>-1010.6700000000001</v>
      </c>
      <c r="M107" s="2"/>
      <c r="N107" s="7">
        <f t="shared" si="49"/>
        <v>0.23022095671981779</v>
      </c>
      <c r="O107" s="11"/>
      <c r="P107" s="6">
        <v>-95814.85</v>
      </c>
      <c r="Q107" s="2"/>
      <c r="R107" s="7">
        <f t="shared" si="50"/>
        <v>-9.90067384382033E-3</v>
      </c>
      <c r="S107" s="2"/>
      <c r="T107" s="6">
        <v>-81250</v>
      </c>
      <c r="U107" s="2"/>
      <c r="V107" s="7">
        <f t="shared" si="51"/>
        <v>-7.9904464746789385E-3</v>
      </c>
      <c r="W107" s="2"/>
      <c r="X107" s="6">
        <f t="shared" si="52"/>
        <v>-14564.850000000006</v>
      </c>
      <c r="Y107" s="2"/>
      <c r="Z107" s="7">
        <f t="shared" si="53"/>
        <v>0.17925969230769237</v>
      </c>
    </row>
    <row r="108" spans="1:26" s="29" customFormat="1" outlineLevel="1" collapsed="1" x14ac:dyDescent="0.3">
      <c r="A108" s="28"/>
      <c r="B108" s="14" t="str">
        <f>CONCATENATE("     ","General                                           ")</f>
        <v xml:space="preserve">     General                                           </v>
      </c>
      <c r="C108" s="14"/>
      <c r="D108" s="1">
        <f>SUM(OSRRefD22_11x_0)</f>
        <v>1682.28</v>
      </c>
      <c r="E108" s="1"/>
      <c r="F108" s="5">
        <f t="shared" ref="F108:F110" si="54">IF(D$12=0,0,D108/D$12)</f>
        <v>9.3133285846215758E-4</v>
      </c>
      <c r="G108" s="1"/>
      <c r="H108" s="1">
        <f>SUM(OSRRefH22_11x_0)</f>
        <v>1310</v>
      </c>
      <c r="I108" s="1"/>
      <c r="J108" s="5">
        <f t="shared" ref="J108:J110" si="55">IF(H$12=0,0,H108/H$12)</f>
        <v>9.8191183481094826E-4</v>
      </c>
      <c r="K108" s="1"/>
      <c r="L108" s="1">
        <f t="shared" ref="L108:L110" si="56">+D108-H108</f>
        <v>372.28</v>
      </c>
      <c r="M108" s="1"/>
      <c r="N108" s="5">
        <f t="shared" ref="N108:N110" si="57">IF(H108=0,0,L108/H108)</f>
        <v>0.2841832061068702</v>
      </c>
      <c r="O108" s="14"/>
      <c r="P108" s="1">
        <f>SUM(OSRRefP22_11x_0)</f>
        <v>30751.35</v>
      </c>
      <c r="Q108" s="1"/>
      <c r="R108" s="5">
        <f t="shared" ref="R108:R110" si="58">IF(P$12=0,0,P108/P$12)</f>
        <v>3.1775772399285107E-3</v>
      </c>
      <c r="S108" s="1"/>
      <c r="T108" s="1">
        <f>SUM(OSRRefT22_11x_0)</f>
        <v>13285</v>
      </c>
      <c r="U108" s="1"/>
      <c r="V108" s="5">
        <f t="shared" ref="V108:V110" si="59">IF(T$12=0,0,T108/T$12)</f>
        <v>1.3064994635828887E-3</v>
      </c>
      <c r="W108" s="1"/>
      <c r="X108" s="1">
        <f t="shared" ref="X108:X110" si="60">+P108-T108</f>
        <v>17466.349999999999</v>
      </c>
      <c r="Y108" s="1"/>
      <c r="Z108" s="5">
        <f t="shared" ref="Z108:Z110" si="61">IF(T108=0,0,X108/T108)</f>
        <v>1.3147421904403462</v>
      </c>
    </row>
    <row r="109" spans="1:26" s="24" customFormat="1" hidden="1" outlineLevel="2" x14ac:dyDescent="0.3">
      <c r="A109" s="27"/>
      <c r="B109" s="11" t="str">
        <f>CONCATENATE("          ", "6276", " - ", "PROPERTY TAX")</f>
        <v xml:space="preserve">          6276 - PROPERTY TAX</v>
      </c>
      <c r="C109" s="11"/>
      <c r="D109" s="6"/>
      <c r="E109" s="2"/>
      <c r="F109" s="7">
        <f t="shared" si="54"/>
        <v>0</v>
      </c>
      <c r="G109" s="2"/>
      <c r="H109" s="6"/>
      <c r="I109" s="2"/>
      <c r="J109" s="7">
        <f t="shared" si="55"/>
        <v>0</v>
      </c>
      <c r="K109" s="2"/>
      <c r="L109" s="6">
        <f t="shared" si="56"/>
        <v>0</v>
      </c>
      <c r="M109" s="2"/>
      <c r="N109" s="7">
        <f t="shared" si="57"/>
        <v>0</v>
      </c>
      <c r="O109" s="11"/>
      <c r="P109" s="6"/>
      <c r="Q109" s="2"/>
      <c r="R109" s="7">
        <f t="shared" si="58"/>
        <v>0</v>
      </c>
      <c r="S109" s="2"/>
      <c r="T109" s="6">
        <v>125</v>
      </c>
      <c r="U109" s="2"/>
      <c r="V109" s="7">
        <f t="shared" si="59"/>
        <v>1.2292994576429137E-5</v>
      </c>
      <c r="W109" s="2"/>
      <c r="X109" s="6">
        <f t="shared" si="60"/>
        <v>-125</v>
      </c>
      <c r="Y109" s="2"/>
      <c r="Z109" s="7">
        <f t="shared" si="61"/>
        <v>-1</v>
      </c>
    </row>
    <row r="110" spans="1:26" s="24" customFormat="1" hidden="1" outlineLevel="2" x14ac:dyDescent="0.3">
      <c r="A110" s="27"/>
      <c r="B110" s="11" t="str">
        <f>CONCATENATE("          ", "6279", " - ", "GENERAL EXPENSE")</f>
        <v xml:space="preserve">          6279 - GENERAL EXPENSE</v>
      </c>
      <c r="C110" s="11"/>
      <c r="D110" s="6">
        <v>1682.28</v>
      </c>
      <c r="E110" s="2"/>
      <c r="F110" s="7">
        <f t="shared" si="54"/>
        <v>9.3133285846215758E-4</v>
      </c>
      <c r="G110" s="2"/>
      <c r="H110" s="6">
        <v>1310</v>
      </c>
      <c r="I110" s="2"/>
      <c r="J110" s="7">
        <f t="shared" si="55"/>
        <v>9.8191183481094826E-4</v>
      </c>
      <c r="K110" s="2"/>
      <c r="L110" s="6">
        <f t="shared" si="56"/>
        <v>372.28</v>
      </c>
      <c r="M110" s="2"/>
      <c r="N110" s="7">
        <f t="shared" si="57"/>
        <v>0.2841832061068702</v>
      </c>
      <c r="O110" s="11"/>
      <c r="P110" s="6">
        <v>30751.35</v>
      </c>
      <c r="Q110" s="2"/>
      <c r="R110" s="7">
        <f t="shared" si="58"/>
        <v>3.1775772399285107E-3</v>
      </c>
      <c r="S110" s="2"/>
      <c r="T110" s="6">
        <v>13160</v>
      </c>
      <c r="U110" s="2"/>
      <c r="V110" s="7">
        <f t="shared" si="59"/>
        <v>1.2942064690064595E-3</v>
      </c>
      <c r="W110" s="2"/>
      <c r="X110" s="6">
        <f t="shared" si="60"/>
        <v>17591.349999999999</v>
      </c>
      <c r="Y110" s="2"/>
      <c r="Z110" s="7">
        <f t="shared" si="61"/>
        <v>1.3367287234042553</v>
      </c>
    </row>
    <row r="111" spans="1:26" s="29" customFormat="1" outlineLevel="1" collapsed="1" x14ac:dyDescent="0.3">
      <c r="A111" s="28"/>
      <c r="B111" s="14" t="str">
        <f>CONCATENATE("     ","Insurance                                         ")</f>
        <v xml:space="preserve">     Insurance                                         </v>
      </c>
      <c r="C111" s="14"/>
      <c r="D111" s="1">
        <f>SUM(OSRRefD22_12x_0)</f>
        <v>11626.43</v>
      </c>
      <c r="E111" s="1"/>
      <c r="F111" s="5">
        <f t="shared" ref="F111:F127" si="62">IF(D$12=0,0,D111/D$12)</f>
        <v>6.4365481879414743E-3</v>
      </c>
      <c r="G111" s="1"/>
      <c r="H111" s="1">
        <f>SUM(OSRRefH22_12x_0)</f>
        <v>11425</v>
      </c>
      <c r="I111" s="1"/>
      <c r="J111" s="5">
        <f t="shared" ref="J111:J127" si="63">IF(H$12=0,0,H111/H$12)</f>
        <v>8.5636203913855603E-3</v>
      </c>
      <c r="K111" s="1"/>
      <c r="L111" s="1">
        <f t="shared" ref="L111:L127" si="64">+D111-H111</f>
        <v>201.43000000000029</v>
      </c>
      <c r="M111" s="1"/>
      <c r="N111" s="5">
        <f t="shared" ref="N111:N127" si="65">IF(H111=0,0,L111/H111)</f>
        <v>1.7630634573304185E-2</v>
      </c>
      <c r="O111" s="14"/>
      <c r="P111" s="1">
        <f>SUM(OSRRefP22_12x_0)</f>
        <v>65015.16</v>
      </c>
      <c r="Q111" s="1"/>
      <c r="R111" s="5">
        <f t="shared" ref="R111:R127" si="66">IF(P$12=0,0,P111/P$12)</f>
        <v>6.7181015684290458E-3</v>
      </c>
      <c r="S111" s="1"/>
      <c r="T111" s="1">
        <f>SUM(OSRRefT22_12x_0)</f>
        <v>57125</v>
      </c>
      <c r="U111" s="1"/>
      <c r="V111" s="5">
        <f t="shared" ref="V111:V127" si="67">IF(T$12=0,0,T111/T$12)</f>
        <v>5.6178985214281156E-3</v>
      </c>
      <c r="W111" s="1"/>
      <c r="X111" s="1">
        <f t="shared" ref="X111:X127" si="68">+P111-T111</f>
        <v>7890.1600000000035</v>
      </c>
      <c r="Y111" s="1"/>
      <c r="Z111" s="5">
        <f t="shared" ref="Z111:Z127" si="69">IF(T111=0,0,X111/T111)</f>
        <v>0.13812096280087532</v>
      </c>
    </row>
    <row r="112" spans="1:26" s="24" customFormat="1" hidden="1" outlineLevel="2" x14ac:dyDescent="0.3">
      <c r="A112" s="27"/>
      <c r="B112" s="11" t="str">
        <f>CONCATENATE("          ", "6314", " - ", "LIABILITY INSURANCE")</f>
        <v xml:space="preserve">          6314 - LIABILITY INSURANCE</v>
      </c>
      <c r="C112" s="11"/>
      <c r="D112" s="6">
        <v>11626.43</v>
      </c>
      <c r="E112" s="2"/>
      <c r="F112" s="7">
        <f t="shared" si="62"/>
        <v>6.4365481879414743E-3</v>
      </c>
      <c r="G112" s="2"/>
      <c r="H112" s="6">
        <v>11425</v>
      </c>
      <c r="I112" s="2"/>
      <c r="J112" s="7">
        <f t="shared" si="63"/>
        <v>8.5636203913855603E-3</v>
      </c>
      <c r="K112" s="2"/>
      <c r="L112" s="6">
        <f t="shared" si="64"/>
        <v>201.43000000000029</v>
      </c>
      <c r="M112" s="2"/>
      <c r="N112" s="7">
        <f t="shared" si="65"/>
        <v>1.7630634573304185E-2</v>
      </c>
      <c r="O112" s="11"/>
      <c r="P112" s="6">
        <v>65015.16</v>
      </c>
      <c r="Q112" s="2"/>
      <c r="R112" s="7">
        <f t="shared" si="66"/>
        <v>6.7181015684290458E-3</v>
      </c>
      <c r="S112" s="2"/>
      <c r="T112" s="6">
        <v>57125</v>
      </c>
      <c r="U112" s="2"/>
      <c r="V112" s="7">
        <f t="shared" si="67"/>
        <v>5.6178985214281156E-3</v>
      </c>
      <c r="W112" s="2"/>
      <c r="X112" s="6">
        <f t="shared" si="68"/>
        <v>7890.1600000000035</v>
      </c>
      <c r="Y112" s="2"/>
      <c r="Z112" s="7">
        <f t="shared" si="69"/>
        <v>0.13812096280087532</v>
      </c>
    </row>
    <row r="113" spans="1:26" s="29" customFormat="1" outlineLevel="1" collapsed="1" x14ac:dyDescent="0.3">
      <c r="A113" s="28"/>
      <c r="B113" s="14" t="str">
        <f>CONCATENATE("     ","Interest                                          ")</f>
        <v xml:space="preserve">     Interest                                          </v>
      </c>
      <c r="C113" s="14"/>
      <c r="D113" s="1">
        <f>SUM(OSRRefD22_13x_0)</f>
        <v>11158</v>
      </c>
      <c r="E113" s="1"/>
      <c r="F113" s="5">
        <f t="shared" si="62"/>
        <v>6.1772190329319465E-3</v>
      </c>
      <c r="G113" s="1"/>
      <c r="H113" s="1">
        <f>SUM(OSRRefH22_13x_0)</f>
        <v>11158</v>
      </c>
      <c r="I113" s="1"/>
      <c r="J113" s="5">
        <f t="shared" si="63"/>
        <v>8.3634902693286717E-3</v>
      </c>
      <c r="K113" s="1"/>
      <c r="L113" s="1">
        <f t="shared" si="64"/>
        <v>0</v>
      </c>
      <c r="M113" s="1"/>
      <c r="N113" s="5">
        <f t="shared" si="65"/>
        <v>0</v>
      </c>
      <c r="O113" s="14"/>
      <c r="P113" s="1">
        <f>SUM(OSRRefP22_13x_0)</f>
        <v>55000</v>
      </c>
      <c r="Q113" s="1"/>
      <c r="R113" s="5">
        <f t="shared" si="66"/>
        <v>5.683221978744611E-3</v>
      </c>
      <c r="S113" s="1"/>
      <c r="T113" s="1">
        <f>SUM(OSRRefT22_13x_0)</f>
        <v>55790</v>
      </c>
      <c r="U113" s="1"/>
      <c r="V113" s="5">
        <f t="shared" si="67"/>
        <v>5.4866093393518521E-3</v>
      </c>
      <c r="W113" s="1"/>
      <c r="X113" s="1">
        <f t="shared" si="68"/>
        <v>-790</v>
      </c>
      <c r="Y113" s="1"/>
      <c r="Z113" s="5">
        <f t="shared" si="69"/>
        <v>-1.4160243771285176E-2</v>
      </c>
    </row>
    <row r="114" spans="1:26" s="24" customFormat="1" hidden="1" outlineLevel="2" x14ac:dyDescent="0.3">
      <c r="A114" s="27"/>
      <c r="B114" s="11" t="str">
        <f>CONCATENATE("          ", "6401", " - ", "INTEREST EXPENSE")</f>
        <v xml:space="preserve">          6401 - INTEREST EXPENSE</v>
      </c>
      <c r="C114" s="11"/>
      <c r="D114" s="6">
        <v>11158</v>
      </c>
      <c r="E114" s="2"/>
      <c r="F114" s="7">
        <f t="shared" si="62"/>
        <v>6.1772190329319465E-3</v>
      </c>
      <c r="G114" s="2"/>
      <c r="H114" s="6">
        <v>11158</v>
      </c>
      <c r="I114" s="2"/>
      <c r="J114" s="7">
        <f t="shared" si="63"/>
        <v>8.3634902693286717E-3</v>
      </c>
      <c r="K114" s="2"/>
      <c r="L114" s="6">
        <f t="shared" si="64"/>
        <v>0</v>
      </c>
      <c r="M114" s="2"/>
      <c r="N114" s="7">
        <f t="shared" si="65"/>
        <v>0</v>
      </c>
      <c r="O114" s="11"/>
      <c r="P114" s="6">
        <v>55000</v>
      </c>
      <c r="Q114" s="2"/>
      <c r="R114" s="7">
        <f t="shared" si="66"/>
        <v>5.683221978744611E-3</v>
      </c>
      <c r="S114" s="2"/>
      <c r="T114" s="6">
        <v>55790</v>
      </c>
      <c r="U114" s="2"/>
      <c r="V114" s="7">
        <f t="shared" si="67"/>
        <v>5.4866093393518521E-3</v>
      </c>
      <c r="W114" s="2"/>
      <c r="X114" s="6">
        <f t="shared" si="68"/>
        <v>-790</v>
      </c>
      <c r="Y114" s="2"/>
      <c r="Z114" s="7">
        <f t="shared" si="69"/>
        <v>-1.4160243771285176E-2</v>
      </c>
    </row>
    <row r="115" spans="1:26" s="29" customFormat="1" outlineLevel="1" collapsed="1" x14ac:dyDescent="0.3">
      <c r="A115" s="28"/>
      <c r="B115" s="14" t="str">
        <f>CONCATENATE("     ","Inventory Adjustment                              ")</f>
        <v xml:space="preserve">     Inventory Adjustment                              </v>
      </c>
      <c r="C115" s="14"/>
      <c r="D115" s="1">
        <f>SUM(OSRRefD22_14x_0)</f>
        <v>5730</v>
      </c>
      <c r="E115" s="1"/>
      <c r="F115" s="5">
        <f t="shared" si="62"/>
        <v>3.1722051495518956E-3</v>
      </c>
      <c r="G115" s="1"/>
      <c r="H115" s="1">
        <f>SUM(OSRRefH22_14x_0)</f>
        <v>5730</v>
      </c>
      <c r="I115" s="1"/>
      <c r="J115" s="5">
        <f t="shared" si="63"/>
        <v>4.2949273385242239E-3</v>
      </c>
      <c r="K115" s="1"/>
      <c r="L115" s="1">
        <f t="shared" si="64"/>
        <v>0</v>
      </c>
      <c r="M115" s="1"/>
      <c r="N115" s="5">
        <f t="shared" si="65"/>
        <v>0</v>
      </c>
      <c r="O115" s="14"/>
      <c r="P115" s="1">
        <f>SUM(OSRRefP22_14x_0)</f>
        <v>30800</v>
      </c>
      <c r="Q115" s="1"/>
      <c r="R115" s="5">
        <f t="shared" si="66"/>
        <v>3.1826043080969823E-3</v>
      </c>
      <c r="S115" s="1"/>
      <c r="T115" s="1">
        <f>SUM(OSRRefT22_14x_0)</f>
        <v>31510</v>
      </c>
      <c r="U115" s="1"/>
      <c r="V115" s="5">
        <f t="shared" si="67"/>
        <v>3.0988180728262569E-3</v>
      </c>
      <c r="W115" s="1"/>
      <c r="X115" s="1">
        <f t="shared" si="68"/>
        <v>-710</v>
      </c>
      <c r="Y115" s="1"/>
      <c r="Z115" s="5">
        <f t="shared" si="69"/>
        <v>-2.2532529355760077E-2</v>
      </c>
    </row>
    <row r="116" spans="1:26" s="24" customFormat="1" hidden="1" outlineLevel="2" x14ac:dyDescent="0.3">
      <c r="A116" s="27"/>
      <c r="B116" s="11" t="str">
        <f>CONCATENATE("          ", "6408", " - ", "INVENTORY ADJUSTMENT")</f>
        <v xml:space="preserve">          6408 - INVENTORY ADJUSTMENT</v>
      </c>
      <c r="C116" s="11"/>
      <c r="D116" s="6">
        <v>5730</v>
      </c>
      <c r="E116" s="2"/>
      <c r="F116" s="7">
        <f t="shared" si="62"/>
        <v>3.1722051495518956E-3</v>
      </c>
      <c r="G116" s="2"/>
      <c r="H116" s="6">
        <v>5730</v>
      </c>
      <c r="I116" s="2"/>
      <c r="J116" s="7">
        <f t="shared" si="63"/>
        <v>4.2949273385242239E-3</v>
      </c>
      <c r="K116" s="2"/>
      <c r="L116" s="6">
        <f t="shared" si="64"/>
        <v>0</v>
      </c>
      <c r="M116" s="2"/>
      <c r="N116" s="7">
        <f t="shared" si="65"/>
        <v>0</v>
      </c>
      <c r="O116" s="11"/>
      <c r="P116" s="6">
        <v>30800</v>
      </c>
      <c r="Q116" s="2"/>
      <c r="R116" s="7">
        <f t="shared" si="66"/>
        <v>3.1826043080969823E-3</v>
      </c>
      <c r="S116" s="2"/>
      <c r="T116" s="6">
        <v>31510</v>
      </c>
      <c r="U116" s="2"/>
      <c r="V116" s="7">
        <f t="shared" si="67"/>
        <v>3.0988180728262569E-3</v>
      </c>
      <c r="W116" s="2"/>
      <c r="X116" s="6">
        <f t="shared" si="68"/>
        <v>-710</v>
      </c>
      <c r="Y116" s="2"/>
      <c r="Z116" s="7">
        <f t="shared" si="69"/>
        <v>-2.2532529355760077E-2</v>
      </c>
    </row>
    <row r="117" spans="1:26" s="29" customFormat="1" outlineLevel="1" collapsed="1" x14ac:dyDescent="0.3">
      <c r="A117" s="28"/>
      <c r="B117" s="14" t="str">
        <f>CONCATENATE("     ","Professional Services                             ")</f>
        <v xml:space="preserve">     Professional Services                             </v>
      </c>
      <c r="C117" s="14"/>
      <c r="D117" s="1">
        <f>SUM(OSRRefD22_15x_0)</f>
        <v>0</v>
      </c>
      <c r="E117" s="1"/>
      <c r="F117" s="5">
        <f t="shared" si="62"/>
        <v>0</v>
      </c>
      <c r="G117" s="1"/>
      <c r="H117" s="1">
        <f>SUM(OSRRefH22_15x_0)</f>
        <v>0</v>
      </c>
      <c r="I117" s="1"/>
      <c r="J117" s="5">
        <f t="shared" si="63"/>
        <v>0</v>
      </c>
      <c r="K117" s="1"/>
      <c r="L117" s="1">
        <f t="shared" si="64"/>
        <v>0</v>
      </c>
      <c r="M117" s="1"/>
      <c r="N117" s="5">
        <f t="shared" si="65"/>
        <v>0</v>
      </c>
      <c r="O117" s="14"/>
      <c r="P117" s="1">
        <f>SUM(OSRRefP22_15x_0)</f>
        <v>8186.53</v>
      </c>
      <c r="Q117" s="1"/>
      <c r="R117" s="5">
        <f t="shared" si="66"/>
        <v>8.459248586482203E-4</v>
      </c>
      <c r="S117" s="1"/>
      <c r="T117" s="1">
        <f>SUM(OSRRefT22_15x_0)</f>
        <v>1250</v>
      </c>
      <c r="U117" s="1"/>
      <c r="V117" s="5">
        <f t="shared" si="67"/>
        <v>1.2292994576429137E-4</v>
      </c>
      <c r="W117" s="1"/>
      <c r="X117" s="1">
        <f t="shared" si="68"/>
        <v>6936.53</v>
      </c>
      <c r="Y117" s="1"/>
      <c r="Z117" s="5">
        <f t="shared" si="69"/>
        <v>5.5492239999999997</v>
      </c>
    </row>
    <row r="118" spans="1:26" s="24" customFormat="1" hidden="1" outlineLevel="2" x14ac:dyDescent="0.3">
      <c r="A118" s="27"/>
      <c r="B118" s="11" t="str">
        <f>CONCATENATE("          ", "6336", " - ", "PROFESSIONAL SERVICES")</f>
        <v xml:space="preserve">          6336 - PROFESSIONAL SERVICES</v>
      </c>
      <c r="C118" s="11"/>
      <c r="D118" s="6"/>
      <c r="E118" s="2"/>
      <c r="F118" s="7">
        <f t="shared" si="62"/>
        <v>0</v>
      </c>
      <c r="G118" s="2"/>
      <c r="H118" s="6">
        <v>0</v>
      </c>
      <c r="I118" s="2"/>
      <c r="J118" s="7">
        <f t="shared" si="63"/>
        <v>0</v>
      </c>
      <c r="K118" s="2"/>
      <c r="L118" s="6">
        <f t="shared" si="64"/>
        <v>0</v>
      </c>
      <c r="M118" s="2"/>
      <c r="N118" s="7">
        <f t="shared" si="65"/>
        <v>0</v>
      </c>
      <c r="O118" s="11"/>
      <c r="P118" s="6">
        <v>8186.53</v>
      </c>
      <c r="Q118" s="2"/>
      <c r="R118" s="7">
        <f t="shared" si="66"/>
        <v>8.459248586482203E-4</v>
      </c>
      <c r="S118" s="2"/>
      <c r="T118" s="6">
        <v>1250</v>
      </c>
      <c r="U118" s="2"/>
      <c r="V118" s="7">
        <f t="shared" si="67"/>
        <v>1.2292994576429137E-4</v>
      </c>
      <c r="W118" s="2"/>
      <c r="X118" s="6">
        <f t="shared" si="68"/>
        <v>6936.53</v>
      </c>
      <c r="Y118" s="2"/>
      <c r="Z118" s="7">
        <f t="shared" si="69"/>
        <v>5.5492239999999997</v>
      </c>
    </row>
    <row r="119" spans="1:26" s="29" customFormat="1" outlineLevel="1" collapsed="1" x14ac:dyDescent="0.3">
      <c r="A119" s="28"/>
      <c r="B119" s="14" t="str">
        <f>CONCATENATE("     ","R/H Commissions                                   ")</f>
        <v xml:space="preserve">     R/H Commissions                                   </v>
      </c>
      <c r="C119" s="14"/>
      <c r="D119" s="1">
        <f>SUM(OSRRefD22_16x_0)</f>
        <v>102145.22</v>
      </c>
      <c r="E119" s="1"/>
      <c r="F119" s="5">
        <f t="shared" si="62"/>
        <v>5.6548969090071781E-2</v>
      </c>
      <c r="G119" s="1"/>
      <c r="H119" s="1">
        <f>SUM(OSRRefH22_16x_0)</f>
        <v>62352</v>
      </c>
      <c r="I119" s="1"/>
      <c r="J119" s="5">
        <f t="shared" si="63"/>
        <v>4.6736005132925376E-2</v>
      </c>
      <c r="K119" s="1"/>
      <c r="L119" s="1">
        <f t="shared" si="64"/>
        <v>39793.22</v>
      </c>
      <c r="M119" s="1"/>
      <c r="N119" s="5">
        <f t="shared" si="65"/>
        <v>0.63820278419296894</v>
      </c>
      <c r="O119" s="14"/>
      <c r="P119" s="1">
        <f>SUM(OSRRefP22_16x_0)</f>
        <v>372916.2</v>
      </c>
      <c r="Q119" s="1"/>
      <c r="R119" s="5">
        <f t="shared" si="66"/>
        <v>3.8533918983089478E-2</v>
      </c>
      <c r="S119" s="1"/>
      <c r="T119" s="1">
        <f>SUM(OSRRefT22_16x_0)</f>
        <v>288144</v>
      </c>
      <c r="U119" s="1"/>
      <c r="V119" s="5">
        <f t="shared" si="67"/>
        <v>2.8337221033844777E-2</v>
      </c>
      <c r="W119" s="1"/>
      <c r="X119" s="1">
        <f t="shared" si="68"/>
        <v>84772.200000000012</v>
      </c>
      <c r="Y119" s="1"/>
      <c r="Z119" s="5">
        <f t="shared" si="69"/>
        <v>0.29420081625853745</v>
      </c>
    </row>
    <row r="120" spans="1:26" s="24" customFormat="1" hidden="1" outlineLevel="2" x14ac:dyDescent="0.3">
      <c r="A120" s="27"/>
      <c r="B120" s="11" t="str">
        <f>CONCATENATE("          ", "6387", " - ", "COMMISSION DUE HOUSING")</f>
        <v xml:space="preserve">          6387 - COMMISSION DUE HOUSING</v>
      </c>
      <c r="C120" s="11"/>
      <c r="D120" s="6">
        <v>102145.22</v>
      </c>
      <c r="E120" s="2"/>
      <c r="F120" s="7">
        <f t="shared" si="62"/>
        <v>5.6548969090071781E-2</v>
      </c>
      <c r="G120" s="2"/>
      <c r="H120" s="6">
        <v>62352</v>
      </c>
      <c r="I120" s="2"/>
      <c r="J120" s="7">
        <f t="shared" si="63"/>
        <v>4.6736005132925376E-2</v>
      </c>
      <c r="K120" s="2"/>
      <c r="L120" s="6">
        <f t="shared" si="64"/>
        <v>39793.22</v>
      </c>
      <c r="M120" s="2"/>
      <c r="N120" s="7">
        <f t="shared" si="65"/>
        <v>0.63820278419296894</v>
      </c>
      <c r="O120" s="11"/>
      <c r="P120" s="6">
        <v>372916.2</v>
      </c>
      <c r="Q120" s="2"/>
      <c r="R120" s="7">
        <f t="shared" si="66"/>
        <v>3.8533918983089478E-2</v>
      </c>
      <c r="S120" s="2"/>
      <c r="T120" s="6">
        <v>288144</v>
      </c>
      <c r="U120" s="2"/>
      <c r="V120" s="7">
        <f t="shared" si="67"/>
        <v>2.8337221033844777E-2</v>
      </c>
      <c r="W120" s="2"/>
      <c r="X120" s="6">
        <f t="shared" si="68"/>
        <v>84772.200000000012</v>
      </c>
      <c r="Y120" s="2"/>
      <c r="Z120" s="7">
        <f t="shared" si="69"/>
        <v>0.29420081625853745</v>
      </c>
    </row>
    <row r="121" spans="1:26" s="29" customFormat="1" outlineLevel="1" collapsed="1" x14ac:dyDescent="0.3">
      <c r="A121" s="28"/>
      <c r="B121" s="14" t="str">
        <f>CONCATENATE("     ","Rent                                              ")</f>
        <v xml:space="preserve">     Rent                                              </v>
      </c>
      <c r="C121" s="14"/>
      <c r="D121" s="1">
        <f>SUM(OSRRefD22_17x_0)</f>
        <v>8750</v>
      </c>
      <c r="E121" s="1"/>
      <c r="F121" s="5">
        <f t="shared" si="62"/>
        <v>4.8441178112703471E-3</v>
      </c>
      <c r="G121" s="1"/>
      <c r="H121" s="1">
        <f>SUM(OSRRefH22_17x_0)</f>
        <v>8750</v>
      </c>
      <c r="I121" s="1"/>
      <c r="J121" s="5">
        <f t="shared" si="63"/>
        <v>6.5585714157219829E-3</v>
      </c>
      <c r="K121" s="1"/>
      <c r="L121" s="1">
        <f t="shared" si="64"/>
        <v>0</v>
      </c>
      <c r="M121" s="1"/>
      <c r="N121" s="5">
        <f t="shared" si="65"/>
        <v>0</v>
      </c>
      <c r="O121" s="14"/>
      <c r="P121" s="1">
        <f>SUM(OSRRefP22_17x_0)</f>
        <v>43750</v>
      </c>
      <c r="Q121" s="1"/>
      <c r="R121" s="5">
        <f t="shared" si="66"/>
        <v>4.5207447558195772E-3</v>
      </c>
      <c r="S121" s="1"/>
      <c r="T121" s="1">
        <f>SUM(OSRRefT22_17x_0)</f>
        <v>43750</v>
      </c>
      <c r="U121" s="1"/>
      <c r="V121" s="5">
        <f t="shared" si="67"/>
        <v>4.3025481017501975E-3</v>
      </c>
      <c r="W121" s="1"/>
      <c r="X121" s="1">
        <f t="shared" si="68"/>
        <v>0</v>
      </c>
      <c r="Y121" s="1"/>
      <c r="Z121" s="5">
        <f t="shared" si="69"/>
        <v>0</v>
      </c>
    </row>
    <row r="122" spans="1:26" s="24" customFormat="1" hidden="1" outlineLevel="2" x14ac:dyDescent="0.3">
      <c r="A122" s="27"/>
      <c r="B122" s="11" t="str">
        <f>CONCATENATE("          ", "6273", " - ", "RENT")</f>
        <v xml:space="preserve">          6273 - RENT</v>
      </c>
      <c r="C122" s="11"/>
      <c r="D122" s="6">
        <v>8750</v>
      </c>
      <c r="E122" s="2"/>
      <c r="F122" s="7">
        <f t="shared" si="62"/>
        <v>4.8441178112703471E-3</v>
      </c>
      <c r="G122" s="2"/>
      <c r="H122" s="6">
        <v>8750</v>
      </c>
      <c r="I122" s="2"/>
      <c r="J122" s="7">
        <f t="shared" si="63"/>
        <v>6.5585714157219829E-3</v>
      </c>
      <c r="K122" s="2"/>
      <c r="L122" s="6">
        <f t="shared" si="64"/>
        <v>0</v>
      </c>
      <c r="M122" s="2"/>
      <c r="N122" s="7">
        <f t="shared" si="65"/>
        <v>0</v>
      </c>
      <c r="O122" s="11"/>
      <c r="P122" s="6">
        <v>43750</v>
      </c>
      <c r="Q122" s="2"/>
      <c r="R122" s="7">
        <f t="shared" si="66"/>
        <v>4.5207447558195772E-3</v>
      </c>
      <c r="S122" s="2"/>
      <c r="T122" s="6">
        <v>43750</v>
      </c>
      <c r="U122" s="2"/>
      <c r="V122" s="7">
        <f t="shared" si="67"/>
        <v>4.3025481017501975E-3</v>
      </c>
      <c r="W122" s="2"/>
      <c r="X122" s="6">
        <f t="shared" si="68"/>
        <v>0</v>
      </c>
      <c r="Y122" s="2"/>
      <c r="Z122" s="7">
        <f t="shared" si="69"/>
        <v>0</v>
      </c>
    </row>
    <row r="123" spans="1:26" s="29" customFormat="1" outlineLevel="1" collapsed="1" x14ac:dyDescent="0.3">
      <c r="A123" s="28"/>
      <c r="B123" s="14" t="str">
        <f>CONCATENATE("     ","Repair and Maintenance                            ")</f>
        <v xml:space="preserve">     Repair and Maintenance                            </v>
      </c>
      <c r="C123" s="14"/>
      <c r="D123" s="1">
        <f>SUM(OSRRefD22_18x_0)</f>
        <v>10867.77</v>
      </c>
      <c r="E123" s="1"/>
      <c r="F123" s="5">
        <f t="shared" si="62"/>
        <v>6.0165437972330904E-3</v>
      </c>
      <c r="G123" s="1"/>
      <c r="H123" s="1">
        <f>SUM(OSRRefH22_18x_0)</f>
        <v>21498</v>
      </c>
      <c r="I123" s="1"/>
      <c r="J123" s="5">
        <f t="shared" si="63"/>
        <v>1.6113847805164706E-2</v>
      </c>
      <c r="K123" s="1"/>
      <c r="L123" s="1">
        <f t="shared" si="64"/>
        <v>-10630.23</v>
      </c>
      <c r="M123" s="1"/>
      <c r="N123" s="5">
        <f t="shared" si="65"/>
        <v>-0.49447530002790957</v>
      </c>
      <c r="O123" s="14"/>
      <c r="P123" s="1">
        <f>SUM(OSRRefP22_18x_0)</f>
        <v>279639.25</v>
      </c>
      <c r="Q123" s="1"/>
      <c r="R123" s="5">
        <f t="shared" si="66"/>
        <v>2.8895489667630163E-2</v>
      </c>
      <c r="S123" s="1"/>
      <c r="T123" s="1">
        <f>SUM(OSRRefT22_18x_0)</f>
        <v>285199</v>
      </c>
      <c r="U123" s="1"/>
      <c r="V123" s="5">
        <f t="shared" si="67"/>
        <v>2.8047598081624107E-2</v>
      </c>
      <c r="W123" s="1"/>
      <c r="X123" s="1">
        <f t="shared" si="68"/>
        <v>-5559.75</v>
      </c>
      <c r="Y123" s="1"/>
      <c r="Z123" s="5">
        <f t="shared" si="69"/>
        <v>-1.9494282939280995E-2</v>
      </c>
    </row>
    <row r="124" spans="1:26" s="24" customFormat="1" hidden="1" outlineLevel="2" x14ac:dyDescent="0.3">
      <c r="A124" s="27"/>
      <c r="B124" s="11" t="str">
        <f>CONCATENATE("          ", "6371", " - ", "COMPUTER SOFTWARE MAINTENANCE")</f>
        <v xml:space="preserve">          6371 - COMPUTER SOFTWARE MAINTENANCE</v>
      </c>
      <c r="C124" s="11"/>
      <c r="D124" s="6">
        <v>3880.32</v>
      </c>
      <c r="E124" s="2"/>
      <c r="F124" s="7">
        <f t="shared" si="62"/>
        <v>2.1481973971918347E-3</v>
      </c>
      <c r="G124" s="2"/>
      <c r="H124" s="6">
        <v>4500</v>
      </c>
      <c r="I124" s="2"/>
      <c r="J124" s="7">
        <f t="shared" si="63"/>
        <v>3.3729795852284481E-3</v>
      </c>
      <c r="K124" s="2"/>
      <c r="L124" s="6">
        <f t="shared" si="64"/>
        <v>-619.67999999999984</v>
      </c>
      <c r="M124" s="2"/>
      <c r="N124" s="7">
        <f t="shared" si="65"/>
        <v>-0.13770666666666664</v>
      </c>
      <c r="O124" s="11"/>
      <c r="P124" s="6">
        <v>85728.72</v>
      </c>
      <c r="Q124" s="2"/>
      <c r="R124" s="7">
        <f t="shared" si="66"/>
        <v>8.8584608311571399E-3</v>
      </c>
      <c r="S124" s="2"/>
      <c r="T124" s="6">
        <v>189223</v>
      </c>
      <c r="U124" s="2"/>
      <c r="V124" s="7">
        <f t="shared" si="67"/>
        <v>1.8608938501885205E-2</v>
      </c>
      <c r="W124" s="2"/>
      <c r="X124" s="6">
        <f t="shared" si="68"/>
        <v>-103494.28</v>
      </c>
      <c r="Y124" s="2"/>
      <c r="Z124" s="7">
        <f t="shared" si="69"/>
        <v>-0.54694344767813641</v>
      </c>
    </row>
    <row r="125" spans="1:26" s="24" customFormat="1" hidden="1" outlineLevel="2" x14ac:dyDescent="0.3">
      <c r="A125" s="27"/>
      <c r="B125" s="11" t="str">
        <f>CONCATENATE("          ", "6372", " - ", "COMPUTER HARDWARE MAINTENANCE")</f>
        <v xml:space="preserve">          6372 - COMPUTER HARDWARE MAINTENANCE</v>
      </c>
      <c r="C125" s="11"/>
      <c r="D125" s="6"/>
      <c r="E125" s="2"/>
      <c r="F125" s="7">
        <f t="shared" si="62"/>
        <v>0</v>
      </c>
      <c r="G125" s="2"/>
      <c r="H125" s="6">
        <v>6950</v>
      </c>
      <c r="I125" s="2"/>
      <c r="J125" s="7">
        <f t="shared" si="63"/>
        <v>5.2093795816306031E-3</v>
      </c>
      <c r="K125" s="2"/>
      <c r="L125" s="6">
        <f t="shared" si="64"/>
        <v>-6950</v>
      </c>
      <c r="M125" s="2"/>
      <c r="N125" s="7">
        <f t="shared" si="65"/>
        <v>-1</v>
      </c>
      <c r="O125" s="11"/>
      <c r="P125" s="6"/>
      <c r="Q125" s="2"/>
      <c r="R125" s="7">
        <f t="shared" si="66"/>
        <v>0</v>
      </c>
      <c r="S125" s="2"/>
      <c r="T125" s="6">
        <v>31370</v>
      </c>
      <c r="U125" s="2"/>
      <c r="V125" s="7">
        <f t="shared" si="67"/>
        <v>3.0850499189006564E-3</v>
      </c>
      <c r="W125" s="2"/>
      <c r="X125" s="6">
        <f t="shared" si="68"/>
        <v>-31370</v>
      </c>
      <c r="Y125" s="2"/>
      <c r="Z125" s="7">
        <f t="shared" si="69"/>
        <v>-1</v>
      </c>
    </row>
    <row r="126" spans="1:26" s="24" customFormat="1" hidden="1" outlineLevel="2" x14ac:dyDescent="0.3">
      <c r="A126" s="27"/>
      <c r="B126" s="11" t="str">
        <f>CONCATENATE("          ", "6373", " - ", "MAINTENANCE CONTRACTS")</f>
        <v xml:space="preserve">          6373 - MAINTENANCE CONTRACTS</v>
      </c>
      <c r="C126" s="11"/>
      <c r="D126" s="6">
        <v>3052.32</v>
      </c>
      <c r="E126" s="2"/>
      <c r="F126" s="7">
        <f t="shared" si="62"/>
        <v>1.6898054488796235E-3</v>
      </c>
      <c r="G126" s="2"/>
      <c r="H126" s="6">
        <v>7555</v>
      </c>
      <c r="I126" s="2"/>
      <c r="J126" s="7">
        <f t="shared" si="63"/>
        <v>5.6628579480890945E-3</v>
      </c>
      <c r="K126" s="2"/>
      <c r="L126" s="6">
        <f t="shared" si="64"/>
        <v>-4502.68</v>
      </c>
      <c r="M126" s="2"/>
      <c r="N126" s="7">
        <f t="shared" si="65"/>
        <v>-0.59598676373262749</v>
      </c>
      <c r="O126" s="11"/>
      <c r="P126" s="6">
        <v>141447.12</v>
      </c>
      <c r="Q126" s="2"/>
      <c r="R126" s="7">
        <f t="shared" si="66"/>
        <v>1.4615916022075025E-2</v>
      </c>
      <c r="S126" s="2"/>
      <c r="T126" s="6">
        <v>39533</v>
      </c>
      <c r="U126" s="2"/>
      <c r="V126" s="7">
        <f t="shared" si="67"/>
        <v>3.8878316367197845E-3</v>
      </c>
      <c r="W126" s="2"/>
      <c r="X126" s="6">
        <f t="shared" si="68"/>
        <v>101914.12</v>
      </c>
      <c r="Y126" s="2"/>
      <c r="Z126" s="7">
        <f t="shared" si="69"/>
        <v>2.5779505729390633</v>
      </c>
    </row>
    <row r="127" spans="1:26" s="24" customFormat="1" hidden="1" outlineLevel="2" x14ac:dyDescent="0.3">
      <c r="A127" s="27"/>
      <c r="B127" s="11" t="str">
        <f>CONCATENATE("          ", "6375", " - ", "OUTSIDE REPAIRS &amp; MAINTENANCE")</f>
        <v xml:space="preserve">          6375 - OUTSIDE REPAIRS &amp; MAINTENANCE</v>
      </c>
      <c r="C127" s="11"/>
      <c r="D127" s="6">
        <v>3935.13</v>
      </c>
      <c r="E127" s="2"/>
      <c r="F127" s="7">
        <f t="shared" si="62"/>
        <v>2.1785409511616322E-3</v>
      </c>
      <c r="G127" s="2"/>
      <c r="H127" s="6">
        <v>2493</v>
      </c>
      <c r="I127" s="2"/>
      <c r="J127" s="7">
        <f t="shared" si="63"/>
        <v>1.8686306902165604E-3</v>
      </c>
      <c r="K127" s="2"/>
      <c r="L127" s="6">
        <f t="shared" si="64"/>
        <v>1442.13</v>
      </c>
      <c r="M127" s="2"/>
      <c r="N127" s="7">
        <f t="shared" si="65"/>
        <v>0.57847172081829124</v>
      </c>
      <c r="O127" s="11"/>
      <c r="P127" s="6">
        <v>52463.41</v>
      </c>
      <c r="Q127" s="2"/>
      <c r="R127" s="7">
        <f t="shared" si="66"/>
        <v>5.4211128143979966E-3</v>
      </c>
      <c r="S127" s="2"/>
      <c r="T127" s="6">
        <v>25073</v>
      </c>
      <c r="U127" s="2"/>
      <c r="V127" s="7">
        <f t="shared" si="67"/>
        <v>2.4657780241184621E-3</v>
      </c>
      <c r="W127" s="2"/>
      <c r="X127" s="6">
        <f t="shared" si="68"/>
        <v>27390.410000000003</v>
      </c>
      <c r="Y127" s="2"/>
      <c r="Z127" s="7">
        <f t="shared" si="69"/>
        <v>1.0924265145774341</v>
      </c>
    </row>
    <row r="128" spans="1:26" s="29" customFormat="1" outlineLevel="1" collapsed="1" x14ac:dyDescent="0.3">
      <c r="A128" s="28"/>
      <c r="B128" s="14" t="str">
        <f>CONCATENATE("     ","Royalty &amp; Commissions                             ")</f>
        <v xml:space="preserve">     Royalty &amp; Commissions                             </v>
      </c>
      <c r="C128" s="14"/>
      <c r="D128" s="1">
        <f>SUM(OSRRefD22_19x_0)</f>
        <v>1150.99</v>
      </c>
      <c r="E128" s="1"/>
      <c r="F128" s="5">
        <f t="shared" ref="F128:F132" si="70">IF(D$12=0,0,D128/D$12)</f>
        <v>6.3720356109646359E-4</v>
      </c>
      <c r="G128" s="1"/>
      <c r="H128" s="1">
        <f>SUM(OSRRefH22_19x_0)</f>
        <v>9663</v>
      </c>
      <c r="I128" s="1"/>
      <c r="J128" s="5">
        <f t="shared" ref="J128:J132" si="71">IF(H$12=0,0,H128/H$12)</f>
        <v>7.2429114960138874E-3</v>
      </c>
      <c r="K128" s="1"/>
      <c r="L128" s="1">
        <f t="shared" ref="L128:L132" si="72">+D128-H128</f>
        <v>-8512.01</v>
      </c>
      <c r="M128" s="1"/>
      <c r="N128" s="5">
        <f t="shared" ref="N128:N132" si="73">IF(H128=0,0,L128/H128)</f>
        <v>-0.88088688812998039</v>
      </c>
      <c r="O128" s="14"/>
      <c r="P128" s="1">
        <f>SUM(OSRRefP22_19x_0)</f>
        <v>22058.14</v>
      </c>
      <c r="Q128" s="1"/>
      <c r="R128" s="5">
        <f t="shared" ref="R128:R132" si="74">IF(P$12=0,0,P128/P$12)</f>
        <v>2.2792964737859208E-3</v>
      </c>
      <c r="S128" s="1"/>
      <c r="T128" s="1">
        <f>SUM(OSRRefT22_19x_0)</f>
        <v>43846</v>
      </c>
      <c r="U128" s="1"/>
      <c r="V128" s="5">
        <f t="shared" ref="V128:V132" si="75">IF(T$12=0,0,T128/T$12)</f>
        <v>4.3119891215848954E-3</v>
      </c>
      <c r="W128" s="1"/>
      <c r="X128" s="1">
        <f t="shared" ref="X128:X132" si="76">+P128-T128</f>
        <v>-21787.86</v>
      </c>
      <c r="Y128" s="1"/>
      <c r="Z128" s="5">
        <f t="shared" ref="Z128:Z132" si="77">IF(T128=0,0,X128/T128)</f>
        <v>-0.49691784883455731</v>
      </c>
    </row>
    <row r="129" spans="1:26" s="24" customFormat="1" hidden="1" outlineLevel="2" x14ac:dyDescent="0.3">
      <c r="A129" s="27"/>
      <c r="B129" s="11" t="str">
        <f>CONCATENATE("          ", "6252", " - ", "ROYALTY DUE CSTV")</f>
        <v xml:space="preserve">          6252 - ROYALTY DUE CSTV</v>
      </c>
      <c r="C129" s="11"/>
      <c r="D129" s="6"/>
      <c r="E129" s="2"/>
      <c r="F129" s="7">
        <f t="shared" si="70"/>
        <v>0</v>
      </c>
      <c r="G129" s="2"/>
      <c r="H129" s="6">
        <v>3014</v>
      </c>
      <c r="I129" s="2"/>
      <c r="J129" s="7">
        <f t="shared" si="71"/>
        <v>2.2591467710841207E-3</v>
      </c>
      <c r="K129" s="2"/>
      <c r="L129" s="6">
        <f t="shared" si="72"/>
        <v>-3014</v>
      </c>
      <c r="M129" s="2"/>
      <c r="N129" s="7">
        <f t="shared" si="73"/>
        <v>-1</v>
      </c>
      <c r="O129" s="11"/>
      <c r="P129" s="6"/>
      <c r="Q129" s="2"/>
      <c r="R129" s="7">
        <f t="shared" si="74"/>
        <v>0</v>
      </c>
      <c r="S129" s="2"/>
      <c r="T129" s="6">
        <v>8324</v>
      </c>
      <c r="U129" s="2"/>
      <c r="V129" s="7">
        <f t="shared" si="75"/>
        <v>8.1861509483356913E-4</v>
      </c>
      <c r="W129" s="2"/>
      <c r="X129" s="6">
        <f t="shared" si="76"/>
        <v>-8324</v>
      </c>
      <c r="Y129" s="2"/>
      <c r="Z129" s="7">
        <f t="shared" si="77"/>
        <v>-1</v>
      </c>
    </row>
    <row r="130" spans="1:26" s="24" customFormat="1" hidden="1" outlineLevel="2" x14ac:dyDescent="0.3">
      <c r="A130" s="27"/>
      <c r="B130" s="11" t="str">
        <f>CONCATENATE("          ", "6253", " - ", "ROYALTY DUE ATHLETICS-LRG")</f>
        <v xml:space="preserve">          6253 - ROYALTY DUE ATHLETICS-LRG</v>
      </c>
      <c r="C130" s="11"/>
      <c r="D130" s="6"/>
      <c r="E130" s="2"/>
      <c r="F130" s="7">
        <f t="shared" si="70"/>
        <v>0</v>
      </c>
      <c r="G130" s="2"/>
      <c r="H130" s="6">
        <v>0</v>
      </c>
      <c r="I130" s="2"/>
      <c r="J130" s="7">
        <f t="shared" si="71"/>
        <v>0</v>
      </c>
      <c r="K130" s="2"/>
      <c r="L130" s="6">
        <f t="shared" si="72"/>
        <v>0</v>
      </c>
      <c r="M130" s="2"/>
      <c r="N130" s="7">
        <f t="shared" si="73"/>
        <v>0</v>
      </c>
      <c r="O130" s="11"/>
      <c r="P130" s="6">
        <v>23160.29</v>
      </c>
      <c r="Q130" s="2"/>
      <c r="R130" s="7">
        <f t="shared" si="74"/>
        <v>2.393183075674528E-3</v>
      </c>
      <c r="S130" s="2"/>
      <c r="T130" s="6">
        <v>16162</v>
      </c>
      <c r="U130" s="2"/>
      <c r="V130" s="7">
        <f t="shared" si="75"/>
        <v>1.5894350267539818E-3</v>
      </c>
      <c r="W130" s="2"/>
      <c r="X130" s="6">
        <f t="shared" si="76"/>
        <v>6998.2900000000009</v>
      </c>
      <c r="Y130" s="2"/>
      <c r="Z130" s="7">
        <f t="shared" si="77"/>
        <v>0.43300890978839257</v>
      </c>
    </row>
    <row r="131" spans="1:26" s="24" customFormat="1" hidden="1" outlineLevel="2" x14ac:dyDescent="0.3">
      <c r="A131" s="27"/>
      <c r="B131" s="11" t="str">
        <f>CONCATENATE("          ", "6254", " - ", "ROYALTY &amp; COMMISSIONS")</f>
        <v xml:space="preserve">          6254 - ROYALTY &amp; COMMISSIONS</v>
      </c>
      <c r="C131" s="11"/>
      <c r="D131" s="6">
        <v>366.22</v>
      </c>
      <c r="E131" s="2"/>
      <c r="F131" s="7">
        <f t="shared" si="70"/>
        <v>2.0274432283924875E-4</v>
      </c>
      <c r="G131" s="2"/>
      <c r="H131" s="6">
        <v>0</v>
      </c>
      <c r="I131" s="2"/>
      <c r="J131" s="7">
        <f t="shared" si="71"/>
        <v>0</v>
      </c>
      <c r="K131" s="2"/>
      <c r="L131" s="6">
        <f t="shared" si="72"/>
        <v>366.22</v>
      </c>
      <c r="M131" s="2"/>
      <c r="N131" s="7">
        <f t="shared" si="73"/>
        <v>0</v>
      </c>
      <c r="O131" s="11"/>
      <c r="P131" s="6">
        <v>-5595.06</v>
      </c>
      <c r="Q131" s="2"/>
      <c r="R131" s="7">
        <f t="shared" si="74"/>
        <v>-5.7814487207990596E-4</v>
      </c>
      <c r="S131" s="2"/>
      <c r="T131" s="6">
        <v>0</v>
      </c>
      <c r="U131" s="2"/>
      <c r="V131" s="7">
        <f t="shared" si="75"/>
        <v>0</v>
      </c>
      <c r="W131" s="2"/>
      <c r="X131" s="6">
        <f t="shared" si="76"/>
        <v>-5595.06</v>
      </c>
      <c r="Y131" s="2"/>
      <c r="Z131" s="7">
        <f t="shared" si="77"/>
        <v>0</v>
      </c>
    </row>
    <row r="132" spans="1:26" s="24" customFormat="1" hidden="1" outlineLevel="2" x14ac:dyDescent="0.3">
      <c r="A132" s="27"/>
      <c r="B132" s="11" t="str">
        <f>CONCATENATE("          ", "6259", " - ", "ROYALTY &amp; COMMISSIONS")</f>
        <v xml:space="preserve">          6259 - ROYALTY &amp; COMMISSIONS</v>
      </c>
      <c r="C132" s="11"/>
      <c r="D132" s="6">
        <v>784.77</v>
      </c>
      <c r="E132" s="2"/>
      <c r="F132" s="7">
        <f t="shared" si="70"/>
        <v>4.3445923825721484E-4</v>
      </c>
      <c r="G132" s="2"/>
      <c r="H132" s="6">
        <v>6649</v>
      </c>
      <c r="I132" s="2"/>
      <c r="J132" s="7">
        <f t="shared" si="71"/>
        <v>4.9837647249297672E-3</v>
      </c>
      <c r="K132" s="2"/>
      <c r="L132" s="6">
        <f t="shared" si="72"/>
        <v>-5864.23</v>
      </c>
      <c r="M132" s="2"/>
      <c r="N132" s="7">
        <f t="shared" si="73"/>
        <v>-0.88197172507143928</v>
      </c>
      <c r="O132" s="11"/>
      <c r="P132" s="6">
        <v>4492.91</v>
      </c>
      <c r="Q132" s="2"/>
      <c r="R132" s="7">
        <f t="shared" si="74"/>
        <v>4.6425827019129908E-4</v>
      </c>
      <c r="S132" s="2"/>
      <c r="T132" s="6">
        <v>19360</v>
      </c>
      <c r="U132" s="2"/>
      <c r="V132" s="7">
        <f t="shared" si="75"/>
        <v>1.9039389999973447E-3</v>
      </c>
      <c r="W132" s="2"/>
      <c r="X132" s="6">
        <f t="shared" si="76"/>
        <v>-14867.09</v>
      </c>
      <c r="Y132" s="2"/>
      <c r="Z132" s="7">
        <f t="shared" si="77"/>
        <v>-0.7679282024793388</v>
      </c>
    </row>
    <row r="133" spans="1:26" s="29" customFormat="1" outlineLevel="1" collapsed="1" x14ac:dyDescent="0.3">
      <c r="A133" s="28"/>
      <c r="B133" s="14" t="str">
        <f>CONCATENATE("     ","Services                                          ")</f>
        <v xml:space="preserve">     Services                                          </v>
      </c>
      <c r="C133" s="14"/>
      <c r="D133" s="1">
        <f>SUM(OSRRefD22_20x_0)</f>
        <v>28531.78</v>
      </c>
      <c r="E133" s="1"/>
      <c r="F133" s="5">
        <f t="shared" ref="F133:F138" si="78">IF(D$12=0,0,D133/D$12)</f>
        <v>1.5795577564028235E-2</v>
      </c>
      <c r="G133" s="1"/>
      <c r="H133" s="1">
        <f>SUM(OSRRefH22_20x_0)</f>
        <v>36919</v>
      </c>
      <c r="I133" s="1"/>
      <c r="J133" s="5">
        <f t="shared" ref="J133:J138" si="79">IF(H$12=0,0,H133/H$12)</f>
        <v>2.7672674068233129E-2</v>
      </c>
      <c r="K133" s="1"/>
      <c r="L133" s="1">
        <f t="shared" ref="L133:L138" si="80">+D133-H133</f>
        <v>-8387.2200000000012</v>
      </c>
      <c r="M133" s="1"/>
      <c r="N133" s="5">
        <f t="shared" ref="N133:N138" si="81">IF(H133=0,0,L133/H133)</f>
        <v>-0.22717895934342752</v>
      </c>
      <c r="O133" s="14"/>
      <c r="P133" s="1">
        <f>SUM(OSRRefP22_20x_0)</f>
        <v>161978.1</v>
      </c>
      <c r="Q133" s="1"/>
      <c r="R133" s="5">
        <f t="shared" ref="R133:R138" si="82">IF(P$12=0,0,P133/P$12)</f>
        <v>1.6737409054459862E-2</v>
      </c>
      <c r="S133" s="1"/>
      <c r="T133" s="1">
        <f>SUM(OSRRefT22_20x_0)</f>
        <v>178803</v>
      </c>
      <c r="U133" s="1"/>
      <c r="V133" s="5">
        <f t="shared" ref="V133:V138" si="83">IF(T$12=0,0,T133/T$12)</f>
        <v>1.7584194473994071E-2</v>
      </c>
      <c r="W133" s="1"/>
      <c r="X133" s="1">
        <f t="shared" ref="X133:X138" si="84">+P133-T133</f>
        <v>-16824.899999999994</v>
      </c>
      <c r="Y133" s="1"/>
      <c r="Z133" s="5">
        <f t="shared" ref="Z133:Z138" si="85">IF(T133=0,0,X133/T133)</f>
        <v>-9.4097414472911492E-2</v>
      </c>
    </row>
    <row r="134" spans="1:26" s="24" customFormat="1" hidden="1" outlineLevel="2" x14ac:dyDescent="0.3">
      <c r="A134" s="27"/>
      <c r="B134" s="11" t="str">
        <f>CONCATENATE("          ", "6282", " - ", "JANITORIAL/EXTERMINATOR EXPENS")</f>
        <v xml:space="preserve">          6282 - JANITORIAL/EXTERMINATOR EXPENS</v>
      </c>
      <c r="C134" s="11"/>
      <c r="D134" s="6">
        <v>3176.63</v>
      </c>
      <c r="E134" s="2"/>
      <c r="F134" s="7">
        <f t="shared" si="78"/>
        <v>1.7586251386075111E-3</v>
      </c>
      <c r="G134" s="2"/>
      <c r="H134" s="6">
        <v>7256</v>
      </c>
      <c r="I134" s="2"/>
      <c r="J134" s="7">
        <f t="shared" si="79"/>
        <v>5.4387421934261378E-3</v>
      </c>
      <c r="K134" s="2"/>
      <c r="L134" s="6">
        <f t="shared" si="80"/>
        <v>-4079.37</v>
      </c>
      <c r="M134" s="2"/>
      <c r="N134" s="7">
        <f t="shared" si="81"/>
        <v>-0.56220644983461965</v>
      </c>
      <c r="O134" s="11"/>
      <c r="P134" s="6">
        <v>18023.61</v>
      </c>
      <c r="Q134" s="2"/>
      <c r="R134" s="7">
        <f t="shared" si="82"/>
        <v>1.8624032088785665E-3</v>
      </c>
      <c r="S134" s="2"/>
      <c r="T134" s="6">
        <v>35922</v>
      </c>
      <c r="U134" s="2"/>
      <c r="V134" s="7">
        <f t="shared" si="83"/>
        <v>3.5327116093958996E-3</v>
      </c>
      <c r="W134" s="2"/>
      <c r="X134" s="6">
        <f t="shared" si="84"/>
        <v>-17898.39</v>
      </c>
      <c r="Y134" s="2"/>
      <c r="Z134" s="7">
        <f t="shared" si="85"/>
        <v>-0.49825705695673961</v>
      </c>
    </row>
    <row r="135" spans="1:26" s="24" customFormat="1" hidden="1" outlineLevel="2" x14ac:dyDescent="0.3">
      <c r="A135" s="27"/>
      <c r="B135" s="11" t="str">
        <f>CONCATENATE("          ", "6283", " - ", "PLANT SERVICE")</f>
        <v xml:space="preserve">          6283 - PLANT SERVICE</v>
      </c>
      <c r="C135" s="11"/>
      <c r="D135" s="6"/>
      <c r="E135" s="2"/>
      <c r="F135" s="7">
        <f t="shared" si="78"/>
        <v>0</v>
      </c>
      <c r="G135" s="2"/>
      <c r="H135" s="6">
        <v>100</v>
      </c>
      <c r="I135" s="2"/>
      <c r="J135" s="7">
        <f t="shared" si="79"/>
        <v>7.4955101893965518E-5</v>
      </c>
      <c r="K135" s="2"/>
      <c r="L135" s="6">
        <f t="shared" si="80"/>
        <v>-100</v>
      </c>
      <c r="M135" s="2"/>
      <c r="N135" s="7">
        <f t="shared" si="81"/>
        <v>-1</v>
      </c>
      <c r="O135" s="11"/>
      <c r="P135" s="6"/>
      <c r="Q135" s="2"/>
      <c r="R135" s="7">
        <f t="shared" si="82"/>
        <v>0</v>
      </c>
      <c r="S135" s="2"/>
      <c r="T135" s="6">
        <v>500</v>
      </c>
      <c r="U135" s="2"/>
      <c r="V135" s="7">
        <f t="shared" si="83"/>
        <v>4.9171978305716548E-5</v>
      </c>
      <c r="W135" s="2"/>
      <c r="X135" s="6">
        <f t="shared" si="84"/>
        <v>-500</v>
      </c>
      <c r="Y135" s="2"/>
      <c r="Z135" s="7">
        <f t="shared" si="85"/>
        <v>-1</v>
      </c>
    </row>
    <row r="136" spans="1:26" s="24" customFormat="1" hidden="1" outlineLevel="2" x14ac:dyDescent="0.3">
      <c r="A136" s="27"/>
      <c r="B136" s="11" t="str">
        <f>CONCATENATE("          ", "6284", " - ", "TRASH REMOVAL EXPENSE")</f>
        <v xml:space="preserve">          6284 - TRASH REMOVAL EXPENSE</v>
      </c>
      <c r="C136" s="11"/>
      <c r="D136" s="6">
        <v>149.69999999999999</v>
      </c>
      <c r="E136" s="2"/>
      <c r="F136" s="7">
        <f t="shared" si="78"/>
        <v>8.2875935582533817E-5</v>
      </c>
      <c r="G136" s="2"/>
      <c r="H136" s="6">
        <v>1660</v>
      </c>
      <c r="I136" s="2"/>
      <c r="J136" s="7">
        <f t="shared" si="79"/>
        <v>1.2442546914398275E-3</v>
      </c>
      <c r="K136" s="2"/>
      <c r="L136" s="6">
        <f t="shared" si="80"/>
        <v>-1510.3</v>
      </c>
      <c r="M136" s="2"/>
      <c r="N136" s="7">
        <f t="shared" si="81"/>
        <v>-0.90981927710843369</v>
      </c>
      <c r="O136" s="11"/>
      <c r="P136" s="6">
        <v>741.37</v>
      </c>
      <c r="Q136" s="2"/>
      <c r="R136" s="7">
        <f t="shared" si="82"/>
        <v>7.6606732334216223E-5</v>
      </c>
      <c r="S136" s="2"/>
      <c r="T136" s="6">
        <v>8360</v>
      </c>
      <c r="U136" s="2"/>
      <c r="V136" s="7">
        <f t="shared" si="83"/>
        <v>8.2215547727158063E-4</v>
      </c>
      <c r="W136" s="2"/>
      <c r="X136" s="6">
        <f t="shared" si="84"/>
        <v>-7618.63</v>
      </c>
      <c r="Y136" s="2"/>
      <c r="Z136" s="7">
        <f t="shared" si="85"/>
        <v>-0.91131937799043061</v>
      </c>
    </row>
    <row r="137" spans="1:26" s="24" customFormat="1" hidden="1" outlineLevel="2" x14ac:dyDescent="0.3">
      <c r="A137" s="27"/>
      <c r="B137" s="11" t="str">
        <f>CONCATENATE("          ", "6285", " - ", "JANITORIAL SERVICES")</f>
        <v xml:space="preserve">          6285 - JANITORIAL SERVICES</v>
      </c>
      <c r="C137" s="11"/>
      <c r="D137" s="6">
        <v>22379.7</v>
      </c>
      <c r="E137" s="2"/>
      <c r="F137" s="7">
        <f t="shared" si="78"/>
        <v>1.2389703243529941E-2</v>
      </c>
      <c r="G137" s="2"/>
      <c r="H137" s="6">
        <v>22559</v>
      </c>
      <c r="I137" s="2"/>
      <c r="J137" s="7">
        <f t="shared" si="79"/>
        <v>1.690912143625968E-2</v>
      </c>
      <c r="K137" s="2"/>
      <c r="L137" s="6">
        <f t="shared" si="80"/>
        <v>-179.29999999999927</v>
      </c>
      <c r="M137" s="2"/>
      <c r="N137" s="7">
        <f t="shared" si="81"/>
        <v>-7.9480473425240158E-3</v>
      </c>
      <c r="O137" s="11"/>
      <c r="P137" s="6">
        <v>127884.25</v>
      </c>
      <c r="Q137" s="2"/>
      <c r="R137" s="7">
        <f t="shared" si="82"/>
        <v>1.3214446915186737E-2</v>
      </c>
      <c r="S137" s="2"/>
      <c r="T137" s="6">
        <v>108487</v>
      </c>
      <c r="U137" s="2"/>
      <c r="V137" s="7">
        <f t="shared" si="83"/>
        <v>1.0669040820904542E-2</v>
      </c>
      <c r="W137" s="2"/>
      <c r="X137" s="6">
        <f t="shared" si="84"/>
        <v>19397.25</v>
      </c>
      <c r="Y137" s="2"/>
      <c r="Z137" s="7">
        <f t="shared" si="85"/>
        <v>0.17879792048816909</v>
      </c>
    </row>
    <row r="138" spans="1:26" s="24" customFormat="1" hidden="1" outlineLevel="2" x14ac:dyDescent="0.3">
      <c r="A138" s="27"/>
      <c r="B138" s="11" t="str">
        <f>CONCATENATE("          ", "6286", " - ", "LAUNDRY EXPENSE")</f>
        <v xml:space="preserve">          6286 - LAUNDRY EXPENSE</v>
      </c>
      <c r="C138" s="11"/>
      <c r="D138" s="6">
        <v>2825.75</v>
      </c>
      <c r="E138" s="2"/>
      <c r="F138" s="7">
        <f t="shared" si="78"/>
        <v>1.5643732463082494E-3</v>
      </c>
      <c r="G138" s="2"/>
      <c r="H138" s="6">
        <v>5344</v>
      </c>
      <c r="I138" s="2"/>
      <c r="J138" s="7">
        <f t="shared" si="79"/>
        <v>4.0056006452135169E-3</v>
      </c>
      <c r="K138" s="2"/>
      <c r="L138" s="6">
        <f t="shared" si="80"/>
        <v>-2518.25</v>
      </c>
      <c r="M138" s="2"/>
      <c r="N138" s="7">
        <f t="shared" si="81"/>
        <v>-0.47122941616766467</v>
      </c>
      <c r="O138" s="11"/>
      <c r="P138" s="6">
        <v>15328.87</v>
      </c>
      <c r="Q138" s="2"/>
      <c r="R138" s="7">
        <f t="shared" si="82"/>
        <v>1.5839521980603437E-3</v>
      </c>
      <c r="S138" s="2"/>
      <c r="T138" s="6">
        <v>25534</v>
      </c>
      <c r="U138" s="2"/>
      <c r="V138" s="7">
        <f t="shared" si="83"/>
        <v>2.5111145881163326E-3</v>
      </c>
      <c r="W138" s="2"/>
      <c r="X138" s="6">
        <f t="shared" si="84"/>
        <v>-10205.129999999999</v>
      </c>
      <c r="Y138" s="2"/>
      <c r="Z138" s="7">
        <f t="shared" si="85"/>
        <v>-0.39966828542335708</v>
      </c>
    </row>
    <row r="139" spans="1:26" s="29" customFormat="1" outlineLevel="1" collapsed="1" x14ac:dyDescent="0.3">
      <c r="A139" s="28"/>
      <c r="B139" s="14" t="str">
        <f>CONCATENATE("     ","Subscriptions &amp; Dues                              ")</f>
        <v xml:space="preserve">     Subscriptions &amp; Dues                              </v>
      </c>
      <c r="C139" s="14"/>
      <c r="D139" s="1">
        <f>SUM(OSRRefD22_21x_0)</f>
        <v>718.16</v>
      </c>
      <c r="E139" s="1"/>
      <c r="F139" s="5">
        <f t="shared" ref="F139:F141" si="86">IF(D$12=0,0,D139/D$12)</f>
        <v>3.9758304541050426E-4</v>
      </c>
      <c r="G139" s="1"/>
      <c r="H139" s="1">
        <f>SUM(OSRRefH22_21x_0)</f>
        <v>1871</v>
      </c>
      <c r="I139" s="1"/>
      <c r="J139" s="5">
        <f t="shared" ref="J139:J141" si="87">IF(H$12=0,0,H139/H$12)</f>
        <v>1.4024099564360947E-3</v>
      </c>
      <c r="K139" s="1"/>
      <c r="L139" s="1">
        <f t="shared" ref="L139:L141" si="88">+D139-H139</f>
        <v>-1152.8400000000001</v>
      </c>
      <c r="M139" s="1"/>
      <c r="N139" s="5">
        <f t="shared" ref="N139:N141" si="89">IF(H139=0,0,L139/H139)</f>
        <v>-0.61616247995724216</v>
      </c>
      <c r="O139" s="14"/>
      <c r="P139" s="1">
        <f>SUM(OSRRefP22_21x_0)</f>
        <v>3622</v>
      </c>
      <c r="Q139" s="1"/>
      <c r="R139" s="5">
        <f t="shared" ref="R139:R141" si="90">IF(P$12=0,0,P139/P$12)</f>
        <v>3.7426600012750873E-4</v>
      </c>
      <c r="S139" s="1"/>
      <c r="T139" s="1">
        <f>SUM(OSRRefT22_21x_0)</f>
        <v>9300</v>
      </c>
      <c r="U139" s="1"/>
      <c r="V139" s="5">
        <f t="shared" ref="V139:V141" si="91">IF(T$12=0,0,T139/T$12)</f>
        <v>9.1459879648632782E-4</v>
      </c>
      <c r="W139" s="1"/>
      <c r="X139" s="1">
        <f t="shared" ref="X139:X141" si="92">+P139-T139</f>
        <v>-5678</v>
      </c>
      <c r="Y139" s="1"/>
      <c r="Z139" s="5">
        <f t="shared" ref="Z139:Z141" si="93">IF(T139=0,0,X139/T139)</f>
        <v>-0.6105376344086022</v>
      </c>
    </row>
    <row r="140" spans="1:26" s="24" customFormat="1" hidden="1" outlineLevel="2" x14ac:dyDescent="0.3">
      <c r="A140" s="27"/>
      <c r="B140" s="11" t="str">
        <f>CONCATENATE("          ", "6258", " - ", "MEMBERSHIP DUES")</f>
        <v xml:space="preserve">          6258 - MEMBERSHIP DUES</v>
      </c>
      <c r="C140" s="11"/>
      <c r="D140" s="6">
        <v>148.66</v>
      </c>
      <c r="E140" s="2"/>
      <c r="F140" s="7">
        <f t="shared" si="86"/>
        <v>8.230017757982283E-5</v>
      </c>
      <c r="G140" s="2"/>
      <c r="H140" s="6">
        <v>1180</v>
      </c>
      <c r="I140" s="2"/>
      <c r="J140" s="7">
        <f t="shared" si="87"/>
        <v>8.8447020234879304E-4</v>
      </c>
      <c r="K140" s="2"/>
      <c r="L140" s="6">
        <f t="shared" si="88"/>
        <v>-1031.3399999999999</v>
      </c>
      <c r="M140" s="2"/>
      <c r="N140" s="7">
        <f t="shared" si="89"/>
        <v>-0.87401694915254236</v>
      </c>
      <c r="O140" s="11"/>
      <c r="P140" s="6">
        <v>1105.5</v>
      </c>
      <c r="Q140" s="2"/>
      <c r="R140" s="7">
        <f t="shared" si="90"/>
        <v>1.1423276177276668E-4</v>
      </c>
      <c r="S140" s="2"/>
      <c r="T140" s="6">
        <v>6115</v>
      </c>
      <c r="U140" s="2"/>
      <c r="V140" s="7">
        <f t="shared" si="91"/>
        <v>6.0137329467891342E-4</v>
      </c>
      <c r="W140" s="2"/>
      <c r="X140" s="6">
        <f t="shared" si="92"/>
        <v>-5009.5</v>
      </c>
      <c r="Y140" s="2"/>
      <c r="Z140" s="7">
        <f t="shared" si="93"/>
        <v>-0.81921504497138187</v>
      </c>
    </row>
    <row r="141" spans="1:26" s="24" customFormat="1" hidden="1" outlineLevel="2" x14ac:dyDescent="0.3">
      <c r="A141" s="27"/>
      <c r="B141" s="11" t="str">
        <f>CONCATENATE("          ", "6275", " - ", "SUBSCRIPTIONS")</f>
        <v xml:space="preserve">          6275 - SUBSCRIPTIONS</v>
      </c>
      <c r="C141" s="11"/>
      <c r="D141" s="6">
        <v>569.5</v>
      </c>
      <c r="E141" s="2"/>
      <c r="F141" s="7">
        <f t="shared" si="86"/>
        <v>3.152828678306814E-4</v>
      </c>
      <c r="G141" s="2"/>
      <c r="H141" s="6">
        <v>691</v>
      </c>
      <c r="I141" s="2"/>
      <c r="J141" s="7">
        <f t="shared" si="87"/>
        <v>5.1793975408730175E-4</v>
      </c>
      <c r="K141" s="2"/>
      <c r="L141" s="6">
        <f t="shared" si="88"/>
        <v>-121.5</v>
      </c>
      <c r="M141" s="2"/>
      <c r="N141" s="7">
        <f t="shared" si="89"/>
        <v>-0.17583212735166426</v>
      </c>
      <c r="O141" s="11"/>
      <c r="P141" s="6">
        <v>2516.5</v>
      </c>
      <c r="Q141" s="2"/>
      <c r="R141" s="7">
        <f t="shared" si="90"/>
        <v>2.6003323835474204E-4</v>
      </c>
      <c r="S141" s="2"/>
      <c r="T141" s="6">
        <v>3185</v>
      </c>
      <c r="U141" s="2"/>
      <c r="V141" s="7">
        <f t="shared" si="91"/>
        <v>3.132255018074144E-4</v>
      </c>
      <c r="W141" s="2"/>
      <c r="X141" s="6">
        <f t="shared" si="92"/>
        <v>-668.5</v>
      </c>
      <c r="Y141" s="2"/>
      <c r="Z141" s="7">
        <f t="shared" si="93"/>
        <v>-0.20989010989010989</v>
      </c>
    </row>
    <row r="142" spans="1:26" s="29" customFormat="1" outlineLevel="1" collapsed="1" x14ac:dyDescent="0.3">
      <c r="A142" s="28"/>
      <c r="B142" s="14" t="str">
        <f>CONCATENATE("     ","Supplies                                          ")</f>
        <v xml:space="preserve">     Supplies                                          </v>
      </c>
      <c r="C142" s="14"/>
      <c r="D142" s="1">
        <f>SUM(OSRRefD22_22x_0)</f>
        <v>28990.579999999998</v>
      </c>
      <c r="E142" s="1"/>
      <c r="F142" s="5">
        <f t="shared" ref="F142:F152" si="94">IF(D$12=0,0,D142/D$12)</f>
        <v>1.6049575421378044E-2</v>
      </c>
      <c r="G142" s="1"/>
      <c r="H142" s="1">
        <f>SUM(OSRRefH22_22x_0)</f>
        <v>46495</v>
      </c>
      <c r="I142" s="1"/>
      <c r="J142" s="5">
        <f t="shared" ref="J142:J152" si="95">IF(H$12=0,0,H142/H$12)</f>
        <v>3.4850374625599263E-2</v>
      </c>
      <c r="K142" s="1"/>
      <c r="L142" s="1">
        <f t="shared" ref="L142:L152" si="96">+D142-H142</f>
        <v>-17504.420000000002</v>
      </c>
      <c r="M142" s="1"/>
      <c r="N142" s="5">
        <f t="shared" ref="N142:N152" si="97">IF(H142=0,0,L142/H142)</f>
        <v>-0.37647962146467367</v>
      </c>
      <c r="O142" s="14"/>
      <c r="P142" s="1">
        <f>SUM(OSRRefP22_22x_0)</f>
        <v>264845.39</v>
      </c>
      <c r="Q142" s="1"/>
      <c r="R142" s="5">
        <f t="shared" ref="R142:R152" si="98">IF(P$12=0,0,P142/P$12)</f>
        <v>2.7366820753039787E-2</v>
      </c>
      <c r="S142" s="1"/>
      <c r="T142" s="1">
        <f>SUM(OSRRefT22_22x_0)</f>
        <v>268003</v>
      </c>
      <c r="U142" s="1"/>
      <c r="V142" s="5">
        <f t="shared" ref="V142:V152" si="99">IF(T$12=0,0,T142/T$12)</f>
        <v>2.6356475403733905E-2</v>
      </c>
      <c r="W142" s="1"/>
      <c r="X142" s="1">
        <f t="shared" ref="X142:X152" si="100">+P142-T142</f>
        <v>-3157.609999999986</v>
      </c>
      <c r="Y142" s="1"/>
      <c r="Z142" s="5">
        <f t="shared" ref="Z142:Z152" si="101">IF(T142=0,0,X142/T142)</f>
        <v>-1.1781994977668108E-2</v>
      </c>
    </row>
    <row r="143" spans="1:26" s="24" customFormat="1" hidden="1" outlineLevel="2" x14ac:dyDescent="0.3">
      <c r="A143" s="27"/>
      <c r="B143" s="11" t="str">
        <f>CONCATENATE("          ", "6234", " - ", "EXPENDABLE SUPPLIES &amp; EQUIPMEN")</f>
        <v xml:space="preserve">          6234 - EXPENDABLE SUPPLIES &amp; EQUIPMEN</v>
      </c>
      <c r="C143" s="11"/>
      <c r="D143" s="6">
        <v>2747.16</v>
      </c>
      <c r="E143" s="2"/>
      <c r="F143" s="7">
        <f t="shared" si="94"/>
        <v>1.5208647641610795E-3</v>
      </c>
      <c r="G143" s="2"/>
      <c r="H143" s="6">
        <v>6492</v>
      </c>
      <c r="I143" s="2"/>
      <c r="J143" s="7">
        <f t="shared" si="95"/>
        <v>4.8660852149562412E-3</v>
      </c>
      <c r="K143" s="2"/>
      <c r="L143" s="6">
        <f t="shared" si="96"/>
        <v>-3744.84</v>
      </c>
      <c r="M143" s="2"/>
      <c r="N143" s="7">
        <f t="shared" si="97"/>
        <v>-0.5768391866913124</v>
      </c>
      <c r="O143" s="11"/>
      <c r="P143" s="6">
        <v>6506.44</v>
      </c>
      <c r="Q143" s="2"/>
      <c r="R143" s="7">
        <f t="shared" si="98"/>
        <v>6.7231896020696514E-4</v>
      </c>
      <c r="S143" s="2"/>
      <c r="T143" s="6">
        <v>31960</v>
      </c>
      <c r="U143" s="2"/>
      <c r="V143" s="7">
        <f t="shared" si="99"/>
        <v>3.1430728533014016E-3</v>
      </c>
      <c r="W143" s="2"/>
      <c r="X143" s="6">
        <f t="shared" si="100"/>
        <v>-25453.56</v>
      </c>
      <c r="Y143" s="2"/>
      <c r="Z143" s="7">
        <f t="shared" si="101"/>
        <v>-0.79641927409261581</v>
      </c>
    </row>
    <row r="144" spans="1:26" s="24" customFormat="1" hidden="1" outlineLevel="2" x14ac:dyDescent="0.3">
      <c r="A144" s="27"/>
      <c r="B144" s="11" t="str">
        <f>CONCATENATE("          ", "6235", " - ", "COVID-19 EXPENSES")</f>
        <v xml:space="preserve">          6235 - COVID-19 EXPENSES</v>
      </c>
      <c r="C144" s="11"/>
      <c r="D144" s="6"/>
      <c r="E144" s="2"/>
      <c r="F144" s="7">
        <f t="shared" si="94"/>
        <v>0</v>
      </c>
      <c r="G144" s="2"/>
      <c r="H144" s="6">
        <v>375</v>
      </c>
      <c r="I144" s="2"/>
      <c r="J144" s="7">
        <f t="shared" si="95"/>
        <v>2.8108163210237069E-4</v>
      </c>
      <c r="K144" s="2"/>
      <c r="L144" s="6">
        <f t="shared" si="96"/>
        <v>-375</v>
      </c>
      <c r="M144" s="2"/>
      <c r="N144" s="7">
        <f t="shared" si="97"/>
        <v>-1</v>
      </c>
      <c r="O144" s="11"/>
      <c r="P144" s="6">
        <v>3623.82</v>
      </c>
      <c r="Q144" s="2"/>
      <c r="R144" s="7">
        <f t="shared" si="98"/>
        <v>3.7445406310935084E-4</v>
      </c>
      <c r="S144" s="2"/>
      <c r="T144" s="6">
        <v>2125</v>
      </c>
      <c r="U144" s="2"/>
      <c r="V144" s="7">
        <f t="shared" si="99"/>
        <v>2.0898090779929534E-4</v>
      </c>
      <c r="W144" s="2"/>
      <c r="X144" s="6">
        <f t="shared" si="100"/>
        <v>1498.8200000000002</v>
      </c>
      <c r="Y144" s="2"/>
      <c r="Z144" s="7">
        <f t="shared" si="101"/>
        <v>0.70532705882352953</v>
      </c>
    </row>
    <row r="145" spans="1:26" s="24" customFormat="1" hidden="1" outlineLevel="2" x14ac:dyDescent="0.3">
      <c r="A145" s="27"/>
      <c r="B145" s="11" t="str">
        <f>CONCATENATE("          ", "6237", " - ", "JANITORIAL SUPPLIES")</f>
        <v xml:space="preserve">          6237 - JANITORIAL SUPPLIES</v>
      </c>
      <c r="C145" s="11"/>
      <c r="D145" s="6">
        <v>5132.4399999999996</v>
      </c>
      <c r="E145" s="2"/>
      <c r="F145" s="7">
        <f t="shared" si="94"/>
        <v>2.8413878879173004E-3</v>
      </c>
      <c r="G145" s="2"/>
      <c r="H145" s="6">
        <v>9985</v>
      </c>
      <c r="I145" s="2"/>
      <c r="J145" s="7">
        <f t="shared" si="95"/>
        <v>7.4842669241124565E-3</v>
      </c>
      <c r="K145" s="2"/>
      <c r="L145" s="6">
        <f t="shared" si="96"/>
        <v>-4852.5600000000004</v>
      </c>
      <c r="M145" s="2"/>
      <c r="N145" s="7">
        <f t="shared" si="97"/>
        <v>-0.48598497746619934</v>
      </c>
      <c r="O145" s="11"/>
      <c r="P145" s="6">
        <v>36487.300000000003</v>
      </c>
      <c r="Q145" s="2"/>
      <c r="R145" s="7">
        <f t="shared" si="98"/>
        <v>3.7702804600917867E-3</v>
      </c>
      <c r="S145" s="2"/>
      <c r="T145" s="6">
        <v>54543</v>
      </c>
      <c r="U145" s="2"/>
      <c r="V145" s="7">
        <f t="shared" si="99"/>
        <v>5.3639744254573955E-3</v>
      </c>
      <c r="W145" s="2"/>
      <c r="X145" s="6">
        <f t="shared" si="100"/>
        <v>-18055.699999999997</v>
      </c>
      <c r="Y145" s="2"/>
      <c r="Z145" s="7">
        <f t="shared" si="101"/>
        <v>-0.33103606328951463</v>
      </c>
    </row>
    <row r="146" spans="1:26" s="24" customFormat="1" hidden="1" outlineLevel="2" x14ac:dyDescent="0.3">
      <c r="A146" s="27"/>
      <c r="B146" s="11" t="str">
        <f>CONCATENATE("          ", "6239", " - ", "KITCHEN SUPPLIES")</f>
        <v xml:space="preserve">          6239 - KITCHEN SUPPLIES</v>
      </c>
      <c r="C146" s="11"/>
      <c r="D146" s="6">
        <v>1163.5</v>
      </c>
      <c r="E146" s="2"/>
      <c r="F146" s="7">
        <f t="shared" si="94"/>
        <v>6.4412926553291977E-4</v>
      </c>
      <c r="G146" s="2"/>
      <c r="H146" s="6">
        <v>3700</v>
      </c>
      <c r="I146" s="2"/>
      <c r="J146" s="7">
        <f t="shared" si="95"/>
        <v>2.7733387700767239E-3</v>
      </c>
      <c r="K146" s="2"/>
      <c r="L146" s="6">
        <f t="shared" si="96"/>
        <v>-2536.5</v>
      </c>
      <c r="M146" s="2"/>
      <c r="N146" s="7">
        <f t="shared" si="97"/>
        <v>-0.68554054054054059</v>
      </c>
      <c r="O146" s="11"/>
      <c r="P146" s="6">
        <v>26277.119999999999</v>
      </c>
      <c r="Q146" s="2"/>
      <c r="R146" s="7">
        <f t="shared" si="98"/>
        <v>2.7152491985838107E-3</v>
      </c>
      <c r="S146" s="2"/>
      <c r="T146" s="6">
        <v>29749</v>
      </c>
      <c r="U146" s="2"/>
      <c r="V146" s="7">
        <f t="shared" si="99"/>
        <v>2.925634365233523E-3</v>
      </c>
      <c r="W146" s="2"/>
      <c r="X146" s="6">
        <f t="shared" si="100"/>
        <v>-3471.880000000001</v>
      </c>
      <c r="Y146" s="2"/>
      <c r="Z146" s="7">
        <f t="shared" si="101"/>
        <v>-0.11670577162257559</v>
      </c>
    </row>
    <row r="147" spans="1:26" s="24" customFormat="1" hidden="1" outlineLevel="2" x14ac:dyDescent="0.3">
      <c r="A147" s="27"/>
      <c r="B147" s="11" t="str">
        <f>CONCATENATE("          ", "6241", " - ", "OFFICE EXPENSE")</f>
        <v xml:space="preserve">          6241 - OFFICE EXPENSE</v>
      </c>
      <c r="C147" s="11"/>
      <c r="D147" s="6">
        <v>1621.89</v>
      </c>
      <c r="E147" s="2"/>
      <c r="F147" s="7">
        <f t="shared" si="94"/>
        <v>8.979001413624301E-4</v>
      </c>
      <c r="G147" s="2"/>
      <c r="H147" s="6">
        <v>2025</v>
      </c>
      <c r="I147" s="2"/>
      <c r="J147" s="7">
        <f t="shared" si="95"/>
        <v>1.5178408133528017E-3</v>
      </c>
      <c r="K147" s="2"/>
      <c r="L147" s="6">
        <f t="shared" si="96"/>
        <v>-403.1099999999999</v>
      </c>
      <c r="M147" s="2"/>
      <c r="N147" s="7">
        <f t="shared" si="97"/>
        <v>-0.19906666666666661</v>
      </c>
      <c r="O147" s="11"/>
      <c r="P147" s="6">
        <v>41200.080000000002</v>
      </c>
      <c r="Q147" s="2"/>
      <c r="R147" s="7">
        <f t="shared" si="98"/>
        <v>4.257258185127932E-3</v>
      </c>
      <c r="S147" s="2"/>
      <c r="T147" s="6">
        <v>13352</v>
      </c>
      <c r="U147" s="2"/>
      <c r="V147" s="7">
        <f t="shared" si="99"/>
        <v>1.3130885086758547E-3</v>
      </c>
      <c r="W147" s="2"/>
      <c r="X147" s="6">
        <f t="shared" si="100"/>
        <v>27848.080000000002</v>
      </c>
      <c r="Y147" s="2"/>
      <c r="Z147" s="7">
        <f t="shared" si="101"/>
        <v>2.0856860395446377</v>
      </c>
    </row>
    <row r="148" spans="1:26" s="24" customFormat="1" hidden="1" outlineLevel="2" x14ac:dyDescent="0.3">
      <c r="A148" s="27"/>
      <c r="B148" s="11" t="str">
        <f>CONCATENATE("          ", "6243", " - ", "PAPER SUPPLIES")</f>
        <v xml:space="preserve">          6243 - PAPER SUPPLIES</v>
      </c>
      <c r="C148" s="11"/>
      <c r="D148" s="6">
        <v>14963.48</v>
      </c>
      <c r="E148" s="2"/>
      <c r="F148" s="7">
        <f t="shared" si="94"/>
        <v>8.2839839984671544E-3</v>
      </c>
      <c r="G148" s="2"/>
      <c r="H148" s="6">
        <v>15700</v>
      </c>
      <c r="I148" s="2"/>
      <c r="J148" s="7">
        <f t="shared" si="95"/>
        <v>1.1767950997352585E-2</v>
      </c>
      <c r="K148" s="2"/>
      <c r="L148" s="6">
        <f t="shared" si="96"/>
        <v>-736.52000000000044</v>
      </c>
      <c r="M148" s="2"/>
      <c r="N148" s="7">
        <f t="shared" si="97"/>
        <v>-4.6912101910828057E-2</v>
      </c>
      <c r="O148" s="11"/>
      <c r="P148" s="6">
        <v>116762.95</v>
      </c>
      <c r="Q148" s="2"/>
      <c r="R148" s="7">
        <f t="shared" si="98"/>
        <v>1.2065268431691964E-2</v>
      </c>
      <c r="S148" s="2"/>
      <c r="T148" s="6">
        <v>87133</v>
      </c>
      <c r="U148" s="2"/>
      <c r="V148" s="7">
        <f t="shared" si="99"/>
        <v>8.5690039714240007E-3</v>
      </c>
      <c r="W148" s="2"/>
      <c r="X148" s="6">
        <f t="shared" si="100"/>
        <v>29629.949999999997</v>
      </c>
      <c r="Y148" s="2"/>
      <c r="Z148" s="7">
        <f t="shared" si="101"/>
        <v>0.34005428482893962</v>
      </c>
    </row>
    <row r="149" spans="1:26" s="24" customFormat="1" hidden="1" outlineLevel="2" x14ac:dyDescent="0.3">
      <c r="A149" s="27"/>
      <c r="B149" s="11" t="str">
        <f>CONCATENATE("          ", "6244", " - ", "SAFETY SUPPLY EXPENSE")</f>
        <v xml:space="preserve">          6244 - SAFETY SUPPLY EXPENSE</v>
      </c>
      <c r="C149" s="11"/>
      <c r="D149" s="6"/>
      <c r="E149" s="2"/>
      <c r="F149" s="7">
        <f t="shared" si="94"/>
        <v>0</v>
      </c>
      <c r="G149" s="2"/>
      <c r="H149" s="6">
        <v>525</v>
      </c>
      <c r="I149" s="2"/>
      <c r="J149" s="7">
        <f t="shared" si="95"/>
        <v>3.9351428494331897E-4</v>
      </c>
      <c r="K149" s="2"/>
      <c r="L149" s="6">
        <f t="shared" si="96"/>
        <v>-525</v>
      </c>
      <c r="M149" s="2"/>
      <c r="N149" s="7">
        <f t="shared" si="97"/>
        <v>-1</v>
      </c>
      <c r="O149" s="11"/>
      <c r="P149" s="6"/>
      <c r="Q149" s="2"/>
      <c r="R149" s="7">
        <f t="shared" si="98"/>
        <v>0</v>
      </c>
      <c r="S149" s="2"/>
      <c r="T149" s="6">
        <v>2675</v>
      </c>
      <c r="U149" s="2"/>
      <c r="V149" s="7">
        <f t="shared" si="99"/>
        <v>2.6307008393558354E-4</v>
      </c>
      <c r="W149" s="2"/>
      <c r="X149" s="6">
        <f t="shared" si="100"/>
        <v>-2675</v>
      </c>
      <c r="Y149" s="2"/>
      <c r="Z149" s="7">
        <f t="shared" si="101"/>
        <v>-1</v>
      </c>
    </row>
    <row r="150" spans="1:26" s="24" customFormat="1" hidden="1" outlineLevel="2" x14ac:dyDescent="0.3">
      <c r="A150" s="27"/>
      <c r="B150" s="11" t="str">
        <f>CONCATENATE("          ", "6245", " - ", "PRINTING")</f>
        <v xml:space="preserve">          6245 - PRINTING</v>
      </c>
      <c r="C150" s="11"/>
      <c r="D150" s="6">
        <v>1092.56</v>
      </c>
      <c r="E150" s="2"/>
      <c r="F150" s="7">
        <f t="shared" si="94"/>
        <v>6.0485592638646055E-4</v>
      </c>
      <c r="G150" s="2"/>
      <c r="H150" s="6">
        <v>180</v>
      </c>
      <c r="I150" s="2"/>
      <c r="J150" s="7">
        <f t="shared" si="95"/>
        <v>1.3491918340913792E-4</v>
      </c>
      <c r="K150" s="2"/>
      <c r="L150" s="6">
        <f t="shared" si="96"/>
        <v>912.56</v>
      </c>
      <c r="M150" s="2"/>
      <c r="N150" s="7">
        <f t="shared" si="97"/>
        <v>5.0697777777777775</v>
      </c>
      <c r="O150" s="11"/>
      <c r="P150" s="6">
        <v>2136.4899999999998</v>
      </c>
      <c r="Q150" s="2"/>
      <c r="R150" s="7">
        <f t="shared" si="98"/>
        <v>2.2076630773396494E-4</v>
      </c>
      <c r="S150" s="2"/>
      <c r="T150" s="6">
        <v>2985</v>
      </c>
      <c r="U150" s="2"/>
      <c r="V150" s="7">
        <f t="shared" si="99"/>
        <v>2.9355671048512781E-4</v>
      </c>
      <c r="W150" s="2"/>
      <c r="X150" s="6">
        <f t="shared" si="100"/>
        <v>-848.51000000000022</v>
      </c>
      <c r="Y150" s="2"/>
      <c r="Z150" s="7">
        <f t="shared" si="101"/>
        <v>-0.28425795644891128</v>
      </c>
    </row>
    <row r="151" spans="1:26" s="24" customFormat="1" hidden="1" outlineLevel="2" x14ac:dyDescent="0.3">
      <c r="A151" s="27"/>
      <c r="B151" s="11" t="str">
        <f>CONCATENATE("          ", "6247", " - ", "STORE SUPPLIES")</f>
        <v xml:space="preserve">          6247 - STORE SUPPLIES</v>
      </c>
      <c r="C151" s="11"/>
      <c r="D151" s="6">
        <v>2016.6</v>
      </c>
      <c r="E151" s="2"/>
      <c r="F151" s="7">
        <f t="shared" si="94"/>
        <v>1.116416911795175E-3</v>
      </c>
      <c r="G151" s="2"/>
      <c r="H151" s="6">
        <v>6925</v>
      </c>
      <c r="I151" s="2"/>
      <c r="J151" s="7">
        <f t="shared" si="95"/>
        <v>5.1906408061571123E-3</v>
      </c>
      <c r="K151" s="2"/>
      <c r="L151" s="6">
        <f t="shared" si="96"/>
        <v>-4908.3999999999996</v>
      </c>
      <c r="M151" s="2"/>
      <c r="N151" s="7">
        <f t="shared" si="97"/>
        <v>-0.70879422382671475</v>
      </c>
      <c r="O151" s="11"/>
      <c r="P151" s="6">
        <v>25987.01</v>
      </c>
      <c r="Q151" s="2"/>
      <c r="R151" s="7">
        <f t="shared" si="98"/>
        <v>2.6852717526155631E-3</v>
      </c>
      <c r="S151" s="2"/>
      <c r="T151" s="6">
        <v>37941</v>
      </c>
      <c r="U151" s="2"/>
      <c r="V151" s="7">
        <f t="shared" si="99"/>
        <v>3.7312680577943833E-3</v>
      </c>
      <c r="W151" s="2"/>
      <c r="X151" s="6">
        <f t="shared" si="100"/>
        <v>-11953.990000000002</v>
      </c>
      <c r="Y151" s="2"/>
      <c r="Z151" s="7">
        <f t="shared" si="101"/>
        <v>-0.3150678685327219</v>
      </c>
    </row>
    <row r="152" spans="1:26" s="24" customFormat="1" hidden="1" outlineLevel="2" x14ac:dyDescent="0.3">
      <c r="A152" s="27"/>
      <c r="B152" s="11" t="str">
        <f>CONCATENATE("          ", "6248", " - ", "UNIFORMS")</f>
        <v xml:space="preserve">          6248 - UNIFORMS</v>
      </c>
      <c r="C152" s="11"/>
      <c r="D152" s="6">
        <v>252.95</v>
      </c>
      <c r="E152" s="2"/>
      <c r="F152" s="7">
        <f t="shared" si="94"/>
        <v>1.400365257555239E-4</v>
      </c>
      <c r="G152" s="2"/>
      <c r="H152" s="6">
        <v>588</v>
      </c>
      <c r="I152" s="2"/>
      <c r="J152" s="7">
        <f t="shared" si="95"/>
        <v>4.4073599913651722E-4</v>
      </c>
      <c r="K152" s="2"/>
      <c r="L152" s="6">
        <f t="shared" si="96"/>
        <v>-335.05</v>
      </c>
      <c r="M152" s="2"/>
      <c r="N152" s="7">
        <f t="shared" si="97"/>
        <v>-0.5698129251700681</v>
      </c>
      <c r="O152" s="11"/>
      <c r="P152" s="6">
        <v>5864.18</v>
      </c>
      <c r="Q152" s="2"/>
      <c r="R152" s="7">
        <f t="shared" si="98"/>
        <v>6.0595339387844679E-4</v>
      </c>
      <c r="S152" s="2"/>
      <c r="T152" s="6">
        <v>5540</v>
      </c>
      <c r="U152" s="2"/>
      <c r="V152" s="7">
        <f t="shared" si="99"/>
        <v>5.448255196273394E-4</v>
      </c>
      <c r="W152" s="2"/>
      <c r="X152" s="6">
        <f t="shared" si="100"/>
        <v>324.18000000000029</v>
      </c>
      <c r="Y152" s="2"/>
      <c r="Z152" s="7">
        <f t="shared" si="101"/>
        <v>5.8516245487364671E-2</v>
      </c>
    </row>
    <row r="153" spans="1:26" s="29" customFormat="1" outlineLevel="1" collapsed="1" x14ac:dyDescent="0.3">
      <c r="A153" s="28"/>
      <c r="B153" s="14" t="str">
        <f>CONCATENATE("     ","Telephone/Data Lines                              ")</f>
        <v xml:space="preserve">     Telephone/Data Lines                              </v>
      </c>
      <c r="C153" s="14"/>
      <c r="D153" s="1">
        <f>SUM(OSRRefD22_23x_0)</f>
        <v>3576.09</v>
      </c>
      <c r="E153" s="1"/>
      <c r="F153" s="5">
        <f t="shared" ref="F153:F155" si="102">IF(D$12=0,0,D153/D$12)</f>
        <v>1.9797715729949457E-3</v>
      </c>
      <c r="G153" s="1"/>
      <c r="H153" s="1">
        <f>SUM(OSRRefH22_23x_0)</f>
        <v>3549</v>
      </c>
      <c r="I153" s="1"/>
      <c r="J153" s="5">
        <f t="shared" ref="J153:J155" si="103">IF(H$12=0,0,H153/H$12)</f>
        <v>2.6601565662168363E-3</v>
      </c>
      <c r="K153" s="1"/>
      <c r="L153" s="1">
        <f t="shared" ref="L153:L155" si="104">+D153-H153</f>
        <v>27.090000000000146</v>
      </c>
      <c r="M153" s="1"/>
      <c r="N153" s="5">
        <f t="shared" ref="N153:N155" si="105">IF(H153=0,0,L153/H153)</f>
        <v>7.6331360946745976E-3</v>
      </c>
      <c r="O153" s="14"/>
      <c r="P153" s="1">
        <f>SUM(OSRRefP22_23x_0)</f>
        <v>18583.939999999999</v>
      </c>
      <c r="Q153" s="1"/>
      <c r="R153" s="5">
        <f t="shared" ref="R153:R155" si="106">IF(P$12=0,0,P153/P$12)</f>
        <v>1.9203028410849294E-3</v>
      </c>
      <c r="S153" s="1"/>
      <c r="T153" s="1">
        <f>SUM(OSRRefT22_23x_0)</f>
        <v>18395</v>
      </c>
      <c r="U153" s="1"/>
      <c r="V153" s="5">
        <f t="shared" ref="V153:V155" si="107">IF(T$12=0,0,T153/T$12)</f>
        <v>1.8090370818673119E-3</v>
      </c>
      <c r="W153" s="1"/>
      <c r="X153" s="1">
        <f t="shared" ref="X153:X155" si="108">+P153-T153</f>
        <v>188.93999999999869</v>
      </c>
      <c r="Y153" s="1"/>
      <c r="Z153" s="5">
        <f t="shared" ref="Z153:Z155" si="109">IF(T153=0,0,X153/T153)</f>
        <v>1.0271269366675656E-2</v>
      </c>
    </row>
    <row r="154" spans="1:26" s="24" customFormat="1" hidden="1" outlineLevel="2" x14ac:dyDescent="0.3">
      <c r="A154" s="27"/>
      <c r="B154" s="11" t="str">
        <f>CONCATENATE("          ", "6303", " - ", "DATA PHONE LINES")</f>
        <v xml:space="preserve">          6303 - DATA PHONE LINES</v>
      </c>
      <c r="C154" s="11"/>
      <c r="D154" s="6"/>
      <c r="E154" s="2"/>
      <c r="F154" s="7">
        <f t="shared" si="102"/>
        <v>0</v>
      </c>
      <c r="G154" s="2"/>
      <c r="H154" s="6">
        <v>243</v>
      </c>
      <c r="I154" s="2"/>
      <c r="J154" s="7">
        <f t="shared" si="103"/>
        <v>1.821408976023362E-4</v>
      </c>
      <c r="K154" s="2"/>
      <c r="L154" s="6">
        <f t="shared" si="104"/>
        <v>-243</v>
      </c>
      <c r="M154" s="2"/>
      <c r="N154" s="7">
        <f t="shared" si="105"/>
        <v>-1</v>
      </c>
      <c r="O154" s="11"/>
      <c r="P154" s="6">
        <v>295</v>
      </c>
      <c r="Q154" s="2"/>
      <c r="R154" s="7">
        <f t="shared" si="106"/>
        <v>3.0482736067812005E-5</v>
      </c>
      <c r="S154" s="2"/>
      <c r="T154" s="6">
        <v>1215</v>
      </c>
      <c r="U154" s="2"/>
      <c r="V154" s="7">
        <f t="shared" si="107"/>
        <v>1.1948790728289121E-4</v>
      </c>
      <c r="W154" s="2"/>
      <c r="X154" s="6">
        <f t="shared" si="108"/>
        <v>-920</v>
      </c>
      <c r="Y154" s="2"/>
      <c r="Z154" s="7">
        <f t="shared" si="109"/>
        <v>-0.75720164609053497</v>
      </c>
    </row>
    <row r="155" spans="1:26" s="24" customFormat="1" hidden="1" outlineLevel="2" x14ac:dyDescent="0.3">
      <c r="A155" s="27"/>
      <c r="B155" s="11" t="str">
        <f>CONCATENATE("          ", "6309", " - ", "TELEPHONE")</f>
        <v xml:space="preserve">          6309 - TELEPHONE</v>
      </c>
      <c r="C155" s="11"/>
      <c r="D155" s="6">
        <v>3576.09</v>
      </c>
      <c r="E155" s="2"/>
      <c r="F155" s="7">
        <f t="shared" si="102"/>
        <v>1.9797715729949457E-3</v>
      </c>
      <c r="G155" s="2"/>
      <c r="H155" s="6">
        <v>3306</v>
      </c>
      <c r="I155" s="2"/>
      <c r="J155" s="7">
        <f t="shared" si="103"/>
        <v>2.4780156686144998E-3</v>
      </c>
      <c r="K155" s="2"/>
      <c r="L155" s="6">
        <f t="shared" si="104"/>
        <v>270.09000000000015</v>
      </c>
      <c r="M155" s="2"/>
      <c r="N155" s="7">
        <f t="shared" si="105"/>
        <v>8.1696914700544507E-2</v>
      </c>
      <c r="O155" s="11"/>
      <c r="P155" s="6">
        <v>18288.939999999999</v>
      </c>
      <c r="Q155" s="2"/>
      <c r="R155" s="7">
        <f t="shared" si="106"/>
        <v>1.8898201050171174E-3</v>
      </c>
      <c r="S155" s="2"/>
      <c r="T155" s="6">
        <v>17180</v>
      </c>
      <c r="U155" s="2"/>
      <c r="V155" s="7">
        <f t="shared" si="107"/>
        <v>1.6895491745844205E-3</v>
      </c>
      <c r="W155" s="2"/>
      <c r="X155" s="6">
        <f t="shared" si="108"/>
        <v>1108.9399999999987</v>
      </c>
      <c r="Y155" s="2"/>
      <c r="Z155" s="7">
        <f t="shared" si="109"/>
        <v>6.4548311990686766E-2</v>
      </c>
    </row>
    <row r="156" spans="1:26" s="29" customFormat="1" outlineLevel="1" collapsed="1" x14ac:dyDescent="0.3">
      <c r="A156" s="28"/>
      <c r="B156" s="14" t="str">
        <f>CONCATENATE("     ","Training                                          ")</f>
        <v xml:space="preserve">     Training                                          </v>
      </c>
      <c r="C156" s="14"/>
      <c r="D156" s="1">
        <f>SUM(OSRRefD22_24x_0)</f>
        <v>245</v>
      </c>
      <c r="E156" s="1"/>
      <c r="F156" s="5">
        <f t="shared" ref="F156:F161" si="110">IF(D$12=0,0,D156/D$12)</f>
        <v>1.3563529871556972E-4</v>
      </c>
      <c r="G156" s="1"/>
      <c r="H156" s="1">
        <f>SUM(OSRRefH22_24x_0)</f>
        <v>640</v>
      </c>
      <c r="I156" s="1"/>
      <c r="J156" s="5">
        <f t="shared" ref="J156:J161" si="111">IF(H$12=0,0,H156/H$12)</f>
        <v>4.7971265212137928E-4</v>
      </c>
      <c r="K156" s="1"/>
      <c r="L156" s="1">
        <f t="shared" ref="L156:L161" si="112">+D156-H156</f>
        <v>-395</v>
      </c>
      <c r="M156" s="1"/>
      <c r="N156" s="5">
        <f t="shared" ref="N156:N161" si="113">IF(H156=0,0,L156/H156)</f>
        <v>-0.6171875</v>
      </c>
      <c r="O156" s="14"/>
      <c r="P156" s="1">
        <f>SUM(OSRRefP22_24x_0)</f>
        <v>2840</v>
      </c>
      <c r="Q156" s="1"/>
      <c r="R156" s="5">
        <f t="shared" ref="R156:R161" si="114">IF(P$12=0,0,P156/P$12)</f>
        <v>2.9346091672063083E-4</v>
      </c>
      <c r="S156" s="1"/>
      <c r="T156" s="1">
        <f>SUM(OSRRefT22_24x_0)</f>
        <v>4075</v>
      </c>
      <c r="U156" s="1"/>
      <c r="V156" s="5">
        <f t="shared" ref="V156:V161" si="115">IF(T$12=0,0,T156/T$12)</f>
        <v>4.0075162319158988E-4</v>
      </c>
      <c r="W156" s="1"/>
      <c r="X156" s="1">
        <f t="shared" ref="X156:X161" si="116">+P156-T156</f>
        <v>-1235</v>
      </c>
      <c r="Y156" s="1"/>
      <c r="Z156" s="5">
        <f t="shared" ref="Z156:Z161" si="117">IF(T156=0,0,X156/T156)</f>
        <v>-0.30306748466257671</v>
      </c>
    </row>
    <row r="157" spans="1:26" s="24" customFormat="1" hidden="1" outlineLevel="2" x14ac:dyDescent="0.3">
      <c r="A157" s="27"/>
      <c r="B157" s="11" t="str">
        <f>CONCATENATE("          ", "6376", " - ", "TRAINING")</f>
        <v xml:space="preserve">          6376 - TRAINING</v>
      </c>
      <c r="C157" s="11"/>
      <c r="D157" s="6">
        <v>245</v>
      </c>
      <c r="E157" s="2"/>
      <c r="F157" s="7">
        <f t="shared" si="110"/>
        <v>1.3563529871556972E-4</v>
      </c>
      <c r="G157" s="2"/>
      <c r="H157" s="6">
        <v>640</v>
      </c>
      <c r="I157" s="2"/>
      <c r="J157" s="7">
        <f t="shared" si="111"/>
        <v>4.7971265212137928E-4</v>
      </c>
      <c r="K157" s="2"/>
      <c r="L157" s="6">
        <f t="shared" si="112"/>
        <v>-395</v>
      </c>
      <c r="M157" s="2"/>
      <c r="N157" s="7">
        <f t="shared" si="113"/>
        <v>-0.6171875</v>
      </c>
      <c r="O157" s="11"/>
      <c r="P157" s="6">
        <v>2840</v>
      </c>
      <c r="Q157" s="2"/>
      <c r="R157" s="7">
        <f t="shared" si="114"/>
        <v>2.9346091672063083E-4</v>
      </c>
      <c r="S157" s="2"/>
      <c r="T157" s="6">
        <v>4075</v>
      </c>
      <c r="U157" s="2"/>
      <c r="V157" s="7">
        <f t="shared" si="115"/>
        <v>4.0075162319158988E-4</v>
      </c>
      <c r="W157" s="2"/>
      <c r="X157" s="6">
        <f t="shared" si="116"/>
        <v>-1235</v>
      </c>
      <c r="Y157" s="2"/>
      <c r="Z157" s="7">
        <f t="shared" si="117"/>
        <v>-0.30306748466257671</v>
      </c>
    </row>
    <row r="158" spans="1:26" s="29" customFormat="1" outlineLevel="1" collapsed="1" x14ac:dyDescent="0.3">
      <c r="A158" s="28"/>
      <c r="B158" s="14" t="str">
        <f>CONCATENATE("     ","Travel                                            ")</f>
        <v xml:space="preserve">     Travel                                            </v>
      </c>
      <c r="C158" s="14"/>
      <c r="D158" s="1">
        <f>SUM(OSRRefD22_25x_0)</f>
        <v>115.67</v>
      </c>
      <c r="E158" s="1"/>
      <c r="F158" s="5">
        <f t="shared" si="110"/>
        <v>6.4036469397673259E-5</v>
      </c>
      <c r="G158" s="1"/>
      <c r="H158" s="1">
        <f>SUM(OSRRefH22_25x_0)</f>
        <v>250</v>
      </c>
      <c r="I158" s="1"/>
      <c r="J158" s="5">
        <f t="shared" si="111"/>
        <v>1.8738775473491379E-4</v>
      </c>
      <c r="K158" s="1"/>
      <c r="L158" s="1">
        <f t="shared" si="112"/>
        <v>-134.32999999999998</v>
      </c>
      <c r="M158" s="1"/>
      <c r="N158" s="5">
        <f t="shared" si="113"/>
        <v>-0.53731999999999991</v>
      </c>
      <c r="O158" s="14"/>
      <c r="P158" s="1">
        <f>SUM(OSRRefP22_25x_0)</f>
        <v>1575.2199999999998</v>
      </c>
      <c r="Q158" s="1"/>
      <c r="R158" s="5">
        <f t="shared" si="114"/>
        <v>1.6276954409741973E-4</v>
      </c>
      <c r="S158" s="1"/>
      <c r="T158" s="1">
        <f>SUM(OSRRefT22_25x_0)</f>
        <v>950</v>
      </c>
      <c r="U158" s="1"/>
      <c r="V158" s="5">
        <f t="shared" si="115"/>
        <v>9.3426758780861436E-5</v>
      </c>
      <c r="W158" s="1"/>
      <c r="X158" s="1">
        <f t="shared" si="116"/>
        <v>625.2199999999998</v>
      </c>
      <c r="Y158" s="1"/>
      <c r="Z158" s="5">
        <f t="shared" si="117"/>
        <v>0.65812631578947345</v>
      </c>
    </row>
    <row r="159" spans="1:26" s="24" customFormat="1" hidden="1" outlineLevel="2" x14ac:dyDescent="0.3">
      <c r="A159" s="27"/>
      <c r="B159" s="11" t="str">
        <f>CONCATENATE("          ", "6292", " - ", "TRAVEL/CONFERENCE")</f>
        <v xml:space="preserve">          6292 - TRAVEL/CONFERENCE</v>
      </c>
      <c r="C159" s="11"/>
      <c r="D159" s="6">
        <v>18.59</v>
      </c>
      <c r="E159" s="2"/>
      <c r="F159" s="7">
        <f t="shared" si="110"/>
        <v>1.0291674298458943E-5</v>
      </c>
      <c r="G159" s="2"/>
      <c r="H159" s="6">
        <v>125</v>
      </c>
      <c r="I159" s="2"/>
      <c r="J159" s="7">
        <f t="shared" si="111"/>
        <v>9.3693877367456897E-5</v>
      </c>
      <c r="K159" s="2"/>
      <c r="L159" s="6">
        <f t="shared" si="112"/>
        <v>-106.41</v>
      </c>
      <c r="M159" s="2"/>
      <c r="N159" s="7">
        <f t="shared" si="113"/>
        <v>-0.85127999999999993</v>
      </c>
      <c r="O159" s="11"/>
      <c r="P159" s="6">
        <v>1108.5899999999999</v>
      </c>
      <c r="Q159" s="2"/>
      <c r="R159" s="7">
        <f t="shared" si="114"/>
        <v>1.1455205551666342E-4</v>
      </c>
      <c r="S159" s="2"/>
      <c r="T159" s="6">
        <v>625</v>
      </c>
      <c r="U159" s="2"/>
      <c r="V159" s="7">
        <f t="shared" si="115"/>
        <v>6.1464972882145687E-5</v>
      </c>
      <c r="W159" s="2"/>
      <c r="X159" s="6">
        <f t="shared" si="116"/>
        <v>483.58999999999992</v>
      </c>
      <c r="Y159" s="2"/>
      <c r="Z159" s="7">
        <f t="shared" si="117"/>
        <v>0.77374399999999988</v>
      </c>
    </row>
    <row r="160" spans="1:26" s="24" customFormat="1" hidden="1" outlineLevel="2" x14ac:dyDescent="0.3">
      <c r="A160" s="27"/>
      <c r="B160" s="11" t="str">
        <f>CONCATENATE("          ", "6294", " - ", "TRAVEL OPERATIONAL")</f>
        <v xml:space="preserve">          6294 - TRAVEL OPERATIONAL</v>
      </c>
      <c r="C160" s="11"/>
      <c r="D160" s="6"/>
      <c r="E160" s="2"/>
      <c r="F160" s="7">
        <f t="shared" si="110"/>
        <v>0</v>
      </c>
      <c r="G160" s="2"/>
      <c r="H160" s="6">
        <v>25</v>
      </c>
      <c r="I160" s="2"/>
      <c r="J160" s="7">
        <f t="shared" si="111"/>
        <v>1.8738775473491379E-5</v>
      </c>
      <c r="K160" s="2"/>
      <c r="L160" s="6">
        <f t="shared" si="112"/>
        <v>-25</v>
      </c>
      <c r="M160" s="2"/>
      <c r="N160" s="7">
        <f t="shared" si="113"/>
        <v>-1</v>
      </c>
      <c r="O160" s="11"/>
      <c r="P160" s="6">
        <v>215.53</v>
      </c>
      <c r="Q160" s="2"/>
      <c r="R160" s="7">
        <f t="shared" si="114"/>
        <v>2.2270996965069563E-5</v>
      </c>
      <c r="S160" s="2"/>
      <c r="T160" s="6">
        <v>125</v>
      </c>
      <c r="U160" s="2"/>
      <c r="V160" s="7">
        <f t="shared" si="115"/>
        <v>1.2292994576429137E-5</v>
      </c>
      <c r="W160" s="2"/>
      <c r="X160" s="6">
        <f t="shared" si="116"/>
        <v>90.53</v>
      </c>
      <c r="Y160" s="2"/>
      <c r="Z160" s="7">
        <f t="shared" si="117"/>
        <v>0.72423999999999999</v>
      </c>
    </row>
    <row r="161" spans="1:26" s="24" customFormat="1" hidden="1" outlineLevel="2" x14ac:dyDescent="0.3">
      <c r="A161" s="27"/>
      <c r="B161" s="11" t="str">
        <f>CONCATENATE("          ", "6298", " - ", "VEHICLE MILEAGE")</f>
        <v xml:space="preserve">          6298 - VEHICLE MILEAGE</v>
      </c>
      <c r="C161" s="11"/>
      <c r="D161" s="6">
        <v>97.08</v>
      </c>
      <c r="E161" s="2"/>
      <c r="F161" s="7">
        <f t="shared" si="110"/>
        <v>5.3744795099214318E-5</v>
      </c>
      <c r="G161" s="2"/>
      <c r="H161" s="6">
        <v>100</v>
      </c>
      <c r="I161" s="2"/>
      <c r="J161" s="7">
        <f t="shared" si="111"/>
        <v>7.4955101893965518E-5</v>
      </c>
      <c r="K161" s="2"/>
      <c r="L161" s="6">
        <f t="shared" si="112"/>
        <v>-2.9200000000000017</v>
      </c>
      <c r="M161" s="2"/>
      <c r="N161" s="7">
        <f t="shared" si="113"/>
        <v>-2.9200000000000018E-2</v>
      </c>
      <c r="O161" s="11"/>
      <c r="P161" s="6">
        <v>251.1</v>
      </c>
      <c r="Q161" s="2"/>
      <c r="R161" s="7">
        <f t="shared" si="114"/>
        <v>2.594649161568676E-5</v>
      </c>
      <c r="S161" s="2"/>
      <c r="T161" s="6">
        <v>200</v>
      </c>
      <c r="U161" s="2"/>
      <c r="V161" s="7">
        <f t="shared" si="115"/>
        <v>1.966879132228662E-5</v>
      </c>
      <c r="W161" s="2"/>
      <c r="X161" s="6">
        <f t="shared" si="116"/>
        <v>51.099999999999994</v>
      </c>
      <c r="Y161" s="2"/>
      <c r="Z161" s="7">
        <f t="shared" si="117"/>
        <v>0.25549999999999995</v>
      </c>
    </row>
    <row r="162" spans="1:26" s="29" customFormat="1" outlineLevel="1" collapsed="1" x14ac:dyDescent="0.3">
      <c r="A162" s="28"/>
      <c r="B162" s="14" t="str">
        <f>CONCATENATE("     ","Utilities                                         ")</f>
        <v xml:space="preserve">     Utilities                                         </v>
      </c>
      <c r="C162" s="14"/>
      <c r="D162" s="1">
        <f>SUM(OSRRefD22_26x_0)</f>
        <v>14283.61</v>
      </c>
      <c r="E162" s="1"/>
      <c r="F162" s="5">
        <f t="shared" ref="F162:F163" si="118">IF(D$12=0,0,D162/D$12)</f>
        <v>7.9075988125987696E-3</v>
      </c>
      <c r="G162" s="1"/>
      <c r="H162" s="1">
        <f>SUM(OSRRefH22_26x_0)</f>
        <v>14787</v>
      </c>
      <c r="I162" s="1"/>
      <c r="J162" s="5">
        <f t="shared" ref="J162:J163" si="119">IF(H$12=0,0,H162/H$12)</f>
        <v>1.108361091706068E-2</v>
      </c>
      <c r="K162" s="1"/>
      <c r="L162" s="1">
        <f t="shared" ref="L162:L163" si="120">+D162-H162</f>
        <v>-503.38999999999942</v>
      </c>
      <c r="M162" s="1"/>
      <c r="N162" s="5">
        <f t="shared" ref="N162:N163" si="121">IF(H162=0,0,L162/H162)</f>
        <v>-3.4042740244809591E-2</v>
      </c>
      <c r="O162" s="14"/>
      <c r="P162" s="1">
        <f>SUM(OSRRefP22_26x_0)</f>
        <v>69033.59</v>
      </c>
      <c r="Q162" s="1"/>
      <c r="R162" s="5">
        <f t="shared" ref="R162:R163" si="122">IF(P$12=0,0,P162/P$12)</f>
        <v>7.1333311992662577E-3</v>
      </c>
      <c r="S162" s="1"/>
      <c r="T162" s="1">
        <f>SUM(OSRRefT22_26x_0)</f>
        <v>73935</v>
      </c>
      <c r="U162" s="1"/>
      <c r="V162" s="5">
        <f t="shared" ref="V162:V163" si="123">IF(T$12=0,0,T162/T$12)</f>
        <v>7.2710604320663057E-3</v>
      </c>
      <c r="W162" s="1"/>
      <c r="X162" s="1">
        <f t="shared" ref="X162:X163" si="124">+P162-T162</f>
        <v>-4901.4100000000035</v>
      </c>
      <c r="Y162" s="1"/>
      <c r="Z162" s="5">
        <f t="shared" ref="Z162:Z163" si="125">IF(T162=0,0,X162/T162)</f>
        <v>-6.6293501048218073E-2</v>
      </c>
    </row>
    <row r="163" spans="1:26" s="24" customFormat="1" hidden="1" outlineLevel="2" x14ac:dyDescent="0.3">
      <c r="A163" s="27"/>
      <c r="B163" s="11" t="str">
        <f>CONCATENATE("          ", "6274", " - ", "UTILITIES")</f>
        <v xml:space="preserve">          6274 - UTILITIES</v>
      </c>
      <c r="C163" s="11"/>
      <c r="D163" s="6">
        <v>14283.61</v>
      </c>
      <c r="E163" s="2"/>
      <c r="F163" s="7">
        <f t="shared" si="118"/>
        <v>7.9075988125987696E-3</v>
      </c>
      <c r="G163" s="2"/>
      <c r="H163" s="6">
        <v>14787</v>
      </c>
      <c r="I163" s="2"/>
      <c r="J163" s="7">
        <f t="shared" si="119"/>
        <v>1.108361091706068E-2</v>
      </c>
      <c r="K163" s="2"/>
      <c r="L163" s="6">
        <f t="shared" si="120"/>
        <v>-503.38999999999942</v>
      </c>
      <c r="M163" s="2"/>
      <c r="N163" s="7">
        <f t="shared" si="121"/>
        <v>-3.4042740244809591E-2</v>
      </c>
      <c r="O163" s="11"/>
      <c r="P163" s="6">
        <v>69033.59</v>
      </c>
      <c r="Q163" s="2"/>
      <c r="R163" s="7">
        <f t="shared" si="122"/>
        <v>7.1333311992662577E-3</v>
      </c>
      <c r="S163" s="2"/>
      <c r="T163" s="6">
        <v>73935</v>
      </c>
      <c r="U163" s="2"/>
      <c r="V163" s="7">
        <f t="shared" si="123"/>
        <v>7.2710604320663057E-3</v>
      </c>
      <c r="W163" s="2"/>
      <c r="X163" s="6">
        <f t="shared" si="124"/>
        <v>-4901.4100000000035</v>
      </c>
      <c r="Y163" s="2"/>
      <c r="Z163" s="7">
        <f t="shared" si="125"/>
        <v>-6.6293501048218073E-2</v>
      </c>
    </row>
    <row r="164" spans="1:26" s="63" customFormat="1" x14ac:dyDescent="0.3">
      <c r="A164" s="36"/>
      <c r="B164" s="36"/>
      <c r="C164" s="36"/>
      <c r="D164" s="1"/>
      <c r="E164" s="1"/>
      <c r="F164" s="5"/>
      <c r="G164" s="1"/>
      <c r="H164" s="1"/>
      <c r="I164" s="1"/>
      <c r="J164" s="5"/>
      <c r="K164" s="1"/>
      <c r="L164" s="1"/>
      <c r="M164" s="1"/>
      <c r="N164" s="5"/>
      <c r="O164" s="36"/>
      <c r="P164" s="1"/>
      <c r="Q164" s="1"/>
      <c r="R164" s="5"/>
      <c r="S164" s="1"/>
      <c r="T164" s="1"/>
      <c r="U164" s="1"/>
      <c r="V164" s="5"/>
      <c r="W164" s="1"/>
      <c r="X164" s="1"/>
      <c r="Y164" s="1"/>
      <c r="Z164" s="5"/>
    </row>
    <row r="165" spans="1:26" s="23" customFormat="1" collapsed="1" x14ac:dyDescent="0.3">
      <c r="A165" s="10"/>
      <c r="B165" s="25" t="s">
        <v>293</v>
      </c>
      <c r="C165" s="10"/>
      <c r="D165" s="4">
        <f>SUM(OSRRefD25x_0)</f>
        <v>61142.060000000005</v>
      </c>
      <c r="E165" s="4"/>
      <c r="F165" s="12">
        <f t="shared" ref="F165:F173" si="126">IF(D$12=0,0,D165/D$12)</f>
        <v>3.3849067641572597E-2</v>
      </c>
      <c r="G165" s="4"/>
      <c r="H165" s="4">
        <f>SUM(OSRRefH25x_0)</f>
        <v>55076</v>
      </c>
      <c r="I165" s="4"/>
      <c r="J165" s="12">
        <f t="shared" ref="J165:J173" si="127">IF(H$12=0,0,H165/H$12)</f>
        <v>4.1282271919120449E-2</v>
      </c>
      <c r="K165" s="4"/>
      <c r="L165" s="4">
        <f t="shared" ref="L165:L173" si="128">+D165-H165</f>
        <v>6066.0600000000049</v>
      </c>
      <c r="M165" s="4"/>
      <c r="N165" s="12">
        <f t="shared" ref="N165:N173" si="129">IF(H165=0,0,L165/H165)</f>
        <v>0.11013980681240476</v>
      </c>
      <c r="O165" s="10"/>
      <c r="P165" s="4">
        <f>SUM(OSRRefP25x_0)</f>
        <v>492991.88</v>
      </c>
      <c r="Q165" s="4"/>
      <c r="R165" s="12">
        <f t="shared" ref="R165:R173" si="130">IF(P$12=0,0,P165/P$12)</f>
        <v>5.0941496141065926E-2</v>
      </c>
      <c r="S165" s="4"/>
      <c r="T165" s="4">
        <f>SUM(OSRRefT25x_0)</f>
        <v>360017.5</v>
      </c>
      <c r="U165" s="4"/>
      <c r="V165" s="12">
        <f t="shared" ref="V165:V173" si="131">IF(T$12=0,0,T165/T$12)</f>
        <v>3.5405545399356614E-2</v>
      </c>
      <c r="W165" s="4"/>
      <c r="X165" s="4">
        <f t="shared" ref="X165:X173" si="132">+P165-T165</f>
        <v>132974.38</v>
      </c>
      <c r="Y165" s="4"/>
      <c r="Z165" s="12">
        <f t="shared" ref="Z165:Z173" si="133">IF(T165=0,0,X165/T165)</f>
        <v>0.36935532300513169</v>
      </c>
    </row>
    <row r="166" spans="1:26" s="24" customFormat="1" hidden="1" outlineLevel="1" x14ac:dyDescent="0.3">
      <c r="A166" s="44"/>
      <c r="B166" s="11" t="str">
        <f>CONCATENATE("          ", "4187", " - ", "NON-TAXABLE SALES-COMPUTER REP")</f>
        <v xml:space="preserve">          4187 - NON-TAXABLE SALES-COMPUTER REP</v>
      </c>
      <c r="C166" s="11"/>
      <c r="D166" s="2">
        <f>0</f>
        <v>0</v>
      </c>
      <c r="E166" s="2"/>
      <c r="F166" s="19">
        <f t="shared" si="126"/>
        <v>0</v>
      </c>
      <c r="G166" s="2"/>
      <c r="H166" s="2"/>
      <c r="I166" s="2"/>
      <c r="J166" s="19">
        <f t="shared" si="127"/>
        <v>0</v>
      </c>
      <c r="K166" s="2"/>
      <c r="L166" s="2">
        <f t="shared" si="128"/>
        <v>0</v>
      </c>
      <c r="M166" s="2"/>
      <c r="N166" s="19">
        <f t="shared" si="129"/>
        <v>0</v>
      </c>
      <c r="O166" s="11"/>
      <c r="P166" s="2">
        <f>0</f>
        <v>0</v>
      </c>
      <c r="Q166" s="2"/>
      <c r="R166" s="19">
        <f t="shared" si="130"/>
        <v>0</v>
      </c>
      <c r="S166" s="2"/>
      <c r="T166" s="2"/>
      <c r="U166" s="2"/>
      <c r="V166" s="19">
        <f t="shared" si="131"/>
        <v>0</v>
      </c>
      <c r="W166" s="2"/>
      <c r="X166" s="2">
        <f t="shared" si="132"/>
        <v>0</v>
      </c>
      <c r="Y166" s="2"/>
      <c r="Z166" s="19">
        <f t="shared" si="133"/>
        <v>0</v>
      </c>
    </row>
    <row r="167" spans="1:26" s="24" customFormat="1" hidden="1" outlineLevel="1" x14ac:dyDescent="0.3">
      <c r="A167" s="44"/>
      <c r="B167" s="11" t="str">
        <f>CONCATENATE("          ", "9087", " - ", "")</f>
        <v xml:space="preserve">          9087 - </v>
      </c>
      <c r="C167" s="11"/>
      <c r="D167" s="2">
        <f>--74.01</f>
        <v>74.010000000000005</v>
      </c>
      <c r="E167" s="2"/>
      <c r="F167" s="19">
        <f t="shared" si="126"/>
        <v>4.0972932481384961E-5</v>
      </c>
      <c r="G167" s="2"/>
      <c r="H167" s="2"/>
      <c r="I167" s="2"/>
      <c r="J167" s="19">
        <f t="shared" si="127"/>
        <v>0</v>
      </c>
      <c r="K167" s="2"/>
      <c r="L167" s="2">
        <f t="shared" si="128"/>
        <v>74.010000000000005</v>
      </c>
      <c r="M167" s="2"/>
      <c r="N167" s="19">
        <f t="shared" si="129"/>
        <v>0</v>
      </c>
      <c r="O167" s="11"/>
      <c r="P167" s="2">
        <f>-392.38</f>
        <v>-392.38</v>
      </c>
      <c r="Q167" s="2"/>
      <c r="R167" s="19">
        <f t="shared" si="130"/>
        <v>-4.05451389094511E-5</v>
      </c>
      <c r="S167" s="2"/>
      <c r="T167" s="2"/>
      <c r="U167" s="2"/>
      <c r="V167" s="19">
        <f t="shared" si="131"/>
        <v>0</v>
      </c>
      <c r="W167" s="2"/>
      <c r="X167" s="2">
        <f t="shared" si="132"/>
        <v>-392.38</v>
      </c>
      <c r="Y167" s="2"/>
      <c r="Z167" s="19">
        <f t="shared" si="133"/>
        <v>0</v>
      </c>
    </row>
    <row r="168" spans="1:26" s="24" customFormat="1" hidden="1" outlineLevel="1" x14ac:dyDescent="0.3">
      <c r="A168" s="44"/>
      <c r="B168" s="11" t="str">
        <f>CONCATENATE("          ", "9150", " - ", "MISC. INCOME")</f>
        <v xml:space="preserve">          9150 - MISC. INCOME</v>
      </c>
      <c r="C168" s="11"/>
      <c r="D168" s="2">
        <f>--61068.05</f>
        <v>61068.05</v>
      </c>
      <c r="E168" s="2"/>
      <c r="F168" s="19">
        <f t="shared" si="126"/>
        <v>3.3808094709091213E-2</v>
      </c>
      <c r="G168" s="2"/>
      <c r="H168" s="2">
        <v>12076</v>
      </c>
      <c r="I168" s="2"/>
      <c r="J168" s="19">
        <f t="shared" si="127"/>
        <v>9.0515781047152757E-3</v>
      </c>
      <c r="K168" s="2"/>
      <c r="L168" s="2">
        <f t="shared" si="128"/>
        <v>48992.05</v>
      </c>
      <c r="M168" s="2"/>
      <c r="N168" s="19">
        <f t="shared" si="129"/>
        <v>4.0569766478966551</v>
      </c>
      <c r="O168" s="11"/>
      <c r="P168" s="2">
        <f>--249977.29</f>
        <v>249977.29</v>
      </c>
      <c r="Q168" s="2"/>
      <c r="R168" s="19">
        <f t="shared" si="130"/>
        <v>2.5830480522091189E-2</v>
      </c>
      <c r="S168" s="2"/>
      <c r="T168" s="2">
        <v>112037</v>
      </c>
      <c r="U168" s="2"/>
      <c r="V168" s="19">
        <f t="shared" si="131"/>
        <v>1.1018161866875129E-2</v>
      </c>
      <c r="W168" s="2"/>
      <c r="X168" s="2">
        <f t="shared" si="132"/>
        <v>137940.29</v>
      </c>
      <c r="Y168" s="2"/>
      <c r="Z168" s="19">
        <f t="shared" si="133"/>
        <v>1.2312029954390069</v>
      </c>
    </row>
    <row r="169" spans="1:26" s="24" customFormat="1" hidden="1" outlineLevel="1" x14ac:dyDescent="0.3">
      <c r="A169" s="44"/>
      <c r="B169" s="11" t="str">
        <f>CONCATENATE("          ", "9151", " - ", "MISC. INCOME")</f>
        <v xml:space="preserve">          9151 - MISC. INCOME</v>
      </c>
      <c r="C169" s="11"/>
      <c r="D169" s="2">
        <f t="shared" ref="D169:D173" si="134">0</f>
        <v>0</v>
      </c>
      <c r="E169" s="2"/>
      <c r="F169" s="19">
        <f t="shared" si="126"/>
        <v>0</v>
      </c>
      <c r="G169" s="2"/>
      <c r="H169" s="2">
        <v>43000</v>
      </c>
      <c r="I169" s="2"/>
      <c r="J169" s="19">
        <f t="shared" si="127"/>
        <v>3.2230693814405173E-2</v>
      </c>
      <c r="K169" s="2"/>
      <c r="L169" s="2">
        <f t="shared" si="128"/>
        <v>-43000</v>
      </c>
      <c r="M169" s="2"/>
      <c r="N169" s="19">
        <f t="shared" si="129"/>
        <v>-1</v>
      </c>
      <c r="O169" s="11"/>
      <c r="P169" s="2">
        <f>--168463.36</f>
        <v>168463.35999999999</v>
      </c>
      <c r="Q169" s="2"/>
      <c r="R169" s="19">
        <f t="shared" si="130"/>
        <v>1.7407539457548468E-2</v>
      </c>
      <c r="S169" s="2"/>
      <c r="T169" s="2">
        <v>247980.5</v>
      </c>
      <c r="U169" s="2"/>
      <c r="V169" s="19">
        <f t="shared" si="131"/>
        <v>2.4387383532481485E-2</v>
      </c>
      <c r="W169" s="2"/>
      <c r="X169" s="2">
        <f t="shared" si="132"/>
        <v>-79517.140000000014</v>
      </c>
      <c r="Y169" s="2"/>
      <c r="Z169" s="19">
        <f t="shared" si="133"/>
        <v>-0.32065884212669954</v>
      </c>
    </row>
    <row r="170" spans="1:26" s="24" customFormat="1" hidden="1" outlineLevel="1" x14ac:dyDescent="0.3">
      <c r="A170" s="44"/>
      <c r="B170" s="11" t="str">
        <f>CONCATENATE("          ", "9152", " - ", "MISC. INCOME")</f>
        <v xml:space="preserve">          9152 - MISC. INCOME</v>
      </c>
      <c r="C170" s="11"/>
      <c r="D170" s="2">
        <f t="shared" si="134"/>
        <v>0</v>
      </c>
      <c r="E170" s="2"/>
      <c r="F170" s="19">
        <f t="shared" si="126"/>
        <v>0</v>
      </c>
      <c r="G170" s="2"/>
      <c r="H170" s="2"/>
      <c r="I170" s="2"/>
      <c r="J170" s="19">
        <f t="shared" si="127"/>
        <v>0</v>
      </c>
      <c r="K170" s="2"/>
      <c r="L170" s="2">
        <f t="shared" si="128"/>
        <v>0</v>
      </c>
      <c r="M170" s="2"/>
      <c r="N170" s="19">
        <f t="shared" si="129"/>
        <v>0</v>
      </c>
      <c r="O170" s="11"/>
      <c r="P170" s="2">
        <f>--2195.41</f>
        <v>2195.41</v>
      </c>
      <c r="Q170" s="2"/>
      <c r="R170" s="19">
        <f t="shared" si="130"/>
        <v>2.26854588442831E-4</v>
      </c>
      <c r="S170" s="2"/>
      <c r="T170" s="2"/>
      <c r="U170" s="2"/>
      <c r="V170" s="19">
        <f t="shared" si="131"/>
        <v>0</v>
      </c>
      <c r="W170" s="2"/>
      <c r="X170" s="2">
        <f t="shared" si="132"/>
        <v>2195.41</v>
      </c>
      <c r="Y170" s="2"/>
      <c r="Z170" s="19">
        <f t="shared" si="133"/>
        <v>0</v>
      </c>
    </row>
    <row r="171" spans="1:26" s="24" customFormat="1" hidden="1" outlineLevel="1" x14ac:dyDescent="0.3">
      <c r="A171" s="44"/>
      <c r="B171" s="11" t="str">
        <f>CONCATENATE("          ", "9160", " - ", "MISC. INCOME")</f>
        <v xml:space="preserve">          9160 - MISC. INCOME</v>
      </c>
      <c r="C171" s="11"/>
      <c r="D171" s="2">
        <f t="shared" si="134"/>
        <v>0</v>
      </c>
      <c r="E171" s="2"/>
      <c r="F171" s="19">
        <f t="shared" si="126"/>
        <v>0</v>
      </c>
      <c r="G171" s="2"/>
      <c r="H171" s="2">
        <v>0</v>
      </c>
      <c r="I171" s="2"/>
      <c r="J171" s="19">
        <f t="shared" si="127"/>
        <v>0</v>
      </c>
      <c r="K171" s="2"/>
      <c r="L171" s="2">
        <f t="shared" si="128"/>
        <v>0</v>
      </c>
      <c r="M171" s="2"/>
      <c r="N171" s="19">
        <f t="shared" si="129"/>
        <v>0</v>
      </c>
      <c r="O171" s="11"/>
      <c r="P171" s="2">
        <f>0</f>
        <v>0</v>
      </c>
      <c r="Q171" s="2"/>
      <c r="R171" s="19">
        <f t="shared" si="130"/>
        <v>0</v>
      </c>
      <c r="S171" s="2"/>
      <c r="T171" s="2">
        <v>0</v>
      </c>
      <c r="U171" s="2"/>
      <c r="V171" s="19">
        <f t="shared" si="131"/>
        <v>0</v>
      </c>
      <c r="W171" s="2"/>
      <c r="X171" s="2">
        <f t="shared" si="132"/>
        <v>0</v>
      </c>
      <c r="Y171" s="2"/>
      <c r="Z171" s="19">
        <f t="shared" si="133"/>
        <v>0</v>
      </c>
    </row>
    <row r="172" spans="1:26" s="24" customFormat="1" hidden="1" outlineLevel="1" x14ac:dyDescent="0.3">
      <c r="A172" s="44"/>
      <c r="B172" s="11" t="str">
        <f>CONCATENATE("          ", "9163", " - ", "MISC. INCOME")</f>
        <v xml:space="preserve">          9163 - MISC. INCOME</v>
      </c>
      <c r="C172" s="11"/>
      <c r="D172" s="2">
        <f t="shared" si="134"/>
        <v>0</v>
      </c>
      <c r="E172" s="2"/>
      <c r="F172" s="19">
        <f t="shared" si="126"/>
        <v>0</v>
      </c>
      <c r="G172" s="2"/>
      <c r="H172" s="2"/>
      <c r="I172" s="2"/>
      <c r="J172" s="19">
        <f t="shared" si="127"/>
        <v>0</v>
      </c>
      <c r="K172" s="2"/>
      <c r="L172" s="2">
        <f t="shared" si="128"/>
        <v>0</v>
      </c>
      <c r="M172" s="2"/>
      <c r="N172" s="19">
        <f t="shared" si="129"/>
        <v>0</v>
      </c>
      <c r="O172" s="11"/>
      <c r="P172" s="2">
        <f>--72748.2</f>
        <v>72748.2</v>
      </c>
      <c r="Q172" s="2"/>
      <c r="R172" s="19">
        <f t="shared" si="130"/>
        <v>7.5171667118928854E-3</v>
      </c>
      <c r="S172" s="2"/>
      <c r="T172" s="2"/>
      <c r="U172" s="2"/>
      <c r="V172" s="19">
        <f t="shared" si="131"/>
        <v>0</v>
      </c>
      <c r="W172" s="2"/>
      <c r="X172" s="2">
        <f t="shared" si="132"/>
        <v>72748.2</v>
      </c>
      <c r="Y172" s="2"/>
      <c r="Z172" s="19">
        <f t="shared" si="133"/>
        <v>0</v>
      </c>
    </row>
    <row r="173" spans="1:26" s="24" customFormat="1" hidden="1" outlineLevel="1" x14ac:dyDescent="0.3">
      <c r="A173" s="44"/>
      <c r="B173" s="11" t="str">
        <f>CONCATENATE("          ", "9165", " - ", "OTHER INCOME")</f>
        <v xml:space="preserve">          9165 - OTHER INCOME</v>
      </c>
      <c r="C173" s="11"/>
      <c r="D173" s="2">
        <f t="shared" si="134"/>
        <v>0</v>
      </c>
      <c r="E173" s="2"/>
      <c r="F173" s="19">
        <f t="shared" si="126"/>
        <v>0</v>
      </c>
      <c r="G173" s="2"/>
      <c r="H173" s="2"/>
      <c r="I173" s="2"/>
      <c r="J173" s="19">
        <f t="shared" si="127"/>
        <v>0</v>
      </c>
      <c r="K173" s="2"/>
      <c r="L173" s="2">
        <f t="shared" si="128"/>
        <v>0</v>
      </c>
      <c r="M173" s="2"/>
      <c r="N173" s="19">
        <f t="shared" si="129"/>
        <v>0</v>
      </c>
      <c r="O173" s="11"/>
      <c r="P173" s="2">
        <f>0</f>
        <v>0</v>
      </c>
      <c r="Q173" s="2"/>
      <c r="R173" s="19">
        <f t="shared" si="130"/>
        <v>0</v>
      </c>
      <c r="S173" s="2"/>
      <c r="T173" s="2"/>
      <c r="U173" s="2"/>
      <c r="V173" s="19">
        <f t="shared" si="131"/>
        <v>0</v>
      </c>
      <c r="W173" s="2"/>
      <c r="X173" s="2">
        <f t="shared" si="132"/>
        <v>0</v>
      </c>
      <c r="Y173" s="2"/>
      <c r="Z173" s="19">
        <f t="shared" si="133"/>
        <v>0</v>
      </c>
    </row>
    <row r="174" spans="1:26" x14ac:dyDescent="0.3">
      <c r="A174" s="9"/>
      <c r="B174" s="10"/>
      <c r="C174" s="10"/>
      <c r="D174" s="3"/>
      <c r="E174" s="3"/>
      <c r="F174" s="8"/>
      <c r="G174" s="3"/>
      <c r="H174" s="3"/>
      <c r="I174" s="3"/>
      <c r="J174" s="8"/>
      <c r="K174" s="3"/>
      <c r="L174" s="3"/>
      <c r="M174" s="3"/>
      <c r="N174" s="8"/>
      <c r="O174" s="10"/>
      <c r="P174" s="3"/>
      <c r="Q174" s="3"/>
      <c r="R174" s="8"/>
      <c r="S174" s="3"/>
      <c r="T174" s="3"/>
      <c r="U174" s="3"/>
      <c r="V174" s="8"/>
      <c r="W174" s="3"/>
      <c r="X174" s="3"/>
      <c r="Y174" s="3"/>
      <c r="Z174" s="8"/>
    </row>
    <row r="175" spans="1:26" s="23" customFormat="1" x14ac:dyDescent="0.3">
      <c r="A175" s="10"/>
      <c r="B175" s="26" t="s">
        <v>277</v>
      </c>
      <c r="C175" s="26"/>
      <c r="D175" s="20">
        <f>+D62-D64+D165</f>
        <v>346656.13000000041</v>
      </c>
      <c r="E175" s="13"/>
      <c r="F175" s="22">
        <f>IF(D$12=0,0,D175/D$12)</f>
        <v>0.19191350099646295</v>
      </c>
      <c r="G175" s="13"/>
      <c r="H175" s="20">
        <f>+H62-H64+H165</f>
        <v>-139997.33729799464</v>
      </c>
      <c r="I175" s="13"/>
      <c r="J175" s="22">
        <f>IF(H$12=0,0,H175/H$12)</f>
        <v>-0.10493514682055047</v>
      </c>
      <c r="K175" s="15"/>
      <c r="L175" s="20">
        <f>+D175-H175</f>
        <v>486653.46729799506</v>
      </c>
      <c r="M175" s="15"/>
      <c r="N175" s="22">
        <f>IF(H175=0,0,L175/H175)</f>
        <v>-3.4761623091596188</v>
      </c>
      <c r="O175" s="25"/>
      <c r="P175" s="20">
        <f>+P62-P64+P165</f>
        <v>866368.17999999889</v>
      </c>
      <c r="Q175" s="13"/>
      <c r="R175" s="22">
        <f>IF(P$12=0,0,P175/P$12)</f>
        <v>8.9522957859290195E-2</v>
      </c>
      <c r="S175" s="13"/>
      <c r="T175" s="20">
        <f>+T62-T64+T165</f>
        <v>-246323.38264402188</v>
      </c>
      <c r="U175" s="13"/>
      <c r="V175" s="22">
        <f>IF(T$12=0,0,T175/T$12)</f>
        <v>-2.4224416055125118E-2</v>
      </c>
      <c r="W175" s="15"/>
      <c r="X175" s="20">
        <f>+P175-T175</f>
        <v>1112691.5626440207</v>
      </c>
      <c r="Y175" s="15"/>
      <c r="Z175" s="22">
        <f>IF(T175=0,0,X175/T175)</f>
        <v>-4.5171982890964291</v>
      </c>
    </row>
    <row r="176" spans="1:26" x14ac:dyDescent="0.3">
      <c r="A176" s="9"/>
      <c r="B176" s="10"/>
      <c r="C176" s="9"/>
      <c r="D176" s="3"/>
      <c r="E176" s="3"/>
      <c r="F176" s="8"/>
      <c r="G176" s="3"/>
      <c r="H176" s="3"/>
      <c r="I176" s="3"/>
      <c r="J176" s="8"/>
      <c r="K176" s="3"/>
      <c r="L176" s="3"/>
      <c r="M176" s="3"/>
      <c r="N176" s="8"/>
      <c r="P176" s="3"/>
      <c r="Q176" s="3"/>
      <c r="R176" s="8"/>
      <c r="S176" s="3"/>
      <c r="T176" s="3"/>
      <c r="U176" s="3"/>
      <c r="V176" s="8"/>
      <c r="W176" s="3"/>
      <c r="X176" s="3"/>
      <c r="Y176" s="3"/>
      <c r="Z176" s="8"/>
    </row>
    <row r="177" spans="1:26" s="23" customFormat="1" x14ac:dyDescent="0.3">
      <c r="A177" s="52"/>
      <c r="B177" s="10" t="s">
        <v>128</v>
      </c>
      <c r="C177" s="10"/>
      <c r="D177" s="4">
        <v>242860.23</v>
      </c>
      <c r="E177" s="4"/>
      <c r="F177" s="12">
        <f>IF(D$12=0,0,D177/D$12)</f>
        <v>0.13445069323339578</v>
      </c>
      <c r="G177" s="4"/>
      <c r="H177" s="4">
        <v>255320</v>
      </c>
      <c r="I177" s="4"/>
      <c r="J177" s="12">
        <f>IF(H$12=0,0,H177/H$12)</f>
        <v>0.19137536615567274</v>
      </c>
      <c r="K177" s="4"/>
      <c r="L177" s="4">
        <f>+D177-H177</f>
        <v>-12459.76999999999</v>
      </c>
      <c r="M177" s="4"/>
      <c r="N177" s="12">
        <f>IF(H177=0,0,L177/H177)</f>
        <v>-4.8800603164656078E-2</v>
      </c>
      <c r="O177" s="10"/>
      <c r="P177" s="4">
        <v>1152716.8500000001</v>
      </c>
      <c r="Q177" s="4"/>
      <c r="R177" s="12">
        <f>IF(P$12=0,0,P177/P$12)</f>
        <v>0.11911174067616828</v>
      </c>
      <c r="S177" s="4"/>
      <c r="T177" s="4">
        <v>1271176</v>
      </c>
      <c r="U177" s="4"/>
      <c r="V177" s="12">
        <f>IF(T$12=0,0,T177/T$12)</f>
        <v>0.12501247738949509</v>
      </c>
      <c r="W177" s="4"/>
      <c r="X177" s="4">
        <f>+P177-T177</f>
        <v>-118459.14999999991</v>
      </c>
      <c r="Y177" s="4"/>
      <c r="Z177" s="12">
        <f>IF(T177=0,0,X177/T177)</f>
        <v>-9.3188630055948116E-2</v>
      </c>
    </row>
    <row r="178" spans="1:26" x14ac:dyDescent="0.3">
      <c r="A178" s="9"/>
      <c r="B178" s="10"/>
      <c r="C178" s="10"/>
      <c r="D178" s="3"/>
      <c r="E178" s="3"/>
      <c r="F178" s="8"/>
      <c r="G178" s="3"/>
      <c r="H178" s="3"/>
      <c r="I178" s="3"/>
      <c r="J178" s="8"/>
      <c r="K178" s="3"/>
      <c r="L178" s="3"/>
      <c r="M178" s="3"/>
      <c r="N178" s="8"/>
      <c r="O178" s="10"/>
      <c r="P178" s="3"/>
      <c r="Q178" s="3"/>
      <c r="R178" s="8"/>
      <c r="S178" s="3"/>
      <c r="T178" s="3"/>
      <c r="U178" s="3"/>
      <c r="V178" s="8"/>
      <c r="W178" s="3"/>
      <c r="X178" s="3"/>
      <c r="Y178" s="3"/>
      <c r="Z178" s="8"/>
    </row>
    <row r="179" spans="1:26" s="23" customFormat="1" ht="15" thickBot="1" x14ac:dyDescent="0.35">
      <c r="A179" s="10"/>
      <c r="B179" s="26" t="s">
        <v>126</v>
      </c>
      <c r="C179" s="26"/>
      <c r="D179" s="33">
        <f>+D175-D177</f>
        <v>103795.9000000004</v>
      </c>
      <c r="E179" s="13"/>
      <c r="F179" s="34">
        <f>IF(D$12=0,0,D179/D$12)</f>
        <v>5.746280776306717E-2</v>
      </c>
      <c r="G179" s="13"/>
      <c r="H179" s="33">
        <f>+H175-H177</f>
        <v>-395317.33729799464</v>
      </c>
      <c r="I179" s="13"/>
      <c r="J179" s="34">
        <f>IF(H$12=0,0,H179/H$12)</f>
        <v>-0.29631051297622324</v>
      </c>
      <c r="K179" s="15"/>
      <c r="L179" s="33">
        <f>D179-H179</f>
        <v>499113.23729799502</v>
      </c>
      <c r="M179" s="15"/>
      <c r="N179" s="34">
        <f>IF(H179=0,0,L179/H179)</f>
        <v>-1.2625634906615741</v>
      </c>
      <c r="O179" s="25"/>
      <c r="P179" s="33">
        <f>+P175-P177</f>
        <v>-286348.67000000121</v>
      </c>
      <c r="Q179" s="13"/>
      <c r="R179" s="34">
        <f>IF(P$12=0,0,P179/P$12)</f>
        <v>-2.958878281687808E-2</v>
      </c>
      <c r="S179" s="13"/>
      <c r="T179" s="33">
        <f>+T175-T177</f>
        <v>-1517499.3826440219</v>
      </c>
      <c r="U179" s="13"/>
      <c r="V179" s="34">
        <f>IF(T$12=0,0,T179/T$12)</f>
        <v>-0.14923689344462018</v>
      </c>
      <c r="W179" s="15"/>
      <c r="X179" s="33">
        <f>P179-T179</f>
        <v>1231150.7126440206</v>
      </c>
      <c r="Y179" s="15"/>
      <c r="Z179" s="34">
        <f>IF(T179=0,0,X179/T179)</f>
        <v>-0.81130228237649726</v>
      </c>
    </row>
    <row r="180" spans="1:26" ht="15" thickTop="1" x14ac:dyDescent="0.3">
      <c r="A180" s="9"/>
      <c r="B180" s="9"/>
      <c r="C180" s="9"/>
      <c r="D180" s="3"/>
      <c r="E180" s="3"/>
      <c r="F180" s="8"/>
      <c r="G180" s="3"/>
      <c r="H180" s="3"/>
      <c r="I180" s="3"/>
      <c r="J180" s="8"/>
      <c r="K180" s="3"/>
      <c r="L180" s="3"/>
      <c r="M180" s="3"/>
      <c r="N180" s="8"/>
      <c r="P180" s="3"/>
      <c r="Q180" s="3"/>
      <c r="R180" s="8"/>
      <c r="S180" s="3"/>
      <c r="T180" s="3"/>
      <c r="U180" s="3"/>
      <c r="V180" s="8"/>
      <c r="W180" s="3"/>
      <c r="X180" s="3"/>
      <c r="Y180" s="3"/>
      <c r="Z180" s="8"/>
    </row>
    <row r="181" spans="1:26" s="23" customFormat="1" x14ac:dyDescent="0.3">
      <c r="A181" s="52"/>
      <c r="B181" s="10" t="s">
        <v>184</v>
      </c>
      <c r="C181" s="10"/>
      <c r="D181" s="4">
        <f>-342698.96</f>
        <v>-342698.96</v>
      </c>
      <c r="E181" s="4"/>
      <c r="F181" s="12">
        <f t="shared" ref="F181:F182" si="135">IF(D$12=0,0,D181/D$12)</f>
        <v>-0.18972275840455133</v>
      </c>
      <c r="G181" s="4"/>
      <c r="H181" s="4">
        <f t="shared" ref="H181:H182" si="136">--15000</f>
        <v>15000</v>
      </c>
      <c r="I181" s="4"/>
      <c r="J181" s="12">
        <f t="shared" ref="J181:J182" si="137">IF(H$12=0,0,H181/H$12)</f>
        <v>1.1243265284094826E-2</v>
      </c>
      <c r="K181" s="4"/>
      <c r="L181" s="4">
        <f t="shared" ref="L181:L182" si="138">+D181-H181</f>
        <v>-357698.96</v>
      </c>
      <c r="M181" s="4"/>
      <c r="N181" s="12">
        <f t="shared" ref="N181:N182" si="139">IF(H181=0,0,L181/H181)</f>
        <v>-23.846597333333335</v>
      </c>
      <c r="O181" s="10"/>
      <c r="P181" s="4">
        <f>-224717.18</f>
        <v>-224717.18</v>
      </c>
      <c r="Q181" s="4"/>
      <c r="R181" s="12">
        <f t="shared" ref="R181:R182" si="140">IF(P$12=0,0,P181/P$12)</f>
        <v>-2.3220320297772889E-2</v>
      </c>
      <c r="S181" s="4"/>
      <c r="T181" s="4">
        <f>--75000</f>
        <v>75000</v>
      </c>
      <c r="U181" s="4"/>
      <c r="V181" s="12">
        <f t="shared" ref="V181:V182" si="141">IF(T$12=0,0,T181/T$12)</f>
        <v>7.3757967458574821E-3</v>
      </c>
      <c r="W181" s="4"/>
      <c r="X181" s="4">
        <f t="shared" ref="X181:X182" si="142">+P181-T181</f>
        <v>-299717.18</v>
      </c>
      <c r="Y181" s="4"/>
      <c r="Z181" s="12">
        <f t="shared" ref="Z181:Z182" si="143">IF(T181=0,0,X181/T181)</f>
        <v>-3.9962290666666664</v>
      </c>
    </row>
    <row r="182" spans="1:26" s="23" customFormat="1" x14ac:dyDescent="0.3">
      <c r="A182" s="52"/>
      <c r="B182" s="10" t="s">
        <v>82</v>
      </c>
      <c r="C182" s="10"/>
      <c r="D182" s="4">
        <f>--9933.84</f>
        <v>9933.84</v>
      </c>
      <c r="E182" s="4"/>
      <c r="F182" s="12">
        <f t="shared" si="135"/>
        <v>5.4995075746639794E-3</v>
      </c>
      <c r="G182" s="4"/>
      <c r="H182" s="4">
        <f t="shared" si="136"/>
        <v>15000</v>
      </c>
      <c r="I182" s="4"/>
      <c r="J182" s="12">
        <f t="shared" si="137"/>
        <v>1.1243265284094826E-2</v>
      </c>
      <c r="K182" s="4"/>
      <c r="L182" s="4">
        <f t="shared" si="138"/>
        <v>-5066.16</v>
      </c>
      <c r="M182" s="4"/>
      <c r="N182" s="12">
        <f t="shared" si="139"/>
        <v>-0.33774399999999999</v>
      </c>
      <c r="O182" s="10"/>
      <c r="P182" s="4">
        <f>--57789.87</f>
        <v>57789.87</v>
      </c>
      <c r="Q182" s="4"/>
      <c r="R182" s="12">
        <f t="shared" si="140"/>
        <v>5.9715028969598884E-3</v>
      </c>
      <c r="S182" s="4"/>
      <c r="T182" s="4">
        <f>--80000</f>
        <v>80000</v>
      </c>
      <c r="U182" s="4"/>
      <c r="V182" s="12">
        <f t="shared" si="141"/>
        <v>7.8675165289146479E-3</v>
      </c>
      <c r="W182" s="4"/>
      <c r="X182" s="4">
        <f t="shared" si="142"/>
        <v>-22210.129999999997</v>
      </c>
      <c r="Y182" s="4"/>
      <c r="Z182" s="12">
        <f t="shared" si="143"/>
        <v>-0.27762662499999996</v>
      </c>
    </row>
    <row r="183" spans="1:26" x14ac:dyDescent="0.3">
      <c r="A183" s="9"/>
      <c r="B183" s="9"/>
      <c r="C183" s="9"/>
      <c r="D183" s="3"/>
      <c r="E183" s="3"/>
      <c r="F183" s="8"/>
      <c r="G183" s="3"/>
      <c r="H183" s="3"/>
      <c r="I183" s="3"/>
      <c r="J183" s="8"/>
      <c r="K183" s="3"/>
      <c r="L183" s="3"/>
      <c r="M183" s="3"/>
      <c r="N183" s="8"/>
      <c r="P183" s="3"/>
      <c r="Q183" s="3"/>
      <c r="R183" s="8"/>
      <c r="S183" s="3"/>
      <c r="T183" s="3"/>
      <c r="U183" s="3"/>
      <c r="V183" s="8"/>
      <c r="W183" s="3"/>
      <c r="X183" s="3"/>
      <c r="Y183" s="3"/>
      <c r="Z183" s="8"/>
    </row>
    <row r="184" spans="1:26" s="23" customFormat="1" ht="15" thickBot="1" x14ac:dyDescent="0.35">
      <c r="A184" s="10"/>
      <c r="B184" s="26" t="s">
        <v>294</v>
      </c>
      <c r="C184" s="26"/>
      <c r="D184" s="35">
        <f>SUM(D179:D183)</f>
        <v>-228969.21999999962</v>
      </c>
      <c r="E184" s="13"/>
      <c r="F184" s="32">
        <f>IF(D$12=0,0,D184/D$12)</f>
        <v>-0.12676044306682019</v>
      </c>
      <c r="G184" s="13"/>
      <c r="H184" s="35">
        <f>SUM(H179:H183)</f>
        <v>-365317.33729799464</v>
      </c>
      <c r="I184" s="13"/>
      <c r="J184" s="32">
        <f>IF(H$12=0,0,H184/H$12)</f>
        <v>-0.27382398240803357</v>
      </c>
      <c r="K184" s="15"/>
      <c r="L184" s="35">
        <f>+D184-H184</f>
        <v>136348.11729799502</v>
      </c>
      <c r="M184" s="15"/>
      <c r="N184" s="32">
        <f>IF(H184=0,0,L184/H184)</f>
        <v>-0.37323199141455993</v>
      </c>
      <c r="O184" s="25"/>
      <c r="P184" s="35">
        <f>SUM(P179:P183)</f>
        <v>-453275.9800000012</v>
      </c>
      <c r="Q184" s="13"/>
      <c r="R184" s="32">
        <f>IF(P$12=0,0,P184/P$12)</f>
        <v>-4.6837600217691081E-2</v>
      </c>
      <c r="S184" s="13"/>
      <c r="T184" s="35">
        <f>SUM(T179:T183)</f>
        <v>-1362499.3826440219</v>
      </c>
      <c r="U184" s="13"/>
      <c r="V184" s="32">
        <f>IF(T$12=0,0,T184/T$12)</f>
        <v>-0.13399358016984805</v>
      </c>
      <c r="W184" s="15"/>
      <c r="X184" s="35">
        <f>+P184-T184</f>
        <v>909223.40264402074</v>
      </c>
      <c r="Y184" s="15"/>
      <c r="Z184" s="32">
        <f>IF(T184=0,0,X184/T184)</f>
        <v>-0.66732023091240711</v>
      </c>
    </row>
    <row r="185" spans="1:26" ht="15" thickTop="1" x14ac:dyDescent="0.3">
      <c r="A185" s="9"/>
      <c r="C185" s="9"/>
      <c r="D185" s="17"/>
      <c r="E185" s="17"/>
      <c r="G185" s="17"/>
      <c r="H185" s="17"/>
      <c r="I185" s="17"/>
      <c r="J185" s="42"/>
      <c r="K185" s="17"/>
      <c r="L185" s="17"/>
      <c r="M185" s="17"/>
      <c r="P185" s="17"/>
      <c r="Q185" s="17"/>
      <c r="R185" s="42"/>
      <c r="S185" s="17"/>
      <c r="T185" s="17"/>
      <c r="U185" s="17"/>
      <c r="V185" s="42"/>
      <c r="W185" s="17"/>
      <c r="X185" s="17"/>
    </row>
    <row r="186" spans="1:26" x14ac:dyDescent="0.3">
      <c r="A186" s="9"/>
      <c r="B186" s="60">
        <v>44543.753067708334</v>
      </c>
      <c r="D186" s="17"/>
      <c r="E186" s="17"/>
      <c r="G186" s="17"/>
      <c r="H186" s="17"/>
      <c r="I186" s="17"/>
      <c r="J186" s="42"/>
      <c r="K186" s="17"/>
      <c r="L186" s="17"/>
      <c r="M186" s="17"/>
      <c r="P186" s="17"/>
      <c r="Q186" s="17"/>
      <c r="R186" s="42"/>
      <c r="S186" s="17"/>
      <c r="T186" s="17"/>
      <c r="U186" s="17"/>
      <c r="V186" s="42"/>
      <c r="W186" s="17"/>
      <c r="X186" s="17"/>
    </row>
    <row r="187" spans="1:26" x14ac:dyDescent="0.3">
      <c r="A187" s="9"/>
      <c r="B187" s="58" t="s">
        <v>56</v>
      </c>
      <c r="D187" s="17"/>
      <c r="E187" s="17"/>
      <c r="G187" s="17"/>
      <c r="H187" s="17"/>
      <c r="I187" s="17"/>
      <c r="J187" s="42"/>
      <c r="K187" s="17"/>
      <c r="L187" s="17"/>
      <c r="M187" s="17"/>
      <c r="P187" s="17"/>
      <c r="Q187" s="17"/>
      <c r="R187" s="42"/>
      <c r="S187" s="17"/>
      <c r="T187" s="17"/>
      <c r="U187" s="17"/>
      <c r="V187" s="42"/>
      <c r="W187" s="17"/>
      <c r="X187" s="17"/>
    </row>
    <row r="188" spans="1:26" x14ac:dyDescent="0.3">
      <c r="A188" s="9"/>
      <c r="B188" s="55"/>
      <c r="D188" s="17"/>
      <c r="E188" s="17"/>
      <c r="G188" s="17"/>
      <c r="H188" s="17"/>
      <c r="I188" s="17"/>
      <c r="J188" s="42"/>
      <c r="K188" s="17"/>
      <c r="L188" s="17"/>
      <c r="M188" s="17"/>
      <c r="P188" s="17"/>
      <c r="Q188" s="17"/>
      <c r="R188" s="42"/>
      <c r="S188" s="17"/>
      <c r="T188" s="17"/>
      <c r="U188" s="17"/>
      <c r="V188" s="42"/>
      <c r="W188" s="17"/>
      <c r="X188" s="17"/>
    </row>
    <row r="189" spans="1:26" x14ac:dyDescent="0.3">
      <c r="D189" s="17"/>
      <c r="E189" s="17"/>
      <c r="G189" s="17"/>
      <c r="H189" s="17"/>
      <c r="I189" s="17"/>
      <c r="J189" s="42"/>
      <c r="K189" s="17"/>
      <c r="L189" s="17"/>
      <c r="M189" s="17"/>
      <c r="P189" s="17"/>
      <c r="Q189" s="17"/>
      <c r="R189" s="42"/>
      <c r="S189" s="17"/>
      <c r="T189" s="17"/>
      <c r="U189" s="17"/>
      <c r="V189" s="42"/>
      <c r="W189" s="17"/>
      <c r="X189" s="17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55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106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106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183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183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105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105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219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219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92D05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","100", " - ", "Corporate")</f>
        <v>Department 100 - Corporate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5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1">
        <f>SUM(0)</f>
        <v>0</v>
      </c>
      <c r="E18" s="21"/>
      <c r="F18" s="30">
        <f>IF(D$12=0,0,D18/D$12)</f>
        <v>0</v>
      </c>
      <c r="G18" s="21"/>
      <c r="H18" s="21">
        <f>SUM(0)</f>
        <v>0</v>
      </c>
      <c r="I18" s="21"/>
      <c r="J18" s="30">
        <f>IF(H$12=0,0,H18/H$12)</f>
        <v>0</v>
      </c>
      <c r="K18" s="4"/>
      <c r="L18" s="21">
        <f>+D18-H18</f>
        <v>0</v>
      </c>
      <c r="M18" s="4"/>
      <c r="N18" s="30">
        <f>IF(H18=0,0,L18/H18)</f>
        <v>0</v>
      </c>
      <c r="O18" s="10"/>
      <c r="P18" s="21">
        <f>SUM(0)</f>
        <v>0</v>
      </c>
      <c r="Q18" s="21"/>
      <c r="R18" s="30">
        <f>IF(P$12=0,0,P18/P$12)</f>
        <v>0</v>
      </c>
      <c r="S18" s="21"/>
      <c r="T18" s="21">
        <f>SUM(0)</f>
        <v>0</v>
      </c>
      <c r="U18" s="21"/>
      <c r="V18" s="30">
        <f>IF(T$12=0,0,T18/T$12)</f>
        <v>0</v>
      </c>
      <c r="W18" s="4"/>
      <c r="X18" s="21">
        <f>+P18-T18</f>
        <v>0</v>
      </c>
      <c r="Y18" s="4"/>
      <c r="Z18" s="30">
        <f>IF(T18=0,0,X18/T18)</f>
        <v>0</v>
      </c>
    </row>
    <row r="19" spans="1:26" s="63" customFormat="1" x14ac:dyDescent="0.3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293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3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3">
      <c r="A22" s="10"/>
      <c r="B22" s="26" t="s">
        <v>277</v>
      </c>
      <c r="C22" s="26"/>
      <c r="D22" s="20">
        <f>+D16-D18+D20</f>
        <v>0</v>
      </c>
      <c r="E22" s="13"/>
      <c r="F22" s="22">
        <f>IF(D$12=0,0,D22/D$12)</f>
        <v>0</v>
      </c>
      <c r="G22" s="13"/>
      <c r="H22" s="20">
        <f>+H16-H18+H20</f>
        <v>0</v>
      </c>
      <c r="I22" s="13"/>
      <c r="J22" s="22">
        <f>IF(H$12=0,0,H22/H$12)</f>
        <v>0</v>
      </c>
      <c r="K22" s="15"/>
      <c r="L22" s="20">
        <f>+D22-H22</f>
        <v>0</v>
      </c>
      <c r="M22" s="15"/>
      <c r="N22" s="22">
        <f>IF(H22=0,0,L22/H22)</f>
        <v>0</v>
      </c>
      <c r="O22" s="25"/>
      <c r="P22" s="20">
        <f>+P16-P18+P20</f>
        <v>0</v>
      </c>
      <c r="Q22" s="13"/>
      <c r="R22" s="22">
        <f>IF(P$12=0,0,P22/P$12)</f>
        <v>0</v>
      </c>
      <c r="S22" s="13"/>
      <c r="T22" s="20">
        <f>+T16-T18+T20</f>
        <v>0</v>
      </c>
      <c r="U22" s="13"/>
      <c r="V22" s="22">
        <f>IF(T$12=0,0,T22/T$12)</f>
        <v>0</v>
      </c>
      <c r="W22" s="15"/>
      <c r="X22" s="20">
        <f>+P22-T22</f>
        <v>0</v>
      </c>
      <c r="Y22" s="15"/>
      <c r="Z22" s="22">
        <f>IF(T22=0,0,X22/T22)</f>
        <v>0</v>
      </c>
    </row>
    <row r="23" spans="1:26" x14ac:dyDescent="0.3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3">
      <c r="A24" s="52"/>
      <c r="B24" s="10" t="s">
        <v>128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3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" thickBot="1" x14ac:dyDescent="0.35">
      <c r="A26" s="10"/>
      <c r="B26" s="26" t="s">
        <v>126</v>
      </c>
      <c r="C26" s="26"/>
      <c r="D26" s="33">
        <f>+D22-D24</f>
        <v>0</v>
      </c>
      <c r="E26" s="13"/>
      <c r="F26" s="34">
        <f>IF(D$12=0,0,D26/D$12)</f>
        <v>0</v>
      </c>
      <c r="G26" s="13"/>
      <c r="H26" s="33">
        <f>+H22-H24</f>
        <v>0</v>
      </c>
      <c r="I26" s="13"/>
      <c r="J26" s="34">
        <f>IF(H$12=0,0,H26/H$12)</f>
        <v>0</v>
      </c>
      <c r="K26" s="15"/>
      <c r="L26" s="33">
        <f>D26-H26</f>
        <v>0</v>
      </c>
      <c r="M26" s="15"/>
      <c r="N26" s="34">
        <f>IF(H26=0,0,L26/H26)</f>
        <v>0</v>
      </c>
      <c r="O26" s="25"/>
      <c r="P26" s="33">
        <f>+P22-P24</f>
        <v>0</v>
      </c>
      <c r="Q26" s="13"/>
      <c r="R26" s="34">
        <f>IF(P$12=0,0,P26/P$12)</f>
        <v>0</v>
      </c>
      <c r="S26" s="13"/>
      <c r="T26" s="33">
        <f>+T22-T24</f>
        <v>0</v>
      </c>
      <c r="U26" s="13"/>
      <c r="V26" s="34">
        <f>IF(T$12=0,0,T26/T$12)</f>
        <v>0</v>
      </c>
      <c r="W26" s="15"/>
      <c r="X26" s="33">
        <f>P26-T26</f>
        <v>0</v>
      </c>
      <c r="Y26" s="15"/>
      <c r="Z26" s="34">
        <f>IF(T26=0,0,X26/T26)</f>
        <v>0</v>
      </c>
    </row>
    <row r="27" spans="1:26" ht="15" thickTop="1" x14ac:dyDescent="0.3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3">
      <c r="A28" s="52"/>
      <c r="B28" s="10" t="s">
        <v>184</v>
      </c>
      <c r="C28" s="10"/>
      <c r="D28" s="4">
        <f>-342698.96</f>
        <v>-342698.96</v>
      </c>
      <c r="E28" s="4"/>
      <c r="F28" s="12">
        <f t="shared" ref="F28:F29" si="0">IF(D$12=0,0,D28/D$12)</f>
        <v>0</v>
      </c>
      <c r="G28" s="4"/>
      <c r="H28" s="4">
        <f t="shared" ref="H28:H29" si="1">--15000</f>
        <v>15000</v>
      </c>
      <c r="I28" s="4"/>
      <c r="J28" s="12">
        <f t="shared" ref="J28:J29" si="2">IF(H$12=0,0,H28/H$12)</f>
        <v>0</v>
      </c>
      <c r="K28" s="4"/>
      <c r="L28" s="4">
        <f t="shared" ref="L28:L29" si="3">+D28-H28</f>
        <v>-357698.96</v>
      </c>
      <c r="M28" s="4"/>
      <c r="N28" s="12">
        <f t="shared" ref="N28:N29" si="4">IF(H28=0,0,L28/H28)</f>
        <v>-23.846597333333335</v>
      </c>
      <c r="O28" s="10"/>
      <c r="P28" s="4">
        <f>-224717.18</f>
        <v>-224717.18</v>
      </c>
      <c r="Q28" s="4"/>
      <c r="R28" s="12">
        <f t="shared" ref="R28:R29" si="5">IF(P$12=0,0,P28/P$12)</f>
        <v>0</v>
      </c>
      <c r="S28" s="4"/>
      <c r="T28" s="4">
        <f>--75000</f>
        <v>75000</v>
      </c>
      <c r="U28" s="4"/>
      <c r="V28" s="12">
        <f t="shared" ref="V28:V29" si="6">IF(T$12=0,0,T28/T$12)</f>
        <v>0</v>
      </c>
      <c r="W28" s="4"/>
      <c r="X28" s="4">
        <f t="shared" ref="X28:X29" si="7">+P28-T28</f>
        <v>-299717.18</v>
      </c>
      <c r="Y28" s="4"/>
      <c r="Z28" s="12">
        <f t="shared" ref="Z28:Z29" si="8">IF(T28=0,0,X28/T28)</f>
        <v>-3.9962290666666664</v>
      </c>
    </row>
    <row r="29" spans="1:26" s="23" customFormat="1" x14ac:dyDescent="0.3">
      <c r="A29" s="52"/>
      <c r="B29" s="10" t="s">
        <v>82</v>
      </c>
      <c r="C29" s="10"/>
      <c r="D29" s="4">
        <f>--9933.84</f>
        <v>9933.84</v>
      </c>
      <c r="E29" s="4"/>
      <c r="F29" s="12">
        <f t="shared" si="0"/>
        <v>0</v>
      </c>
      <c r="G29" s="4"/>
      <c r="H29" s="4">
        <f t="shared" si="1"/>
        <v>15000</v>
      </c>
      <c r="I29" s="4"/>
      <c r="J29" s="12">
        <f t="shared" si="2"/>
        <v>0</v>
      </c>
      <c r="K29" s="4"/>
      <c r="L29" s="4">
        <f t="shared" si="3"/>
        <v>-5066.16</v>
      </c>
      <c r="M29" s="4"/>
      <c r="N29" s="12">
        <f t="shared" si="4"/>
        <v>-0.33774399999999999</v>
      </c>
      <c r="O29" s="10"/>
      <c r="P29" s="4">
        <f>--57789.87</f>
        <v>57789.87</v>
      </c>
      <c r="Q29" s="4"/>
      <c r="R29" s="12">
        <f t="shared" si="5"/>
        <v>0</v>
      </c>
      <c r="S29" s="4"/>
      <c r="T29" s="4">
        <f>--80000</f>
        <v>80000</v>
      </c>
      <c r="U29" s="4"/>
      <c r="V29" s="12">
        <f t="shared" si="6"/>
        <v>0</v>
      </c>
      <c r="W29" s="4"/>
      <c r="X29" s="4">
        <f t="shared" si="7"/>
        <v>-22210.129999999997</v>
      </c>
      <c r="Y29" s="4"/>
      <c r="Z29" s="12">
        <f t="shared" si="8"/>
        <v>-0.27762662499999996</v>
      </c>
    </row>
    <row r="30" spans="1:26" x14ac:dyDescent="0.3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294</v>
      </c>
      <c r="C31" s="26"/>
      <c r="D31" s="35">
        <f>SUM(D26:D30)</f>
        <v>-332765.12</v>
      </c>
      <c r="E31" s="13"/>
      <c r="F31" s="32">
        <f>IF(D$12=0,0,D31/D$12)</f>
        <v>0</v>
      </c>
      <c r="G31" s="13"/>
      <c r="H31" s="35">
        <f>SUM(H26:H30)</f>
        <v>30000</v>
      </c>
      <c r="I31" s="13"/>
      <c r="J31" s="32">
        <f>IF(H$12=0,0,H31/H$12)</f>
        <v>0</v>
      </c>
      <c r="K31" s="15"/>
      <c r="L31" s="35">
        <f>+D31-H31</f>
        <v>-362765.12</v>
      </c>
      <c r="M31" s="15"/>
      <c r="N31" s="32">
        <f>IF(H31=0,0,L31/H31)</f>
        <v>-12.092170666666666</v>
      </c>
      <c r="O31" s="25"/>
      <c r="P31" s="35">
        <f>SUM(P26:P30)</f>
        <v>-166927.31</v>
      </c>
      <c r="Q31" s="13"/>
      <c r="R31" s="32">
        <f>IF(P$12=0,0,P31/P$12)</f>
        <v>0</v>
      </c>
      <c r="S31" s="13"/>
      <c r="T31" s="35">
        <f>SUM(T26:T30)</f>
        <v>155000</v>
      </c>
      <c r="U31" s="13"/>
      <c r="V31" s="32">
        <f>IF(T$12=0,0,T31/T$12)</f>
        <v>0</v>
      </c>
      <c r="W31" s="15"/>
      <c r="X31" s="35">
        <f>+P31-T31</f>
        <v>-321927.31</v>
      </c>
      <c r="Y31" s="15"/>
      <c r="Z31" s="32">
        <f>IF(T31=0,0,X31/T31)</f>
        <v>-2.0769503870967743</v>
      </c>
    </row>
    <row r="32" spans="1:26" ht="15" thickTop="1" x14ac:dyDescent="0.3">
      <c r="A32" s="9"/>
      <c r="C32" s="9"/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3">
      <c r="A33" s="9"/>
      <c r="B33" s="60">
        <v>44543.753113078703</v>
      </c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3">
      <c r="A34" s="9"/>
      <c r="B34" s="58" t="s">
        <v>56</v>
      </c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4" x14ac:dyDescent="0.3">
      <c r="A35" s="9"/>
      <c r="B35" s="55"/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4" x14ac:dyDescent="0.3"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313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  <outlinePr summaryBelow="0" summaryRight="0"/>
  </sheetPr>
  <dimension ref="A2:Z10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139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5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1">
        <f>SUM(OSRRefD22x_0)</f>
        <v>242860.23000000007</v>
      </c>
      <c r="E18" s="21"/>
      <c r="F18" s="30">
        <f t="shared" ref="F18:F30" si="0">IF(D$12=0,0,D18/D$12)</f>
        <v>0</v>
      </c>
      <c r="G18" s="21"/>
      <c r="H18" s="21">
        <f>SUM(OSRRefH22x_0)</f>
        <v>255318.69333830161</v>
      </c>
      <c r="I18" s="21"/>
      <c r="J18" s="30">
        <f t="shared" ref="J18:J30" si="1">IF(H$12=0,0,H18/H$12)</f>
        <v>0</v>
      </c>
      <c r="K18" s="4"/>
      <c r="L18" s="21">
        <f t="shared" ref="L18:L30" si="2">+D18-H18</f>
        <v>-12458.463338301546</v>
      </c>
      <c r="M18" s="4"/>
      <c r="N18" s="30">
        <f t="shared" ref="N18:N30" si="3">IF(H18=0,0,L18/H18)</f>
        <v>-4.8795735147343366E-2</v>
      </c>
      <c r="O18" s="10"/>
      <c r="P18" s="21">
        <f>SUM(OSRRefP22x_0)</f>
        <v>1152716.8499999999</v>
      </c>
      <c r="Q18" s="21"/>
      <c r="R18" s="30">
        <f t="shared" ref="R18:R30" si="4">IF(P$12=0,0,P18/P$12)</f>
        <v>0</v>
      </c>
      <c r="S18" s="21"/>
      <c r="T18" s="21">
        <f>SUM(OSRRefT22x_0)</f>
        <v>1306178.6755375823</v>
      </c>
      <c r="U18" s="21"/>
      <c r="V18" s="30">
        <f t="shared" ref="V18:V30" si="5">IF(T$12=0,0,T18/T$12)</f>
        <v>0</v>
      </c>
      <c r="W18" s="4"/>
      <c r="X18" s="21">
        <f t="shared" ref="X18:X30" si="6">+P18-T18</f>
        <v>-153461.82553758239</v>
      </c>
      <c r="Y18" s="4"/>
      <c r="Z18" s="30">
        <f t="shared" ref="Z18:Z30" si="7">IF(T18=0,0,X18/T18)</f>
        <v>-0.11748915245031259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79537.320000000007</v>
      </c>
      <c r="E19" s="1"/>
      <c r="F19" s="5">
        <f t="shared" si="0"/>
        <v>0</v>
      </c>
      <c r="G19" s="1"/>
      <c r="H19" s="1">
        <f>SUM(OSRRefH22_0x_0)</f>
        <v>84860.764501378522</v>
      </c>
      <c r="I19" s="1"/>
      <c r="J19" s="5">
        <f t="shared" si="1"/>
        <v>0</v>
      </c>
      <c r="K19" s="1"/>
      <c r="L19" s="1">
        <f t="shared" si="2"/>
        <v>-5323.4445013785153</v>
      </c>
      <c r="M19" s="1"/>
      <c r="N19" s="5">
        <f t="shared" si="3"/>
        <v>-6.2731517122875308E-2</v>
      </c>
      <c r="O19" s="14"/>
      <c r="P19" s="1">
        <f>SUM(OSRRefP22_0x_0)</f>
        <v>408357.15</v>
      </c>
      <c r="Q19" s="1"/>
      <c r="R19" s="5">
        <f t="shared" si="4"/>
        <v>0</v>
      </c>
      <c r="S19" s="1"/>
      <c r="T19" s="1">
        <f>SUM(OSRRefT22_0x_0)</f>
        <v>429088.91308835131</v>
      </c>
      <c r="U19" s="1"/>
      <c r="V19" s="5">
        <f t="shared" si="5"/>
        <v>0</v>
      </c>
      <c r="W19" s="1"/>
      <c r="X19" s="1">
        <f t="shared" si="6"/>
        <v>-20731.76308835129</v>
      </c>
      <c r="Y19" s="1"/>
      <c r="Z19" s="5">
        <f t="shared" si="7"/>
        <v>-4.8315774320839951E-2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6">
        <v>6697.1</v>
      </c>
      <c r="E20" s="2"/>
      <c r="F20" s="7">
        <f t="shared" si="0"/>
        <v>0</v>
      </c>
      <c r="G20" s="2"/>
      <c r="H20" s="6">
        <v>7705.3153428553896</v>
      </c>
      <c r="I20" s="2"/>
      <c r="J20" s="7">
        <f t="shared" si="1"/>
        <v>0</v>
      </c>
      <c r="K20" s="2"/>
      <c r="L20" s="6">
        <f t="shared" si="2"/>
        <v>-1008.2153428553893</v>
      </c>
      <c r="M20" s="2"/>
      <c r="N20" s="7">
        <f t="shared" si="3"/>
        <v>-0.1308467334552684</v>
      </c>
      <c r="O20" s="11"/>
      <c r="P20" s="6">
        <v>39042.379999999997</v>
      </c>
      <c r="Q20" s="2"/>
      <c r="R20" s="7">
        <f t="shared" si="4"/>
        <v>0</v>
      </c>
      <c r="S20" s="2"/>
      <c r="T20" s="6">
        <v>40671.496870319999</v>
      </c>
      <c r="U20" s="2"/>
      <c r="V20" s="7">
        <f t="shared" si="5"/>
        <v>0</v>
      </c>
      <c r="W20" s="2"/>
      <c r="X20" s="6">
        <f t="shared" si="6"/>
        <v>-1629.1168703200019</v>
      </c>
      <c r="Y20" s="2"/>
      <c r="Z20" s="7">
        <f t="shared" si="7"/>
        <v>-4.005549329827713E-2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1492.82</v>
      </c>
      <c r="E21" s="2"/>
      <c r="F21" s="7">
        <f t="shared" si="0"/>
        <v>0</v>
      </c>
      <c r="G21" s="2"/>
      <c r="H21" s="6">
        <v>627.22173710769198</v>
      </c>
      <c r="I21" s="2"/>
      <c r="J21" s="7">
        <f t="shared" si="1"/>
        <v>0</v>
      </c>
      <c r="K21" s="2"/>
      <c r="L21" s="6">
        <f t="shared" si="2"/>
        <v>865.59826289230796</v>
      </c>
      <c r="M21" s="2"/>
      <c r="N21" s="7">
        <f t="shared" si="3"/>
        <v>1.3800514422281374</v>
      </c>
      <c r="O21" s="11"/>
      <c r="P21" s="6">
        <v>7952.2</v>
      </c>
      <c r="Q21" s="2"/>
      <c r="R21" s="7">
        <f t="shared" si="4"/>
        <v>0</v>
      </c>
      <c r="S21" s="2"/>
      <c r="T21" s="6">
        <v>3339.1282464000001</v>
      </c>
      <c r="U21" s="2"/>
      <c r="V21" s="7">
        <f t="shared" si="5"/>
        <v>0</v>
      </c>
      <c r="W21" s="2"/>
      <c r="X21" s="6">
        <f t="shared" si="6"/>
        <v>4613.0717535999993</v>
      </c>
      <c r="Y21" s="2"/>
      <c r="Z21" s="7">
        <f t="shared" si="7"/>
        <v>1.3815197899551988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6">
        <v>22410.55</v>
      </c>
      <c r="E22" s="2"/>
      <c r="F22" s="7">
        <f t="shared" si="0"/>
        <v>0</v>
      </c>
      <c r="G22" s="2"/>
      <c r="H22" s="6">
        <v>23635.538461538501</v>
      </c>
      <c r="I22" s="2"/>
      <c r="J22" s="7">
        <f t="shared" si="1"/>
        <v>0</v>
      </c>
      <c r="K22" s="2"/>
      <c r="L22" s="6">
        <f t="shared" si="2"/>
        <v>-1224.9884615385017</v>
      </c>
      <c r="M22" s="2"/>
      <c r="N22" s="7">
        <f t="shared" si="3"/>
        <v>-5.1828244299654679E-2</v>
      </c>
      <c r="O22" s="11"/>
      <c r="P22" s="6">
        <v>112386.19</v>
      </c>
      <c r="Q22" s="2"/>
      <c r="R22" s="7">
        <f t="shared" si="4"/>
        <v>0</v>
      </c>
      <c r="S22" s="2"/>
      <c r="T22" s="6">
        <v>118488.461538462</v>
      </c>
      <c r="U22" s="2"/>
      <c r="V22" s="7">
        <f t="shared" si="5"/>
        <v>0</v>
      </c>
      <c r="W22" s="2"/>
      <c r="X22" s="6">
        <f t="shared" si="6"/>
        <v>-6102.2715384619951</v>
      </c>
      <c r="Y22" s="2"/>
      <c r="Z22" s="7">
        <f t="shared" si="7"/>
        <v>-5.1500977050673954E-2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263.44</v>
      </c>
      <c r="E23" s="2"/>
      <c r="F23" s="7">
        <f t="shared" si="0"/>
        <v>0</v>
      </c>
      <c r="G23" s="2"/>
      <c r="H23" s="6">
        <v>234.115544492308</v>
      </c>
      <c r="I23" s="2"/>
      <c r="J23" s="7">
        <f t="shared" si="1"/>
        <v>0</v>
      </c>
      <c r="K23" s="2"/>
      <c r="L23" s="6">
        <f t="shared" si="2"/>
        <v>29.324455507691994</v>
      </c>
      <c r="M23" s="2"/>
      <c r="N23" s="7">
        <f t="shared" si="3"/>
        <v>0.12525633687111051</v>
      </c>
      <c r="O23" s="11"/>
      <c r="P23" s="6">
        <v>1401.24</v>
      </c>
      <c r="Q23" s="2"/>
      <c r="R23" s="7">
        <f t="shared" si="4"/>
        <v>0</v>
      </c>
      <c r="S23" s="2"/>
      <c r="T23" s="6">
        <v>1212.7188024</v>
      </c>
      <c r="U23" s="2"/>
      <c r="V23" s="7">
        <f t="shared" si="5"/>
        <v>0</v>
      </c>
      <c r="W23" s="2"/>
      <c r="X23" s="6">
        <f t="shared" si="6"/>
        <v>188.52119760000005</v>
      </c>
      <c r="Y23" s="2"/>
      <c r="Z23" s="7">
        <f t="shared" si="7"/>
        <v>0.15545334765727389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6">
        <v>7738.29</v>
      </c>
      <c r="E24" s="2"/>
      <c r="F24" s="7">
        <f t="shared" si="0"/>
        <v>0</v>
      </c>
      <c r="G24" s="2"/>
      <c r="H24" s="6">
        <v>6526.3494769230801</v>
      </c>
      <c r="I24" s="2"/>
      <c r="J24" s="7">
        <f t="shared" si="1"/>
        <v>0</v>
      </c>
      <c r="K24" s="2"/>
      <c r="L24" s="6">
        <f t="shared" si="2"/>
        <v>1211.9405230769198</v>
      </c>
      <c r="M24" s="2"/>
      <c r="N24" s="7">
        <f t="shared" si="3"/>
        <v>0.18569960547811526</v>
      </c>
      <c r="O24" s="11"/>
      <c r="P24" s="6">
        <v>41479.07</v>
      </c>
      <c r="Q24" s="2"/>
      <c r="R24" s="7">
        <f t="shared" si="4"/>
        <v>0</v>
      </c>
      <c r="S24" s="2"/>
      <c r="T24" s="6">
        <v>33260.345200000003</v>
      </c>
      <c r="U24" s="2"/>
      <c r="V24" s="7">
        <f t="shared" si="5"/>
        <v>0</v>
      </c>
      <c r="W24" s="2"/>
      <c r="X24" s="6">
        <f t="shared" si="6"/>
        <v>8218.7247999999963</v>
      </c>
      <c r="Y24" s="2"/>
      <c r="Z24" s="7">
        <f t="shared" si="7"/>
        <v>0.24710281118790059</v>
      </c>
    </row>
    <row r="25" spans="1:26" s="24" customFormat="1" hidden="1" outlineLevel="2" x14ac:dyDescent="0.3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417</v>
      </c>
      <c r="I25" s="2"/>
      <c r="J25" s="7">
        <f t="shared" si="1"/>
        <v>0</v>
      </c>
      <c r="K25" s="2"/>
      <c r="L25" s="6">
        <f t="shared" si="2"/>
        <v>-417</v>
      </c>
      <c r="M25" s="2"/>
      <c r="N25" s="7">
        <f t="shared" si="3"/>
        <v>-1</v>
      </c>
      <c r="O25" s="11"/>
      <c r="P25" s="6"/>
      <c r="Q25" s="2"/>
      <c r="R25" s="7">
        <f t="shared" si="4"/>
        <v>0</v>
      </c>
      <c r="S25" s="2"/>
      <c r="T25" s="6">
        <v>2085</v>
      </c>
      <c r="U25" s="2"/>
      <c r="V25" s="7">
        <f t="shared" si="5"/>
        <v>0</v>
      </c>
      <c r="W25" s="2"/>
      <c r="X25" s="6">
        <f t="shared" si="6"/>
        <v>-2085</v>
      </c>
      <c r="Y25" s="2"/>
      <c r="Z25" s="7">
        <f t="shared" si="7"/>
        <v>-1</v>
      </c>
    </row>
    <row r="26" spans="1:26" s="24" customFormat="1" hidden="1" outlineLevel="2" x14ac:dyDescent="0.3">
      <c r="A26" s="27"/>
      <c r="B26" s="11" t="str">
        <f>CONCATENATE("          ", "6117", " - ", "RETIREMENT STAFF HOURLY")</f>
        <v xml:space="preserve">          6117 - RETIREMENT STAFF HOURLY</v>
      </c>
      <c r="C26" s="11"/>
      <c r="D26" s="6">
        <v>644.66999999999996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644.66999999999996</v>
      </c>
      <c r="M26" s="2"/>
      <c r="N26" s="7">
        <f t="shared" si="3"/>
        <v>0</v>
      </c>
      <c r="O26" s="11"/>
      <c r="P26" s="6">
        <v>3127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3127</v>
      </c>
      <c r="Y26" s="2"/>
      <c r="Z26" s="7">
        <f t="shared" si="7"/>
        <v>0</v>
      </c>
    </row>
    <row r="27" spans="1:26" s="24" customFormat="1" hidden="1" outlineLevel="2" x14ac:dyDescent="0.3">
      <c r="A27" s="27"/>
      <c r="B27" s="11" t="str">
        <f>CONCATENATE("          ", "6118", " - ", "VACATION")</f>
        <v xml:space="preserve">          6118 - VACATION</v>
      </c>
      <c r="C27" s="11"/>
      <c r="D27" s="6">
        <v>6911.02</v>
      </c>
      <c r="E27" s="2"/>
      <c r="F27" s="7">
        <f t="shared" si="0"/>
        <v>0</v>
      </c>
      <c r="G27" s="2"/>
      <c r="H27" s="6">
        <v>4505.4114707692397</v>
      </c>
      <c r="I27" s="2"/>
      <c r="J27" s="7">
        <f t="shared" si="1"/>
        <v>0</v>
      </c>
      <c r="K27" s="2"/>
      <c r="L27" s="6">
        <f t="shared" si="2"/>
        <v>2405.6085292307607</v>
      </c>
      <c r="M27" s="2"/>
      <c r="N27" s="7">
        <f t="shared" si="3"/>
        <v>0.53393758701911298</v>
      </c>
      <c r="O27" s="11"/>
      <c r="P27" s="6">
        <v>35025.85</v>
      </c>
      <c r="Q27" s="2"/>
      <c r="R27" s="7">
        <f t="shared" si="4"/>
        <v>0</v>
      </c>
      <c r="S27" s="2"/>
      <c r="T27" s="6">
        <v>23248.032319999998</v>
      </c>
      <c r="U27" s="2"/>
      <c r="V27" s="7">
        <f t="shared" si="5"/>
        <v>0</v>
      </c>
      <c r="W27" s="2"/>
      <c r="X27" s="6">
        <f t="shared" si="6"/>
        <v>11777.81768</v>
      </c>
      <c r="Y27" s="2"/>
      <c r="Z27" s="7">
        <f t="shared" si="7"/>
        <v>0.50661567903394933</v>
      </c>
    </row>
    <row r="28" spans="1:26" s="24" customFormat="1" hidden="1" outlineLevel="2" x14ac:dyDescent="0.3">
      <c r="A28" s="27"/>
      <c r="B28" s="11" t="str">
        <f>CONCATENATE("          ", "6119", " - ", "SICK LEAVE")</f>
        <v xml:space="preserve">          6119 - SICK LEAVE</v>
      </c>
      <c r="C28" s="11"/>
      <c r="D28" s="6">
        <v>4401.4799999999996</v>
      </c>
      <c r="E28" s="2"/>
      <c r="F28" s="7">
        <f t="shared" si="0"/>
        <v>0</v>
      </c>
      <c r="G28" s="2"/>
      <c r="H28" s="6">
        <v>3809.8124676923198</v>
      </c>
      <c r="I28" s="2"/>
      <c r="J28" s="7">
        <f t="shared" si="1"/>
        <v>0</v>
      </c>
      <c r="K28" s="2"/>
      <c r="L28" s="6">
        <f t="shared" si="2"/>
        <v>591.66753230767972</v>
      </c>
      <c r="M28" s="2"/>
      <c r="N28" s="7">
        <f t="shared" si="3"/>
        <v>0.15530095964698878</v>
      </c>
      <c r="O28" s="11"/>
      <c r="P28" s="6">
        <v>23555.64</v>
      </c>
      <c r="Q28" s="2"/>
      <c r="R28" s="7">
        <f t="shared" si="4"/>
        <v>0</v>
      </c>
      <c r="S28" s="2"/>
      <c r="T28" s="6">
        <v>19883.730110769298</v>
      </c>
      <c r="U28" s="2"/>
      <c r="V28" s="7">
        <f t="shared" si="5"/>
        <v>0</v>
      </c>
      <c r="W28" s="2"/>
      <c r="X28" s="6">
        <f t="shared" si="6"/>
        <v>3671.9098892307011</v>
      </c>
      <c r="Y28" s="2"/>
      <c r="Z28" s="7">
        <f t="shared" si="7"/>
        <v>0.18466906706010583</v>
      </c>
    </row>
    <row r="29" spans="1:26" s="24" customFormat="1" hidden="1" outlineLevel="2" x14ac:dyDescent="0.3">
      <c r="A29" s="27"/>
      <c r="B29" s="11" t="str">
        <f>CONCATENATE("          ", "6120", " - ", "RETIREES HEALTH INSURANCE")</f>
        <v xml:space="preserve">          6120 - RETIREES HEALTH INSURANCE</v>
      </c>
      <c r="C29" s="11"/>
      <c r="D29" s="6">
        <v>27384.04</v>
      </c>
      <c r="E29" s="2"/>
      <c r="F29" s="7">
        <f t="shared" si="0"/>
        <v>0</v>
      </c>
      <c r="G29" s="2"/>
      <c r="H29" s="6">
        <v>35000</v>
      </c>
      <c r="I29" s="2"/>
      <c r="J29" s="7">
        <f t="shared" si="1"/>
        <v>0</v>
      </c>
      <c r="K29" s="2"/>
      <c r="L29" s="6">
        <f t="shared" si="2"/>
        <v>-7615.9599999999991</v>
      </c>
      <c r="M29" s="2"/>
      <c r="N29" s="7">
        <f t="shared" si="3"/>
        <v>-0.21759885714285712</v>
      </c>
      <c r="O29" s="11"/>
      <c r="P29" s="6">
        <v>137041.29999999999</v>
      </c>
      <c r="Q29" s="2"/>
      <c r="R29" s="7">
        <f t="shared" si="4"/>
        <v>0</v>
      </c>
      <c r="S29" s="2"/>
      <c r="T29" s="6">
        <v>175000</v>
      </c>
      <c r="U29" s="2"/>
      <c r="V29" s="7">
        <f t="shared" si="5"/>
        <v>0</v>
      </c>
      <c r="W29" s="2"/>
      <c r="X29" s="6">
        <f t="shared" si="6"/>
        <v>-37958.700000000012</v>
      </c>
      <c r="Y29" s="2"/>
      <c r="Z29" s="7">
        <f t="shared" si="7"/>
        <v>-0.21690685714285721</v>
      </c>
    </row>
    <row r="30" spans="1:26" s="24" customFormat="1" hidden="1" outlineLevel="2" x14ac:dyDescent="0.3">
      <c r="A30" s="27"/>
      <c r="B30" s="11" t="str">
        <f>CONCATENATE("          ", "6156", " - ", "EMPLOYEE MEALS")</f>
        <v xml:space="preserve">          6156 - EMPLOYEE MEALS</v>
      </c>
      <c r="C30" s="11"/>
      <c r="D30" s="6">
        <v>1593.91</v>
      </c>
      <c r="E30" s="2"/>
      <c r="F30" s="7">
        <f t="shared" si="0"/>
        <v>0</v>
      </c>
      <c r="G30" s="2"/>
      <c r="H30" s="6">
        <v>2400</v>
      </c>
      <c r="I30" s="2"/>
      <c r="J30" s="7">
        <f t="shared" si="1"/>
        <v>0</v>
      </c>
      <c r="K30" s="2"/>
      <c r="L30" s="6">
        <f t="shared" si="2"/>
        <v>-806.08999999999992</v>
      </c>
      <c r="M30" s="2"/>
      <c r="N30" s="7">
        <f t="shared" si="3"/>
        <v>-0.33587083333333329</v>
      </c>
      <c r="O30" s="11"/>
      <c r="P30" s="6">
        <v>7346.28</v>
      </c>
      <c r="Q30" s="2"/>
      <c r="R30" s="7">
        <f t="shared" si="4"/>
        <v>0</v>
      </c>
      <c r="S30" s="2"/>
      <c r="T30" s="6">
        <v>11900</v>
      </c>
      <c r="U30" s="2"/>
      <c r="V30" s="7">
        <f t="shared" si="5"/>
        <v>0</v>
      </c>
      <c r="W30" s="2"/>
      <c r="X30" s="6">
        <f t="shared" si="6"/>
        <v>-4553.72</v>
      </c>
      <c r="Y30" s="2"/>
      <c r="Z30" s="7">
        <f t="shared" si="7"/>
        <v>-0.38266554621848742</v>
      </c>
    </row>
    <row r="31" spans="1:26" s="29" customFormat="1" outlineLevel="1" collapsed="1" x14ac:dyDescent="0.3">
      <c r="A31" s="28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90428.12</v>
      </c>
      <c r="E31" s="1"/>
      <c r="F31" s="5">
        <f t="shared" ref="F31:F41" si="8">IF(D$12=0,0,D31/D$12)</f>
        <v>0</v>
      </c>
      <c r="G31" s="1"/>
      <c r="H31" s="1">
        <f>SUM(OSRRefH22_1x_0)</f>
        <v>102045.92883692309</v>
      </c>
      <c r="I31" s="1"/>
      <c r="J31" s="5">
        <f t="shared" ref="J31:J41" si="9">IF(H$12=0,0,H31/H$12)</f>
        <v>0</v>
      </c>
      <c r="K31" s="1"/>
      <c r="L31" s="1">
        <f t="shared" ref="L31:L41" si="10">+D31-H31</f>
        <v>-11617.808836923097</v>
      </c>
      <c r="M31" s="1"/>
      <c r="N31" s="5">
        <f t="shared" ref="N31:N41" si="11">IF(H31=0,0,L31/H31)</f>
        <v>-0.11384882247962298</v>
      </c>
      <c r="O31" s="14"/>
      <c r="P31" s="1">
        <f>SUM(OSRRefP22_1x_0)</f>
        <v>467666.51</v>
      </c>
      <c r="Q31" s="1"/>
      <c r="R31" s="5">
        <f t="shared" ref="R31:R41" si="12">IF(P$12=0,0,P31/P$12)</f>
        <v>0</v>
      </c>
      <c r="S31" s="1"/>
      <c r="T31" s="1">
        <f>SUM(OSRRefT22_1x_0)</f>
        <v>528028.762449231</v>
      </c>
      <c r="U31" s="1"/>
      <c r="V31" s="5">
        <f t="shared" ref="V31:V41" si="13">IF(T$12=0,0,T31/T$12)</f>
        <v>0</v>
      </c>
      <c r="W31" s="1"/>
      <c r="X31" s="1">
        <f t="shared" ref="X31:X41" si="14">+P31-T31</f>
        <v>-60362.252449230989</v>
      </c>
      <c r="Y31" s="1"/>
      <c r="Z31" s="5">
        <f t="shared" ref="Z31:Z41" si="15">IF(T31=0,0,X31/T31)</f>
        <v>-0.11431622052034468</v>
      </c>
    </row>
    <row r="32" spans="1:26" s="24" customFormat="1" hidden="1" outlineLevel="2" x14ac:dyDescent="0.3">
      <c r="A32" s="27"/>
      <c r="B32" s="11" t="str">
        <f>CONCATENATE("          ", "6001", " - ", "ADMINISTRATIVE SALARIES")</f>
        <v xml:space="preserve">          6001 - ADMINISTRATIVE SALARIES</v>
      </c>
      <c r="C32" s="11"/>
      <c r="D32" s="6">
        <v>20464.53</v>
      </c>
      <c r="E32" s="2"/>
      <c r="F32" s="7">
        <f t="shared" si="8"/>
        <v>0</v>
      </c>
      <c r="G32" s="2"/>
      <c r="H32" s="6">
        <v>34156.196923076997</v>
      </c>
      <c r="I32" s="2"/>
      <c r="J32" s="7">
        <f t="shared" si="9"/>
        <v>0</v>
      </c>
      <c r="K32" s="2"/>
      <c r="L32" s="6">
        <f t="shared" si="10"/>
        <v>-13691.666923076999</v>
      </c>
      <c r="M32" s="2"/>
      <c r="N32" s="7">
        <f t="shared" si="11"/>
        <v>-0.40085454929048259</v>
      </c>
      <c r="O32" s="11"/>
      <c r="P32" s="6">
        <v>91901.39</v>
      </c>
      <c r="Q32" s="2"/>
      <c r="R32" s="7">
        <f t="shared" si="12"/>
        <v>0</v>
      </c>
      <c r="S32" s="2"/>
      <c r="T32" s="6">
        <v>159675.236923077</v>
      </c>
      <c r="U32" s="2"/>
      <c r="V32" s="7">
        <f t="shared" si="13"/>
        <v>0</v>
      </c>
      <c r="W32" s="2"/>
      <c r="X32" s="6">
        <f t="shared" si="14"/>
        <v>-67773.846923076999</v>
      </c>
      <c r="Y32" s="2"/>
      <c r="Z32" s="7">
        <f t="shared" si="15"/>
        <v>-0.42444807491174613</v>
      </c>
    </row>
    <row r="33" spans="1:26" s="24" customFormat="1" hidden="1" outlineLevel="2" x14ac:dyDescent="0.3">
      <c r="A33" s="27"/>
      <c r="B33" s="11" t="str">
        <f>CONCATENATE("          ", "6002", " - ", "STAFF SALARIES")</f>
        <v xml:space="preserve">          6002 - STAFF SALARIES</v>
      </c>
      <c r="C33" s="11"/>
      <c r="D33" s="6">
        <v>45658.44</v>
      </c>
      <c r="E33" s="2"/>
      <c r="F33" s="7">
        <f t="shared" si="8"/>
        <v>0</v>
      </c>
      <c r="G33" s="2"/>
      <c r="H33" s="6">
        <v>35167.686153846102</v>
      </c>
      <c r="I33" s="2"/>
      <c r="J33" s="7">
        <f t="shared" si="9"/>
        <v>0</v>
      </c>
      <c r="K33" s="2"/>
      <c r="L33" s="6">
        <f t="shared" si="10"/>
        <v>10490.753846153901</v>
      </c>
      <c r="M33" s="2"/>
      <c r="N33" s="7">
        <f t="shared" si="11"/>
        <v>0.29830662729019441</v>
      </c>
      <c r="O33" s="11"/>
      <c r="P33" s="6">
        <v>252454.62</v>
      </c>
      <c r="Q33" s="2"/>
      <c r="R33" s="7">
        <f t="shared" si="12"/>
        <v>0</v>
      </c>
      <c r="S33" s="2"/>
      <c r="T33" s="6">
        <v>193422.27384615401</v>
      </c>
      <c r="U33" s="2"/>
      <c r="V33" s="7">
        <f t="shared" si="13"/>
        <v>0</v>
      </c>
      <c r="W33" s="2"/>
      <c r="X33" s="6">
        <f t="shared" si="14"/>
        <v>59032.346153845981</v>
      </c>
      <c r="Y33" s="2"/>
      <c r="Z33" s="7">
        <f t="shared" si="15"/>
        <v>0.30519931846525428</v>
      </c>
    </row>
    <row r="34" spans="1:26" s="24" customFormat="1" hidden="1" outlineLevel="2" x14ac:dyDescent="0.3">
      <c r="A34" s="27"/>
      <c r="B34" s="11" t="str">
        <f>CONCATENATE("          ", "6003", " - ", "STAFF HOURLY-9 MONTH")</f>
        <v xml:space="preserve">          6003 - STAFF HOURLY-9 MONTH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3">
      <c r="A35" s="27"/>
      <c r="B35" s="11" t="str">
        <f>CONCATENATE("          ", "6004", " - ", "STAFF HOURLY")</f>
        <v xml:space="preserve">          6004 - STAFF HOURLY</v>
      </c>
      <c r="C35" s="11"/>
      <c r="D35" s="6">
        <v>19753.900000000001</v>
      </c>
      <c r="E35" s="2"/>
      <c r="F35" s="7">
        <f t="shared" si="8"/>
        <v>0</v>
      </c>
      <c r="G35" s="2"/>
      <c r="H35" s="6">
        <v>24042.045760000001</v>
      </c>
      <c r="I35" s="2"/>
      <c r="J35" s="7">
        <f t="shared" si="9"/>
        <v>0</v>
      </c>
      <c r="K35" s="2"/>
      <c r="L35" s="6">
        <f t="shared" si="10"/>
        <v>-4288.1457599999994</v>
      </c>
      <c r="M35" s="2"/>
      <c r="N35" s="7">
        <f t="shared" si="11"/>
        <v>-0.17836026945487352</v>
      </c>
      <c r="O35" s="11"/>
      <c r="P35" s="6">
        <v>101638.37</v>
      </c>
      <c r="Q35" s="2"/>
      <c r="R35" s="7">
        <f t="shared" si="12"/>
        <v>0</v>
      </c>
      <c r="S35" s="2"/>
      <c r="T35" s="6">
        <v>132231.25167999999</v>
      </c>
      <c r="U35" s="2"/>
      <c r="V35" s="7">
        <f t="shared" si="13"/>
        <v>0</v>
      </c>
      <c r="W35" s="2"/>
      <c r="X35" s="6">
        <f t="shared" si="14"/>
        <v>-30592.881679999991</v>
      </c>
      <c r="Y35" s="2"/>
      <c r="Z35" s="7">
        <f t="shared" si="15"/>
        <v>-0.23135893588933767</v>
      </c>
    </row>
    <row r="36" spans="1:26" s="24" customFormat="1" hidden="1" outlineLevel="2" x14ac:dyDescent="0.3">
      <c r="A36" s="27"/>
      <c r="B36" s="11" t="str">
        <f>CONCATENATE("          ", "6005", " - ", "TEMPORARY WAGES-HOURLY")</f>
        <v xml:space="preserve">          6005 - TEMPORARY WAGES-HOURLY</v>
      </c>
      <c r="C36" s="11"/>
      <c r="D36" s="6">
        <v>2025.39</v>
      </c>
      <c r="E36" s="2"/>
      <c r="F36" s="7">
        <f t="shared" si="8"/>
        <v>0</v>
      </c>
      <c r="G36" s="2"/>
      <c r="H36" s="6">
        <v>3880</v>
      </c>
      <c r="I36" s="2"/>
      <c r="J36" s="7">
        <f t="shared" si="9"/>
        <v>0</v>
      </c>
      <c r="K36" s="2"/>
      <c r="L36" s="6">
        <f t="shared" si="10"/>
        <v>-1854.61</v>
      </c>
      <c r="M36" s="2"/>
      <c r="N36" s="7">
        <f t="shared" si="11"/>
        <v>-0.47799226804123707</v>
      </c>
      <c r="O36" s="11"/>
      <c r="P36" s="6">
        <v>9907.14</v>
      </c>
      <c r="Q36" s="2"/>
      <c r="R36" s="7">
        <f t="shared" si="12"/>
        <v>0</v>
      </c>
      <c r="S36" s="2"/>
      <c r="T36" s="6">
        <v>21340</v>
      </c>
      <c r="U36" s="2"/>
      <c r="V36" s="7">
        <f t="shared" si="13"/>
        <v>0</v>
      </c>
      <c r="W36" s="2"/>
      <c r="X36" s="6">
        <f t="shared" si="14"/>
        <v>-11432.86</v>
      </c>
      <c r="Y36" s="2"/>
      <c r="Z36" s="7">
        <f t="shared" si="15"/>
        <v>-0.53574789128397382</v>
      </c>
    </row>
    <row r="37" spans="1:26" s="24" customFormat="1" hidden="1" outlineLevel="2" x14ac:dyDescent="0.3">
      <c r="A37" s="27"/>
      <c r="B37" s="11" t="str">
        <f>CONCATENATE("          ", "6006", " - ", "TEMPORARY PART TIME")</f>
        <v xml:space="preserve">          6006 - TEMPORARY PART TIME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3">
      <c r="A38" s="27"/>
      <c r="B38" s="11" t="str">
        <f>CONCATENATE("          ", "6007", " - ", "STUDENT HOURLY")</f>
        <v xml:space="preserve">          6007 - STUDENT HOURLY</v>
      </c>
      <c r="C38" s="11"/>
      <c r="D38" s="6">
        <v>468.48</v>
      </c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468.48</v>
      </c>
      <c r="M38" s="2"/>
      <c r="N38" s="7">
        <f t="shared" si="11"/>
        <v>0</v>
      </c>
      <c r="O38" s="11"/>
      <c r="P38" s="6">
        <v>2499.36</v>
      </c>
      <c r="Q38" s="2"/>
      <c r="R38" s="7">
        <f t="shared" si="12"/>
        <v>0</v>
      </c>
      <c r="S38" s="2"/>
      <c r="T38" s="6">
        <v>8320</v>
      </c>
      <c r="U38" s="2"/>
      <c r="V38" s="7">
        <f t="shared" si="13"/>
        <v>0</v>
      </c>
      <c r="W38" s="2"/>
      <c r="X38" s="6">
        <f t="shared" si="14"/>
        <v>-5820.6399999999994</v>
      </c>
      <c r="Y38" s="2"/>
      <c r="Z38" s="7">
        <f t="shared" si="15"/>
        <v>-0.69959615384615381</v>
      </c>
    </row>
    <row r="39" spans="1:26" s="24" customFormat="1" hidden="1" outlineLevel="2" x14ac:dyDescent="0.3">
      <c r="A39" s="27"/>
      <c r="B39" s="11" t="str">
        <f>CONCATENATE("          ", "6008", " - ", "STUDENT HOURLY-FICA EXEMPT")</f>
        <v xml:space="preserve">          6008 - STUDENT HOURLY-FICA EXEMPT</v>
      </c>
      <c r="C39" s="11"/>
      <c r="D39" s="6">
        <v>2057.38</v>
      </c>
      <c r="E39" s="2"/>
      <c r="F39" s="7">
        <f t="shared" si="8"/>
        <v>0</v>
      </c>
      <c r="G39" s="2"/>
      <c r="H39" s="6">
        <v>4800</v>
      </c>
      <c r="I39" s="2"/>
      <c r="J39" s="7">
        <f t="shared" si="9"/>
        <v>0</v>
      </c>
      <c r="K39" s="2"/>
      <c r="L39" s="6">
        <f t="shared" si="10"/>
        <v>-2742.62</v>
      </c>
      <c r="M39" s="2"/>
      <c r="N39" s="7">
        <f t="shared" si="11"/>
        <v>-0.57137916666666666</v>
      </c>
      <c r="O39" s="11"/>
      <c r="P39" s="6">
        <v>9265.6299999999992</v>
      </c>
      <c r="Q39" s="2"/>
      <c r="R39" s="7">
        <f t="shared" si="12"/>
        <v>0</v>
      </c>
      <c r="S39" s="2"/>
      <c r="T39" s="6">
        <v>13040</v>
      </c>
      <c r="U39" s="2"/>
      <c r="V39" s="7">
        <f t="shared" si="13"/>
        <v>0</v>
      </c>
      <c r="W39" s="2"/>
      <c r="X39" s="6">
        <f t="shared" si="14"/>
        <v>-3774.3700000000008</v>
      </c>
      <c r="Y39" s="2"/>
      <c r="Z39" s="7">
        <f t="shared" si="15"/>
        <v>-0.28944555214723933</v>
      </c>
    </row>
    <row r="40" spans="1:26" s="24" customFormat="1" hidden="1" outlineLevel="2" x14ac:dyDescent="0.3">
      <c r="A40" s="27"/>
      <c r="B40" s="11" t="str">
        <f>CONCATENATE("          ", "6009", " - ", "TEMPORARY-SEASONAL")</f>
        <v xml:space="preserve">          6009 - TEMPORARY-SEASONAL</v>
      </c>
      <c r="C40" s="11"/>
      <c r="D40" s="6"/>
      <c r="E40" s="2"/>
      <c r="F40" s="7">
        <f t="shared" si="8"/>
        <v>0</v>
      </c>
      <c r="G40" s="2"/>
      <c r="H40" s="6">
        <v>0</v>
      </c>
      <c r="I40" s="2"/>
      <c r="J40" s="7">
        <f t="shared" si="9"/>
        <v>0</v>
      </c>
      <c r="K40" s="2"/>
      <c r="L40" s="6">
        <f t="shared" si="10"/>
        <v>0</v>
      </c>
      <c r="M40" s="2"/>
      <c r="N40" s="7">
        <f t="shared" si="11"/>
        <v>0</v>
      </c>
      <c r="O40" s="11"/>
      <c r="P40" s="6"/>
      <c r="Q40" s="2"/>
      <c r="R40" s="7">
        <f t="shared" si="12"/>
        <v>0</v>
      </c>
      <c r="S40" s="2"/>
      <c r="T40" s="6">
        <v>0</v>
      </c>
      <c r="U40" s="2"/>
      <c r="V40" s="7">
        <f t="shared" si="13"/>
        <v>0</v>
      </c>
      <c r="W40" s="2"/>
      <c r="X40" s="6">
        <f t="shared" si="14"/>
        <v>0</v>
      </c>
      <c r="Y40" s="2"/>
      <c r="Z40" s="7">
        <f t="shared" si="15"/>
        <v>0</v>
      </c>
    </row>
    <row r="41" spans="1:26" s="24" customFormat="1" hidden="1" outlineLevel="2" x14ac:dyDescent="0.3">
      <c r="A41" s="27"/>
      <c r="B41" s="11" t="str">
        <f>CONCATENATE("          ", "6010", " - ", "GRATUITY")</f>
        <v xml:space="preserve">          6010 - GRATUITY</v>
      </c>
      <c r="C41" s="11"/>
      <c r="D41" s="6"/>
      <c r="E41" s="2"/>
      <c r="F41" s="7">
        <f t="shared" si="8"/>
        <v>0</v>
      </c>
      <c r="G41" s="2"/>
      <c r="H41" s="6">
        <v>0</v>
      </c>
      <c r="I41" s="2"/>
      <c r="J41" s="7">
        <f t="shared" si="9"/>
        <v>0</v>
      </c>
      <c r="K41" s="2"/>
      <c r="L41" s="6">
        <f t="shared" si="10"/>
        <v>0</v>
      </c>
      <c r="M41" s="2"/>
      <c r="N41" s="7">
        <f t="shared" si="11"/>
        <v>0</v>
      </c>
      <c r="O41" s="11"/>
      <c r="P41" s="6"/>
      <c r="Q41" s="2"/>
      <c r="R41" s="7">
        <f t="shared" si="12"/>
        <v>0</v>
      </c>
      <c r="S41" s="2"/>
      <c r="T41" s="6">
        <v>0</v>
      </c>
      <c r="U41" s="2"/>
      <c r="V41" s="7">
        <f t="shared" si="13"/>
        <v>0</v>
      </c>
      <c r="W41" s="2"/>
      <c r="X41" s="6">
        <f t="shared" si="14"/>
        <v>0</v>
      </c>
      <c r="Y41" s="2"/>
      <c r="Z41" s="7">
        <f t="shared" si="15"/>
        <v>0</v>
      </c>
    </row>
    <row r="42" spans="1:26" s="29" customFormat="1" outlineLevel="1" collapsed="1" x14ac:dyDescent="0.3">
      <c r="A42" s="28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601.91999999999996</v>
      </c>
      <c r="E42" s="1"/>
      <c r="F42" s="5">
        <f t="shared" ref="F42:F50" si="16">IF(D$12=0,0,D42/D$12)</f>
        <v>0</v>
      </c>
      <c r="G42" s="1"/>
      <c r="H42" s="1">
        <f>SUM(OSRRefH22_2x_0)</f>
        <v>817</v>
      </c>
      <c r="I42" s="1"/>
      <c r="J42" s="5">
        <f t="shared" ref="J42:J50" si="17">IF(H$12=0,0,H42/H$12)</f>
        <v>0</v>
      </c>
      <c r="K42" s="1"/>
      <c r="L42" s="1">
        <f t="shared" ref="L42:L50" si="18">+D42-H42</f>
        <v>-215.08000000000004</v>
      </c>
      <c r="M42" s="1"/>
      <c r="N42" s="5">
        <f t="shared" ref="N42:N50" si="19">IF(H42=0,0,L42/H42)</f>
        <v>-0.2632558139534884</v>
      </c>
      <c r="O42" s="14"/>
      <c r="P42" s="1">
        <f>SUM(OSRRefP22_2x_0)</f>
        <v>1622.54</v>
      </c>
      <c r="Q42" s="1"/>
      <c r="R42" s="5">
        <f t="shared" ref="R42:R50" si="20">IF(P$12=0,0,P42/P$12)</f>
        <v>0</v>
      </c>
      <c r="S42" s="1"/>
      <c r="T42" s="1">
        <f>SUM(OSRRefT22_2x_0)</f>
        <v>3685</v>
      </c>
      <c r="U42" s="1"/>
      <c r="V42" s="5">
        <f t="shared" ref="V42:V50" si="21">IF(T$12=0,0,T42/T$12)</f>
        <v>0</v>
      </c>
      <c r="W42" s="1"/>
      <c r="X42" s="1">
        <f t="shared" ref="X42:X50" si="22">+P42-T42</f>
        <v>-2062.46</v>
      </c>
      <c r="Y42" s="1"/>
      <c r="Z42" s="5">
        <f t="shared" ref="Z42:Z50" si="23">IF(T42=0,0,X42/T42)</f>
        <v>-0.55969063772048844</v>
      </c>
    </row>
    <row r="43" spans="1:26" s="24" customFormat="1" hidden="1" outlineLevel="2" x14ac:dyDescent="0.3">
      <c r="A43" s="27"/>
      <c r="B43" s="11" t="str">
        <f>CONCATENATE("          ", "6362", " - ", "ADVERTISING EXPENSE")</f>
        <v xml:space="preserve">          6362 - ADVERTISING EXPENSE</v>
      </c>
      <c r="C43" s="11"/>
      <c r="D43" s="6">
        <v>601.91999999999996</v>
      </c>
      <c r="E43" s="2"/>
      <c r="F43" s="7">
        <f t="shared" si="16"/>
        <v>0</v>
      </c>
      <c r="G43" s="2"/>
      <c r="H43" s="6">
        <v>817</v>
      </c>
      <c r="I43" s="2"/>
      <c r="J43" s="7">
        <f t="shared" si="17"/>
        <v>0</v>
      </c>
      <c r="K43" s="2"/>
      <c r="L43" s="6">
        <f t="shared" si="18"/>
        <v>-215.08000000000004</v>
      </c>
      <c r="M43" s="2"/>
      <c r="N43" s="7">
        <f t="shared" si="19"/>
        <v>-0.2632558139534884</v>
      </c>
      <c r="O43" s="11"/>
      <c r="P43" s="6">
        <v>1622.54</v>
      </c>
      <c r="Q43" s="2"/>
      <c r="R43" s="7">
        <f t="shared" si="20"/>
        <v>0</v>
      </c>
      <c r="S43" s="2"/>
      <c r="T43" s="6">
        <v>3685</v>
      </c>
      <c r="U43" s="2"/>
      <c r="V43" s="7">
        <f t="shared" si="21"/>
        <v>0</v>
      </c>
      <c r="W43" s="2"/>
      <c r="X43" s="6">
        <f t="shared" si="22"/>
        <v>-2062.46</v>
      </c>
      <c r="Y43" s="2"/>
      <c r="Z43" s="7">
        <f t="shared" si="23"/>
        <v>-0.55969063772048844</v>
      </c>
    </row>
    <row r="44" spans="1:26" s="29" customFormat="1" outlineLevel="1" collapsed="1" x14ac:dyDescent="0.3">
      <c r="A44" s="28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3.42</v>
      </c>
      <c r="E44" s="1"/>
      <c r="F44" s="5">
        <f t="shared" si="16"/>
        <v>0</v>
      </c>
      <c r="G44" s="1"/>
      <c r="H44" s="1">
        <f>SUM(OSRRefH22_3x_0)</f>
        <v>1000</v>
      </c>
      <c r="I44" s="1"/>
      <c r="J44" s="5">
        <f t="shared" si="17"/>
        <v>0</v>
      </c>
      <c r="K44" s="1"/>
      <c r="L44" s="1">
        <f t="shared" si="18"/>
        <v>-996.58</v>
      </c>
      <c r="M44" s="1"/>
      <c r="N44" s="5">
        <f t="shared" si="19"/>
        <v>-0.99658000000000002</v>
      </c>
      <c r="O44" s="14"/>
      <c r="P44" s="1">
        <f>SUM(OSRRefP22_3x_0)</f>
        <v>5479.22</v>
      </c>
      <c r="Q44" s="1"/>
      <c r="R44" s="5">
        <f t="shared" si="20"/>
        <v>0</v>
      </c>
      <c r="S44" s="1"/>
      <c r="T44" s="1">
        <f>SUM(OSRRefT22_3x_0)</f>
        <v>16000</v>
      </c>
      <c r="U44" s="1"/>
      <c r="V44" s="5">
        <f t="shared" si="21"/>
        <v>0</v>
      </c>
      <c r="W44" s="1"/>
      <c r="X44" s="1">
        <f t="shared" si="22"/>
        <v>-10520.779999999999</v>
      </c>
      <c r="Y44" s="1"/>
      <c r="Z44" s="5">
        <f t="shared" si="23"/>
        <v>-0.6575487499999999</v>
      </c>
    </row>
    <row r="45" spans="1:26" s="24" customFormat="1" hidden="1" outlineLevel="2" x14ac:dyDescent="0.3">
      <c r="A45" s="27"/>
      <c r="B45" s="11" t="str">
        <f>CONCATENATE("          ", "6381", " - ", "BANK/CREDIT CARD FEES")</f>
        <v xml:space="preserve">          6381 - BANK/CREDIT CARD FEES</v>
      </c>
      <c r="C45" s="11"/>
      <c r="D45" s="6">
        <v>3.42</v>
      </c>
      <c r="E45" s="2"/>
      <c r="F45" s="7">
        <f t="shared" si="16"/>
        <v>0</v>
      </c>
      <c r="G45" s="2"/>
      <c r="H45" s="6">
        <v>1000</v>
      </c>
      <c r="I45" s="2"/>
      <c r="J45" s="7">
        <f t="shared" si="17"/>
        <v>0</v>
      </c>
      <c r="K45" s="2"/>
      <c r="L45" s="6">
        <f t="shared" si="18"/>
        <v>-996.58</v>
      </c>
      <c r="M45" s="2"/>
      <c r="N45" s="7">
        <f t="shared" si="19"/>
        <v>-0.99658000000000002</v>
      </c>
      <c r="O45" s="11"/>
      <c r="P45" s="6">
        <v>5479.22</v>
      </c>
      <c r="Q45" s="2"/>
      <c r="R45" s="7">
        <f t="shared" si="20"/>
        <v>0</v>
      </c>
      <c r="S45" s="2"/>
      <c r="T45" s="6">
        <v>16000</v>
      </c>
      <c r="U45" s="2"/>
      <c r="V45" s="7">
        <f t="shared" si="21"/>
        <v>0</v>
      </c>
      <c r="W45" s="2"/>
      <c r="X45" s="6">
        <f t="shared" si="22"/>
        <v>-10520.779999999999</v>
      </c>
      <c r="Y45" s="2"/>
      <c r="Z45" s="7">
        <f t="shared" si="23"/>
        <v>-0.6575487499999999</v>
      </c>
    </row>
    <row r="46" spans="1:26" s="29" customFormat="1" outlineLevel="1" collapsed="1" x14ac:dyDescent="0.3">
      <c r="A46" s="28"/>
      <c r="B46" s="14" t="str">
        <f>CONCATENATE("     ","Board                                             ")</f>
        <v xml:space="preserve">     Board                                             </v>
      </c>
      <c r="C46" s="14"/>
      <c r="D46" s="1">
        <f>SUM(OSRRefD22_4x_0)</f>
        <v>1560.09</v>
      </c>
      <c r="E46" s="1"/>
      <c r="F46" s="5">
        <f t="shared" si="16"/>
        <v>0</v>
      </c>
      <c r="G46" s="1"/>
      <c r="H46" s="1">
        <f>SUM(OSRRefH22_4x_0)</f>
        <v>2008</v>
      </c>
      <c r="I46" s="1"/>
      <c r="J46" s="5">
        <f t="shared" si="17"/>
        <v>0</v>
      </c>
      <c r="K46" s="1"/>
      <c r="L46" s="1">
        <f t="shared" si="18"/>
        <v>-447.91000000000008</v>
      </c>
      <c r="M46" s="1"/>
      <c r="N46" s="5">
        <f t="shared" si="19"/>
        <v>-0.2230627490039841</v>
      </c>
      <c r="O46" s="14"/>
      <c r="P46" s="1">
        <f>SUM(OSRRefP22_4x_0)</f>
        <v>6319.83</v>
      </c>
      <c r="Q46" s="1"/>
      <c r="R46" s="5">
        <f t="shared" si="20"/>
        <v>0</v>
      </c>
      <c r="S46" s="1"/>
      <c r="T46" s="1">
        <f>SUM(OSRRefT22_4x_0)</f>
        <v>6540</v>
      </c>
      <c r="U46" s="1"/>
      <c r="V46" s="5">
        <f t="shared" si="21"/>
        <v>0</v>
      </c>
      <c r="W46" s="1"/>
      <c r="X46" s="1">
        <f t="shared" si="22"/>
        <v>-220.17000000000007</v>
      </c>
      <c r="Y46" s="1"/>
      <c r="Z46" s="5">
        <f t="shared" si="23"/>
        <v>-3.366513761467891E-2</v>
      </c>
    </row>
    <row r="47" spans="1:26" s="24" customFormat="1" hidden="1" outlineLevel="2" x14ac:dyDescent="0.3">
      <c r="A47" s="27"/>
      <c r="B47" s="11" t="str">
        <f>CONCATENATE("          ", "6397", " - ", "BOARD EXPENSES")</f>
        <v xml:space="preserve">          6397 - BOARD EXPENSES</v>
      </c>
      <c r="C47" s="11"/>
      <c r="D47" s="6">
        <v>1560.09</v>
      </c>
      <c r="E47" s="2"/>
      <c r="F47" s="7">
        <f t="shared" si="16"/>
        <v>0</v>
      </c>
      <c r="G47" s="2"/>
      <c r="H47" s="6">
        <v>2008</v>
      </c>
      <c r="I47" s="2"/>
      <c r="J47" s="7">
        <f t="shared" si="17"/>
        <v>0</v>
      </c>
      <c r="K47" s="2"/>
      <c r="L47" s="6">
        <f t="shared" si="18"/>
        <v>-447.91000000000008</v>
      </c>
      <c r="M47" s="2"/>
      <c r="N47" s="7">
        <f t="shared" si="19"/>
        <v>-0.2230627490039841</v>
      </c>
      <c r="O47" s="11"/>
      <c r="P47" s="6">
        <v>6319.83</v>
      </c>
      <c r="Q47" s="2"/>
      <c r="R47" s="7">
        <f t="shared" si="20"/>
        <v>0</v>
      </c>
      <c r="S47" s="2"/>
      <c r="T47" s="6">
        <v>6540</v>
      </c>
      <c r="U47" s="2"/>
      <c r="V47" s="7">
        <f t="shared" si="21"/>
        <v>0</v>
      </c>
      <c r="W47" s="2"/>
      <c r="X47" s="6">
        <f t="shared" si="22"/>
        <v>-220.17000000000007</v>
      </c>
      <c r="Y47" s="2"/>
      <c r="Z47" s="7">
        <f t="shared" si="23"/>
        <v>-3.366513761467891E-2</v>
      </c>
    </row>
    <row r="48" spans="1:26" s="29" customFormat="1" outlineLevel="1" collapsed="1" x14ac:dyDescent="0.3">
      <c r="A48" s="28"/>
      <c r="B48" s="14" t="str">
        <f>CONCATENATE("     ","Depreciation                                      ")</f>
        <v xml:space="preserve">     Depreciation                                      </v>
      </c>
      <c r="C48" s="14"/>
      <c r="D48" s="1">
        <f>SUM(OSRRefD22_5x_0)</f>
        <v>4014.64</v>
      </c>
      <c r="E48" s="1"/>
      <c r="F48" s="5">
        <f t="shared" si="16"/>
        <v>0</v>
      </c>
      <c r="G48" s="1"/>
      <c r="H48" s="1">
        <f>SUM(OSRRefH22_5x_0)</f>
        <v>3973</v>
      </c>
      <c r="I48" s="1"/>
      <c r="J48" s="5">
        <f t="shared" si="17"/>
        <v>0</v>
      </c>
      <c r="K48" s="1"/>
      <c r="L48" s="1">
        <f t="shared" si="18"/>
        <v>41.639999999999873</v>
      </c>
      <c r="M48" s="1"/>
      <c r="N48" s="5">
        <f t="shared" si="19"/>
        <v>1.0480745028945349E-2</v>
      </c>
      <c r="O48" s="14"/>
      <c r="P48" s="1">
        <f>SUM(OSRRefP22_5x_0)</f>
        <v>28945.64</v>
      </c>
      <c r="Q48" s="1"/>
      <c r="R48" s="5">
        <f t="shared" si="20"/>
        <v>0</v>
      </c>
      <c r="S48" s="1"/>
      <c r="T48" s="1">
        <f>SUM(OSRRefT22_5x_0)</f>
        <v>28736</v>
      </c>
      <c r="U48" s="1"/>
      <c r="V48" s="5">
        <f t="shared" si="21"/>
        <v>0</v>
      </c>
      <c r="W48" s="1"/>
      <c r="X48" s="1">
        <f t="shared" si="22"/>
        <v>209.63999999999942</v>
      </c>
      <c r="Y48" s="1"/>
      <c r="Z48" s="5">
        <f t="shared" si="23"/>
        <v>7.2953786191536545E-3</v>
      </c>
    </row>
    <row r="49" spans="1:26" s="24" customFormat="1" hidden="1" outlineLevel="2" x14ac:dyDescent="0.3">
      <c r="A49" s="27"/>
      <c r="B49" s="11" t="str">
        <f>CONCATENATE("          ", "6322", " - ", "EQUIPMENT DEPRECIATION EXPENSE")</f>
        <v xml:space="preserve">          6322 - EQUIPMENT DEPRECIATION EXPENSE</v>
      </c>
      <c r="C49" s="11"/>
      <c r="D49" s="6">
        <v>4014.64</v>
      </c>
      <c r="E49" s="2"/>
      <c r="F49" s="7">
        <f t="shared" si="16"/>
        <v>0</v>
      </c>
      <c r="G49" s="2"/>
      <c r="H49" s="6">
        <v>3473</v>
      </c>
      <c r="I49" s="2"/>
      <c r="J49" s="7">
        <f t="shared" si="17"/>
        <v>0</v>
      </c>
      <c r="K49" s="2"/>
      <c r="L49" s="6">
        <f t="shared" si="18"/>
        <v>541.63999999999987</v>
      </c>
      <c r="M49" s="2"/>
      <c r="N49" s="7">
        <f t="shared" si="19"/>
        <v>0.15595738554563773</v>
      </c>
      <c r="O49" s="11"/>
      <c r="P49" s="6">
        <v>28945.64</v>
      </c>
      <c r="Q49" s="2"/>
      <c r="R49" s="7">
        <f t="shared" si="20"/>
        <v>0</v>
      </c>
      <c r="S49" s="2"/>
      <c r="T49" s="6">
        <v>26236</v>
      </c>
      <c r="U49" s="2"/>
      <c r="V49" s="7">
        <f t="shared" si="21"/>
        <v>0</v>
      </c>
      <c r="W49" s="2"/>
      <c r="X49" s="6">
        <f t="shared" si="22"/>
        <v>2709.6399999999994</v>
      </c>
      <c r="Y49" s="2"/>
      <c r="Z49" s="7">
        <f t="shared" si="23"/>
        <v>0.1032794633328251</v>
      </c>
    </row>
    <row r="50" spans="1:26" s="24" customFormat="1" hidden="1" outlineLevel="2" x14ac:dyDescent="0.3">
      <c r="A50" s="27"/>
      <c r="B50" s="11" t="str">
        <f>CONCATENATE("          ", "6324", " - ", "FURNITURE + FIXT DEPRECIATION")</f>
        <v xml:space="preserve">          6324 - FURNITURE + FIXT DEPRECIATION</v>
      </c>
      <c r="C50" s="11"/>
      <c r="D50" s="6"/>
      <c r="E50" s="2"/>
      <c r="F50" s="7">
        <f t="shared" si="16"/>
        <v>0</v>
      </c>
      <c r="G50" s="2"/>
      <c r="H50" s="6">
        <v>500</v>
      </c>
      <c r="I50" s="2"/>
      <c r="J50" s="7">
        <f t="shared" si="17"/>
        <v>0</v>
      </c>
      <c r="K50" s="2"/>
      <c r="L50" s="6">
        <f t="shared" si="18"/>
        <v>-500</v>
      </c>
      <c r="M50" s="2"/>
      <c r="N50" s="7">
        <f t="shared" si="19"/>
        <v>-1</v>
      </c>
      <c r="O50" s="11"/>
      <c r="P50" s="6"/>
      <c r="Q50" s="2"/>
      <c r="R50" s="7">
        <f t="shared" si="20"/>
        <v>0</v>
      </c>
      <c r="S50" s="2"/>
      <c r="T50" s="6">
        <v>2500</v>
      </c>
      <c r="U50" s="2"/>
      <c r="V50" s="7">
        <f t="shared" si="21"/>
        <v>0</v>
      </c>
      <c r="W50" s="2"/>
      <c r="X50" s="6">
        <f t="shared" si="22"/>
        <v>-2500</v>
      </c>
      <c r="Y50" s="2"/>
      <c r="Z50" s="7">
        <f t="shared" si="23"/>
        <v>-1</v>
      </c>
    </row>
    <row r="51" spans="1:26" s="29" customFormat="1" outlineLevel="1" collapsed="1" x14ac:dyDescent="0.3">
      <c r="A51" s="28"/>
      <c r="B51" s="14" t="str">
        <f>CONCATENATE("     ","Donations                                         ")</f>
        <v xml:space="preserve">     Donations                                         </v>
      </c>
      <c r="C51" s="14"/>
      <c r="D51" s="1">
        <f>SUM(OSRRefD22_6x_0)</f>
        <v>25000</v>
      </c>
      <c r="E51" s="1"/>
      <c r="F51" s="5">
        <f t="shared" ref="F51:F67" si="24">IF(D$12=0,0,D51/D$12)</f>
        <v>0</v>
      </c>
      <c r="G51" s="1"/>
      <c r="H51" s="1">
        <f>SUM(OSRRefH22_6x_0)</f>
        <v>500</v>
      </c>
      <c r="I51" s="1"/>
      <c r="J51" s="5">
        <f t="shared" ref="J51:J67" si="25">IF(H$12=0,0,H51/H$12)</f>
        <v>0</v>
      </c>
      <c r="K51" s="1"/>
      <c r="L51" s="1">
        <f t="shared" ref="L51:L67" si="26">+D51-H51</f>
        <v>24500</v>
      </c>
      <c r="M51" s="1"/>
      <c r="N51" s="5">
        <f t="shared" ref="N51:N67" si="27">IF(H51=0,0,L51/H51)</f>
        <v>49</v>
      </c>
      <c r="O51" s="14"/>
      <c r="P51" s="1">
        <f>SUM(OSRRefP22_6x_0)</f>
        <v>25000</v>
      </c>
      <c r="Q51" s="1"/>
      <c r="R51" s="5">
        <f t="shared" ref="R51:R67" si="28">IF(P$12=0,0,P51/P$12)</f>
        <v>0</v>
      </c>
      <c r="S51" s="1"/>
      <c r="T51" s="1">
        <f>SUM(OSRRefT22_6x_0)</f>
        <v>40950</v>
      </c>
      <c r="U51" s="1"/>
      <c r="V51" s="5">
        <f t="shared" ref="V51:V67" si="29">IF(T$12=0,0,T51/T$12)</f>
        <v>0</v>
      </c>
      <c r="W51" s="1"/>
      <c r="X51" s="1">
        <f t="shared" ref="X51:X67" si="30">+P51-T51</f>
        <v>-15950</v>
      </c>
      <c r="Y51" s="1"/>
      <c r="Z51" s="5">
        <f t="shared" ref="Z51:Z67" si="31">IF(T51=0,0,X51/T51)</f>
        <v>-0.3894993894993895</v>
      </c>
    </row>
    <row r="52" spans="1:26" s="24" customFormat="1" hidden="1" outlineLevel="2" x14ac:dyDescent="0.3">
      <c r="A52" s="27"/>
      <c r="B52" s="11" t="str">
        <f>CONCATENATE("          ", "6399", " - ", "DONATION-ON CAMPUS")</f>
        <v xml:space="preserve">          6399 - DONATION-ON CAMPUS</v>
      </c>
      <c r="C52" s="11"/>
      <c r="D52" s="6">
        <v>25000</v>
      </c>
      <c r="E52" s="2"/>
      <c r="F52" s="7">
        <f t="shared" si="24"/>
        <v>0</v>
      </c>
      <c r="G52" s="2"/>
      <c r="H52" s="6">
        <v>500</v>
      </c>
      <c r="I52" s="2"/>
      <c r="J52" s="7">
        <f t="shared" si="25"/>
        <v>0</v>
      </c>
      <c r="K52" s="2"/>
      <c r="L52" s="6">
        <f t="shared" si="26"/>
        <v>24500</v>
      </c>
      <c r="M52" s="2"/>
      <c r="N52" s="7">
        <f t="shared" si="27"/>
        <v>49</v>
      </c>
      <c r="O52" s="11"/>
      <c r="P52" s="6">
        <v>25000</v>
      </c>
      <c r="Q52" s="2"/>
      <c r="R52" s="7">
        <f t="shared" si="28"/>
        <v>0</v>
      </c>
      <c r="S52" s="2"/>
      <c r="T52" s="6">
        <v>40950</v>
      </c>
      <c r="U52" s="2"/>
      <c r="V52" s="7">
        <f t="shared" si="29"/>
        <v>0</v>
      </c>
      <c r="W52" s="2"/>
      <c r="X52" s="6">
        <f t="shared" si="30"/>
        <v>-15950</v>
      </c>
      <c r="Y52" s="2"/>
      <c r="Z52" s="7">
        <f t="shared" si="31"/>
        <v>-0.3894993894993895</v>
      </c>
    </row>
    <row r="53" spans="1:26" s="29" customFormat="1" outlineLevel="1" collapsed="1" x14ac:dyDescent="0.3">
      <c r="A53" s="28"/>
      <c r="B53" s="14" t="str">
        <f>CONCATENATE("     ","Employees' Appreciation                           ")</f>
        <v xml:space="preserve">     Employees' Appreciation                           </v>
      </c>
      <c r="C53" s="14"/>
      <c r="D53" s="1">
        <f>SUM(OSRRefD22_7x_0)</f>
        <v>0</v>
      </c>
      <c r="E53" s="1"/>
      <c r="F53" s="5">
        <f t="shared" si="24"/>
        <v>0</v>
      </c>
      <c r="G53" s="1"/>
      <c r="H53" s="1">
        <f>SUM(OSRRefH22_7x_0)</f>
        <v>250</v>
      </c>
      <c r="I53" s="1"/>
      <c r="J53" s="5">
        <f t="shared" si="25"/>
        <v>0</v>
      </c>
      <c r="K53" s="1"/>
      <c r="L53" s="1">
        <f t="shared" si="26"/>
        <v>-250</v>
      </c>
      <c r="M53" s="1"/>
      <c r="N53" s="5">
        <f t="shared" si="27"/>
        <v>-1</v>
      </c>
      <c r="O53" s="14"/>
      <c r="P53" s="1">
        <f>SUM(OSRRefP22_7x_0)</f>
        <v>0</v>
      </c>
      <c r="Q53" s="1"/>
      <c r="R53" s="5">
        <f t="shared" si="28"/>
        <v>0</v>
      </c>
      <c r="S53" s="1"/>
      <c r="T53" s="1">
        <f>SUM(OSRRefT22_7x_0)</f>
        <v>1750</v>
      </c>
      <c r="U53" s="1"/>
      <c r="V53" s="5">
        <f t="shared" si="29"/>
        <v>0</v>
      </c>
      <c r="W53" s="1"/>
      <c r="X53" s="1">
        <f t="shared" si="30"/>
        <v>-1750</v>
      </c>
      <c r="Y53" s="1"/>
      <c r="Z53" s="5">
        <f t="shared" si="31"/>
        <v>-1</v>
      </c>
    </row>
    <row r="54" spans="1:26" s="24" customFormat="1" hidden="1" outlineLevel="2" x14ac:dyDescent="0.3">
      <c r="A54" s="27"/>
      <c r="B54" s="11" t="str">
        <f>CONCATENATE("          ", "6277", " - ", "EMPLOYEE APPRECIATION")</f>
        <v xml:space="preserve">          6277 - EMPLOYEE APPRECIATION</v>
      </c>
      <c r="C54" s="11"/>
      <c r="D54" s="6"/>
      <c r="E54" s="2"/>
      <c r="F54" s="7">
        <f t="shared" si="24"/>
        <v>0</v>
      </c>
      <c r="G54" s="2"/>
      <c r="H54" s="6">
        <v>250</v>
      </c>
      <c r="I54" s="2"/>
      <c r="J54" s="7">
        <f t="shared" si="25"/>
        <v>0</v>
      </c>
      <c r="K54" s="2"/>
      <c r="L54" s="6">
        <f t="shared" si="26"/>
        <v>-250</v>
      </c>
      <c r="M54" s="2"/>
      <c r="N54" s="7">
        <f t="shared" si="27"/>
        <v>-1</v>
      </c>
      <c r="O54" s="11"/>
      <c r="P54" s="6"/>
      <c r="Q54" s="2"/>
      <c r="R54" s="7">
        <f t="shared" si="28"/>
        <v>0</v>
      </c>
      <c r="S54" s="2"/>
      <c r="T54" s="6">
        <v>1750</v>
      </c>
      <c r="U54" s="2"/>
      <c r="V54" s="7">
        <f t="shared" si="29"/>
        <v>0</v>
      </c>
      <c r="W54" s="2"/>
      <c r="X54" s="6">
        <f t="shared" si="30"/>
        <v>-1750</v>
      </c>
      <c r="Y54" s="2"/>
      <c r="Z54" s="7">
        <f t="shared" si="31"/>
        <v>-1</v>
      </c>
    </row>
    <row r="55" spans="1:26" s="29" customFormat="1" outlineLevel="1" collapsed="1" x14ac:dyDescent="0.3">
      <c r="A55" s="28"/>
      <c r="B55" s="14" t="str">
        <f>CONCATENATE("     ","Equipment Rental                                  ")</f>
        <v xml:space="preserve">     Equipment Rental                                  </v>
      </c>
      <c r="C55" s="14"/>
      <c r="D55" s="1">
        <f>SUM(OSRRefD22_8x_0)</f>
        <v>208.97</v>
      </c>
      <c r="E55" s="1"/>
      <c r="F55" s="5">
        <f t="shared" si="24"/>
        <v>0</v>
      </c>
      <c r="G55" s="1"/>
      <c r="H55" s="1">
        <f>SUM(OSRRefH22_8x_0)</f>
        <v>284</v>
      </c>
      <c r="I55" s="1"/>
      <c r="J55" s="5">
        <f t="shared" si="25"/>
        <v>0</v>
      </c>
      <c r="K55" s="1"/>
      <c r="L55" s="1">
        <f t="shared" si="26"/>
        <v>-75.03</v>
      </c>
      <c r="M55" s="1"/>
      <c r="N55" s="5">
        <f t="shared" si="27"/>
        <v>-0.26419014084507042</v>
      </c>
      <c r="O55" s="14"/>
      <c r="P55" s="1">
        <f>SUM(OSRRefP22_8x_0)</f>
        <v>1044.8499999999999</v>
      </c>
      <c r="Q55" s="1"/>
      <c r="R55" s="5">
        <f t="shared" si="28"/>
        <v>0</v>
      </c>
      <c r="S55" s="1"/>
      <c r="T55" s="1">
        <f>SUM(OSRRefT22_8x_0)</f>
        <v>1420</v>
      </c>
      <c r="U55" s="1"/>
      <c r="V55" s="5">
        <f t="shared" si="29"/>
        <v>0</v>
      </c>
      <c r="W55" s="1"/>
      <c r="X55" s="1">
        <f t="shared" si="30"/>
        <v>-375.15000000000009</v>
      </c>
      <c r="Y55" s="1"/>
      <c r="Z55" s="5">
        <f t="shared" si="31"/>
        <v>-0.26419014084507048</v>
      </c>
    </row>
    <row r="56" spans="1:26" s="24" customFormat="1" hidden="1" outlineLevel="2" x14ac:dyDescent="0.3">
      <c r="A56" s="27"/>
      <c r="B56" s="11" t="str">
        <f>CONCATENATE("          ", "6351", " - ", "EQUIPMENT RENTAL")</f>
        <v xml:space="preserve">          6351 - EQUIPMENT RENTAL</v>
      </c>
      <c r="C56" s="11"/>
      <c r="D56" s="6">
        <v>208.97</v>
      </c>
      <c r="E56" s="2"/>
      <c r="F56" s="7">
        <f t="shared" si="24"/>
        <v>0</v>
      </c>
      <c r="G56" s="2"/>
      <c r="H56" s="6">
        <v>284</v>
      </c>
      <c r="I56" s="2"/>
      <c r="J56" s="7">
        <f t="shared" si="25"/>
        <v>0</v>
      </c>
      <c r="K56" s="2"/>
      <c r="L56" s="6">
        <f t="shared" si="26"/>
        <v>-75.03</v>
      </c>
      <c r="M56" s="2"/>
      <c r="N56" s="7">
        <f t="shared" si="27"/>
        <v>-0.26419014084507042</v>
      </c>
      <c r="O56" s="11"/>
      <c r="P56" s="6">
        <v>1044.8499999999999</v>
      </c>
      <c r="Q56" s="2"/>
      <c r="R56" s="7">
        <f t="shared" si="28"/>
        <v>0</v>
      </c>
      <c r="S56" s="2"/>
      <c r="T56" s="6">
        <v>1420</v>
      </c>
      <c r="U56" s="2"/>
      <c r="V56" s="7">
        <f t="shared" si="29"/>
        <v>0</v>
      </c>
      <c r="W56" s="2"/>
      <c r="X56" s="6">
        <f t="shared" si="30"/>
        <v>-375.15000000000009</v>
      </c>
      <c r="Y56" s="2"/>
      <c r="Z56" s="7">
        <f t="shared" si="31"/>
        <v>-0.26419014084507048</v>
      </c>
    </row>
    <row r="57" spans="1:26" s="29" customFormat="1" outlineLevel="1" collapsed="1" x14ac:dyDescent="0.3">
      <c r="A57" s="28"/>
      <c r="B57" s="14" t="str">
        <f>CONCATENATE("     ","Freight out/Postage                               ")</f>
        <v xml:space="preserve">     Freight out/Postage                               </v>
      </c>
      <c r="C57" s="14"/>
      <c r="D57" s="1">
        <f>SUM(OSRRefD22_9x_0)</f>
        <v>134.22</v>
      </c>
      <c r="E57" s="1"/>
      <c r="F57" s="5">
        <f t="shared" si="24"/>
        <v>0</v>
      </c>
      <c r="G57" s="1"/>
      <c r="H57" s="1">
        <f>SUM(OSRRefH22_9x_0)</f>
        <v>435</v>
      </c>
      <c r="I57" s="1"/>
      <c r="J57" s="5">
        <f t="shared" si="25"/>
        <v>0</v>
      </c>
      <c r="K57" s="1"/>
      <c r="L57" s="1">
        <f t="shared" si="26"/>
        <v>-300.77999999999997</v>
      </c>
      <c r="M57" s="1"/>
      <c r="N57" s="5">
        <f t="shared" si="27"/>
        <v>-0.69144827586206892</v>
      </c>
      <c r="O57" s="14"/>
      <c r="P57" s="1">
        <f>SUM(OSRRefP22_9x_0)</f>
        <v>863.12</v>
      </c>
      <c r="Q57" s="1"/>
      <c r="R57" s="5">
        <f t="shared" si="28"/>
        <v>0</v>
      </c>
      <c r="S57" s="1"/>
      <c r="T57" s="1">
        <f>SUM(OSRRefT22_9x_0)</f>
        <v>1010</v>
      </c>
      <c r="U57" s="1"/>
      <c r="V57" s="5">
        <f t="shared" si="29"/>
        <v>0</v>
      </c>
      <c r="W57" s="1"/>
      <c r="X57" s="1">
        <f t="shared" si="30"/>
        <v>-146.88</v>
      </c>
      <c r="Y57" s="1"/>
      <c r="Z57" s="5">
        <f t="shared" si="31"/>
        <v>-0.14542574257425742</v>
      </c>
    </row>
    <row r="58" spans="1:26" s="24" customFormat="1" hidden="1" outlineLevel="2" x14ac:dyDescent="0.3">
      <c r="A58" s="27"/>
      <c r="B58" s="11" t="str">
        <f>CONCATENATE("          ", "6307", " - ", "POSTAGE")</f>
        <v xml:space="preserve">          6307 - POSTAGE</v>
      </c>
      <c r="C58" s="11"/>
      <c r="D58" s="6">
        <v>134.22</v>
      </c>
      <c r="E58" s="2"/>
      <c r="F58" s="7">
        <f t="shared" si="24"/>
        <v>0</v>
      </c>
      <c r="G58" s="2"/>
      <c r="H58" s="6">
        <v>435</v>
      </c>
      <c r="I58" s="2"/>
      <c r="J58" s="7">
        <f t="shared" si="25"/>
        <v>0</v>
      </c>
      <c r="K58" s="2"/>
      <c r="L58" s="6">
        <f t="shared" si="26"/>
        <v>-300.77999999999997</v>
      </c>
      <c r="M58" s="2"/>
      <c r="N58" s="7">
        <f t="shared" si="27"/>
        <v>-0.69144827586206892</v>
      </c>
      <c r="O58" s="11"/>
      <c r="P58" s="6">
        <v>863.12</v>
      </c>
      <c r="Q58" s="2"/>
      <c r="R58" s="7">
        <f t="shared" si="28"/>
        <v>0</v>
      </c>
      <c r="S58" s="2"/>
      <c r="T58" s="6">
        <v>1010</v>
      </c>
      <c r="U58" s="2"/>
      <c r="V58" s="7">
        <f t="shared" si="29"/>
        <v>0</v>
      </c>
      <c r="W58" s="2"/>
      <c r="X58" s="6">
        <f t="shared" si="30"/>
        <v>-146.88</v>
      </c>
      <c r="Y58" s="2"/>
      <c r="Z58" s="7">
        <f t="shared" si="31"/>
        <v>-0.14542574257425742</v>
      </c>
    </row>
    <row r="59" spans="1:26" s="29" customFormat="1" outlineLevel="1" collapsed="1" x14ac:dyDescent="0.3">
      <c r="A59" s="28"/>
      <c r="B59" s="14" t="str">
        <f>CONCATENATE("     ","General                                           ")</f>
        <v xml:space="preserve">     General                                           </v>
      </c>
      <c r="C59" s="14"/>
      <c r="D59" s="1">
        <f>SUM(OSRRefD22_10x_0)</f>
        <v>182</v>
      </c>
      <c r="E59" s="1"/>
      <c r="F59" s="5">
        <f t="shared" si="24"/>
        <v>0</v>
      </c>
      <c r="G59" s="1"/>
      <c r="H59" s="1">
        <f>SUM(OSRRefH22_10x_0)</f>
        <v>-150</v>
      </c>
      <c r="I59" s="1"/>
      <c r="J59" s="5">
        <f t="shared" si="25"/>
        <v>0</v>
      </c>
      <c r="K59" s="1"/>
      <c r="L59" s="1">
        <f t="shared" si="26"/>
        <v>332</v>
      </c>
      <c r="M59" s="1"/>
      <c r="N59" s="5">
        <f t="shared" si="27"/>
        <v>-2.2133333333333334</v>
      </c>
      <c r="O59" s="14"/>
      <c r="P59" s="1">
        <f>SUM(OSRRefP22_10x_0)</f>
        <v>1584.18</v>
      </c>
      <c r="Q59" s="1"/>
      <c r="R59" s="5">
        <f t="shared" si="28"/>
        <v>0</v>
      </c>
      <c r="S59" s="1"/>
      <c r="T59" s="1">
        <f>SUM(OSRRefT22_10x_0)</f>
        <v>-450</v>
      </c>
      <c r="U59" s="1"/>
      <c r="V59" s="5">
        <f t="shared" si="29"/>
        <v>0</v>
      </c>
      <c r="W59" s="1"/>
      <c r="X59" s="1">
        <f t="shared" si="30"/>
        <v>2034.18</v>
      </c>
      <c r="Y59" s="1"/>
      <c r="Z59" s="5">
        <f t="shared" si="31"/>
        <v>-4.5204000000000004</v>
      </c>
    </row>
    <row r="60" spans="1:26" s="24" customFormat="1" hidden="1" outlineLevel="2" x14ac:dyDescent="0.3">
      <c r="A60" s="27"/>
      <c r="B60" s="11" t="str">
        <f>CONCATENATE("          ", "6279", " - ", "GENERAL EXPENSE")</f>
        <v xml:space="preserve">          6279 - GENERAL EXPENSE</v>
      </c>
      <c r="C60" s="11"/>
      <c r="D60" s="6">
        <v>182</v>
      </c>
      <c r="E60" s="2"/>
      <c r="F60" s="7">
        <f t="shared" si="24"/>
        <v>0</v>
      </c>
      <c r="G60" s="2"/>
      <c r="H60" s="6">
        <v>-150</v>
      </c>
      <c r="I60" s="2"/>
      <c r="J60" s="7">
        <f t="shared" si="25"/>
        <v>0</v>
      </c>
      <c r="K60" s="2"/>
      <c r="L60" s="6">
        <f t="shared" si="26"/>
        <v>332</v>
      </c>
      <c r="M60" s="2"/>
      <c r="N60" s="7">
        <f t="shared" si="27"/>
        <v>-2.2133333333333334</v>
      </c>
      <c r="O60" s="11"/>
      <c r="P60" s="6">
        <v>1584.18</v>
      </c>
      <c r="Q60" s="2"/>
      <c r="R60" s="7">
        <f t="shared" si="28"/>
        <v>0</v>
      </c>
      <c r="S60" s="2"/>
      <c r="T60" s="6">
        <v>-450</v>
      </c>
      <c r="U60" s="2"/>
      <c r="V60" s="7">
        <f t="shared" si="29"/>
        <v>0</v>
      </c>
      <c r="W60" s="2"/>
      <c r="X60" s="6">
        <f t="shared" si="30"/>
        <v>2034.18</v>
      </c>
      <c r="Y60" s="2"/>
      <c r="Z60" s="7">
        <f t="shared" si="31"/>
        <v>-4.5204000000000004</v>
      </c>
    </row>
    <row r="61" spans="1:26" s="29" customFormat="1" outlineLevel="1" collapsed="1" x14ac:dyDescent="0.3">
      <c r="A61" s="28"/>
      <c r="B61" s="14" t="str">
        <f>CONCATENATE("     ","Insurance                                         ")</f>
        <v xml:space="preserve">     Insurance                                         </v>
      </c>
      <c r="C61" s="14"/>
      <c r="D61" s="1">
        <f>SUM(OSRRefD22_11x_0)</f>
        <v>535.05999999999995</v>
      </c>
      <c r="E61" s="1"/>
      <c r="F61" s="5">
        <f t="shared" si="24"/>
        <v>0</v>
      </c>
      <c r="G61" s="1"/>
      <c r="H61" s="1">
        <f>SUM(OSRRefH22_11x_0)</f>
        <v>530</v>
      </c>
      <c r="I61" s="1"/>
      <c r="J61" s="5">
        <f t="shared" si="25"/>
        <v>0</v>
      </c>
      <c r="K61" s="1"/>
      <c r="L61" s="1">
        <f t="shared" si="26"/>
        <v>5.0599999999999454</v>
      </c>
      <c r="M61" s="1"/>
      <c r="N61" s="5">
        <f t="shared" si="27"/>
        <v>9.5471698113206525E-3</v>
      </c>
      <c r="O61" s="14"/>
      <c r="P61" s="1">
        <f>SUM(OSRRefP22_11x_0)</f>
        <v>2675.3</v>
      </c>
      <c r="Q61" s="1"/>
      <c r="R61" s="5">
        <f t="shared" si="28"/>
        <v>0</v>
      </c>
      <c r="S61" s="1"/>
      <c r="T61" s="1">
        <f>SUM(OSRRefT22_11x_0)</f>
        <v>2650</v>
      </c>
      <c r="U61" s="1"/>
      <c r="V61" s="5">
        <f t="shared" si="29"/>
        <v>0</v>
      </c>
      <c r="W61" s="1"/>
      <c r="X61" s="1">
        <f t="shared" si="30"/>
        <v>25.300000000000182</v>
      </c>
      <c r="Y61" s="1"/>
      <c r="Z61" s="5">
        <f t="shared" si="31"/>
        <v>9.5471698113208242E-3</v>
      </c>
    </row>
    <row r="62" spans="1:26" s="24" customFormat="1" hidden="1" outlineLevel="2" x14ac:dyDescent="0.3">
      <c r="A62" s="27"/>
      <c r="B62" s="11" t="str">
        <f>CONCATENATE("          ", "6314", " - ", "LIABILITY INSURANCE")</f>
        <v xml:space="preserve">          6314 - LIABILITY INSURANCE</v>
      </c>
      <c r="C62" s="11"/>
      <c r="D62" s="6">
        <v>535.05999999999995</v>
      </c>
      <c r="E62" s="2"/>
      <c r="F62" s="7">
        <f t="shared" si="24"/>
        <v>0</v>
      </c>
      <c r="G62" s="2"/>
      <c r="H62" s="6">
        <v>530</v>
      </c>
      <c r="I62" s="2"/>
      <c r="J62" s="7">
        <f t="shared" si="25"/>
        <v>0</v>
      </c>
      <c r="K62" s="2"/>
      <c r="L62" s="6">
        <f t="shared" si="26"/>
        <v>5.0599999999999454</v>
      </c>
      <c r="M62" s="2"/>
      <c r="N62" s="7">
        <f t="shared" si="27"/>
        <v>9.5471698113206525E-3</v>
      </c>
      <c r="O62" s="11"/>
      <c r="P62" s="6">
        <v>2675.3</v>
      </c>
      <c r="Q62" s="2"/>
      <c r="R62" s="7">
        <f t="shared" si="28"/>
        <v>0</v>
      </c>
      <c r="S62" s="2"/>
      <c r="T62" s="6">
        <v>2650</v>
      </c>
      <c r="U62" s="2"/>
      <c r="V62" s="7">
        <f t="shared" si="29"/>
        <v>0</v>
      </c>
      <c r="W62" s="2"/>
      <c r="X62" s="6">
        <f t="shared" si="30"/>
        <v>25.300000000000182</v>
      </c>
      <c r="Y62" s="2"/>
      <c r="Z62" s="7">
        <f t="shared" si="31"/>
        <v>9.5471698113208242E-3</v>
      </c>
    </row>
    <row r="63" spans="1:26" s="29" customFormat="1" outlineLevel="1" collapsed="1" x14ac:dyDescent="0.3">
      <c r="A63" s="28"/>
      <c r="B63" s="14" t="str">
        <f>CONCATENATE("     ","Professional Services                             ")</f>
        <v xml:space="preserve">     Professional Services                             </v>
      </c>
      <c r="C63" s="14"/>
      <c r="D63" s="1">
        <f>SUM(OSRRefD22_12x_0)</f>
        <v>16700</v>
      </c>
      <c r="E63" s="1"/>
      <c r="F63" s="5">
        <f t="shared" si="24"/>
        <v>0</v>
      </c>
      <c r="G63" s="1"/>
      <c r="H63" s="1">
        <f>SUM(OSRRefH22_12x_0)</f>
        <v>30166</v>
      </c>
      <c r="I63" s="1"/>
      <c r="J63" s="5">
        <f t="shared" si="25"/>
        <v>0</v>
      </c>
      <c r="K63" s="1"/>
      <c r="L63" s="1">
        <f t="shared" si="26"/>
        <v>-13466</v>
      </c>
      <c r="M63" s="1"/>
      <c r="N63" s="5">
        <f t="shared" si="27"/>
        <v>-0.44639660544984422</v>
      </c>
      <c r="O63" s="14"/>
      <c r="P63" s="1">
        <f>SUM(OSRRefP22_12x_0)</f>
        <v>82314.87</v>
      </c>
      <c r="Q63" s="1"/>
      <c r="R63" s="5">
        <f t="shared" si="28"/>
        <v>0</v>
      </c>
      <c r="S63" s="1"/>
      <c r="T63" s="1">
        <f>SUM(OSRRefT22_12x_0)</f>
        <v>95830</v>
      </c>
      <c r="U63" s="1"/>
      <c r="V63" s="5">
        <f t="shared" si="29"/>
        <v>0</v>
      </c>
      <c r="W63" s="1"/>
      <c r="X63" s="1">
        <f t="shared" si="30"/>
        <v>-13515.130000000005</v>
      </c>
      <c r="Y63" s="1"/>
      <c r="Z63" s="5">
        <f t="shared" si="31"/>
        <v>-0.14103234895126793</v>
      </c>
    </row>
    <row r="64" spans="1:26" s="24" customFormat="1" hidden="1" outlineLevel="2" x14ac:dyDescent="0.3">
      <c r="A64" s="27"/>
      <c r="B64" s="11" t="str">
        <f>CONCATENATE("          ", "6331", " - ", "INDIRECT COSTS-AUXILIARY ORGAN")</f>
        <v xml:space="preserve">          6331 - INDIRECT COSTS-AUXILIARY ORGAN</v>
      </c>
      <c r="C64" s="11"/>
      <c r="D64" s="6">
        <v>13250</v>
      </c>
      <c r="E64" s="2"/>
      <c r="F64" s="7">
        <f t="shared" si="24"/>
        <v>0</v>
      </c>
      <c r="G64" s="2"/>
      <c r="H64" s="6">
        <v>19000</v>
      </c>
      <c r="I64" s="2"/>
      <c r="J64" s="7">
        <f t="shared" si="25"/>
        <v>0</v>
      </c>
      <c r="K64" s="2"/>
      <c r="L64" s="6">
        <f t="shared" si="26"/>
        <v>-5750</v>
      </c>
      <c r="M64" s="2"/>
      <c r="N64" s="7">
        <f t="shared" si="27"/>
        <v>-0.30263157894736842</v>
      </c>
      <c r="O64" s="11"/>
      <c r="P64" s="6">
        <v>69175.5</v>
      </c>
      <c r="Q64" s="2"/>
      <c r="R64" s="7">
        <f t="shared" si="28"/>
        <v>0</v>
      </c>
      <c r="S64" s="2"/>
      <c r="T64" s="6">
        <v>72000</v>
      </c>
      <c r="U64" s="2"/>
      <c r="V64" s="7">
        <f t="shared" si="29"/>
        <v>0</v>
      </c>
      <c r="W64" s="2"/>
      <c r="X64" s="6">
        <f t="shared" si="30"/>
        <v>-2824.5</v>
      </c>
      <c r="Y64" s="2"/>
      <c r="Z64" s="7">
        <f t="shared" si="31"/>
        <v>-3.9229166666666669E-2</v>
      </c>
    </row>
    <row r="65" spans="1:26" s="24" customFormat="1" hidden="1" outlineLevel="2" x14ac:dyDescent="0.3">
      <c r="A65" s="27"/>
      <c r="B65" s="11" t="str">
        <f>CONCATENATE("          ", "6332", " - ", "CONSULTANT FEES")</f>
        <v xml:space="preserve">          6332 - CONSULTANT FEES</v>
      </c>
      <c r="C65" s="11"/>
      <c r="D65" s="6"/>
      <c r="E65" s="2"/>
      <c r="F65" s="7">
        <f t="shared" si="24"/>
        <v>0</v>
      </c>
      <c r="G65" s="2"/>
      <c r="H65" s="6">
        <v>3000</v>
      </c>
      <c r="I65" s="2"/>
      <c r="J65" s="7">
        <f t="shared" si="25"/>
        <v>0</v>
      </c>
      <c r="K65" s="2"/>
      <c r="L65" s="6">
        <f t="shared" si="26"/>
        <v>-3000</v>
      </c>
      <c r="M65" s="2"/>
      <c r="N65" s="7">
        <f t="shared" si="27"/>
        <v>-1</v>
      </c>
      <c r="O65" s="11"/>
      <c r="P65" s="6"/>
      <c r="Q65" s="2"/>
      <c r="R65" s="7">
        <f t="shared" si="28"/>
        <v>0</v>
      </c>
      <c r="S65" s="2"/>
      <c r="T65" s="6">
        <v>8000</v>
      </c>
      <c r="U65" s="2"/>
      <c r="V65" s="7">
        <f t="shared" si="29"/>
        <v>0</v>
      </c>
      <c r="W65" s="2"/>
      <c r="X65" s="6">
        <f t="shared" si="30"/>
        <v>-8000</v>
      </c>
      <c r="Y65" s="2"/>
      <c r="Z65" s="7">
        <f t="shared" si="31"/>
        <v>-1</v>
      </c>
    </row>
    <row r="66" spans="1:26" s="24" customFormat="1" hidden="1" outlineLevel="2" x14ac:dyDescent="0.3">
      <c r="A66" s="27"/>
      <c r="B66" s="11" t="str">
        <f>CONCATENATE("          ", "6334", " - ", "LEGAL COUNCIL EXPENSE")</f>
        <v xml:space="preserve">          6334 - LEGAL COUNCIL EXPENSE</v>
      </c>
      <c r="C66" s="11"/>
      <c r="D66" s="6">
        <v>125</v>
      </c>
      <c r="E66" s="2"/>
      <c r="F66" s="7">
        <f t="shared" si="24"/>
        <v>0</v>
      </c>
      <c r="G66" s="2"/>
      <c r="H66" s="6">
        <v>2333</v>
      </c>
      <c r="I66" s="2"/>
      <c r="J66" s="7">
        <f t="shared" si="25"/>
        <v>0</v>
      </c>
      <c r="K66" s="2"/>
      <c r="L66" s="6">
        <f t="shared" si="26"/>
        <v>-2208</v>
      </c>
      <c r="M66" s="2"/>
      <c r="N66" s="7">
        <f t="shared" si="27"/>
        <v>-0.94642091727389632</v>
      </c>
      <c r="O66" s="11"/>
      <c r="P66" s="6">
        <v>3455</v>
      </c>
      <c r="Q66" s="2"/>
      <c r="R66" s="7">
        <f t="shared" si="28"/>
        <v>0</v>
      </c>
      <c r="S66" s="2"/>
      <c r="T66" s="6">
        <v>6665</v>
      </c>
      <c r="U66" s="2"/>
      <c r="V66" s="7">
        <f t="shared" si="29"/>
        <v>0</v>
      </c>
      <c r="W66" s="2"/>
      <c r="X66" s="6">
        <f t="shared" si="30"/>
        <v>-3210</v>
      </c>
      <c r="Y66" s="2"/>
      <c r="Z66" s="7">
        <f t="shared" si="31"/>
        <v>-0.4816204051012753</v>
      </c>
    </row>
    <row r="67" spans="1:26" s="24" customFormat="1" hidden="1" outlineLevel="2" x14ac:dyDescent="0.3">
      <c r="A67" s="27"/>
      <c r="B67" s="11" t="str">
        <f>CONCATENATE("          ", "6336", " - ", "PROFESSIONAL SERVICES")</f>
        <v xml:space="preserve">          6336 - PROFESSIONAL SERVICES</v>
      </c>
      <c r="C67" s="11"/>
      <c r="D67" s="6">
        <v>3325</v>
      </c>
      <c r="E67" s="2"/>
      <c r="F67" s="7">
        <f t="shared" si="24"/>
        <v>0</v>
      </c>
      <c r="G67" s="2"/>
      <c r="H67" s="6">
        <v>5833</v>
      </c>
      <c r="I67" s="2"/>
      <c r="J67" s="7">
        <f t="shared" si="25"/>
        <v>0</v>
      </c>
      <c r="K67" s="2"/>
      <c r="L67" s="6">
        <f t="shared" si="26"/>
        <v>-2508</v>
      </c>
      <c r="M67" s="2"/>
      <c r="N67" s="7">
        <f t="shared" si="27"/>
        <v>-0.42996742671009774</v>
      </c>
      <c r="O67" s="11"/>
      <c r="P67" s="6">
        <v>9684.3700000000008</v>
      </c>
      <c r="Q67" s="2"/>
      <c r="R67" s="7">
        <f t="shared" si="28"/>
        <v>0</v>
      </c>
      <c r="S67" s="2"/>
      <c r="T67" s="6">
        <v>9165</v>
      </c>
      <c r="U67" s="2"/>
      <c r="V67" s="7">
        <f t="shared" si="29"/>
        <v>0</v>
      </c>
      <c r="W67" s="2"/>
      <c r="X67" s="6">
        <f t="shared" si="30"/>
        <v>519.3700000000008</v>
      </c>
      <c r="Y67" s="2"/>
      <c r="Z67" s="7">
        <f t="shared" si="31"/>
        <v>5.6668848881614928E-2</v>
      </c>
    </row>
    <row r="68" spans="1:26" s="29" customFormat="1" outlineLevel="1" collapsed="1" x14ac:dyDescent="0.3">
      <c r="A68" s="28"/>
      <c r="B68" s="14" t="str">
        <f>CONCATENATE("     ","Repair and Maintenance                            ")</f>
        <v xml:space="preserve">     Repair and Maintenance                            </v>
      </c>
      <c r="C68" s="14"/>
      <c r="D68" s="1">
        <f>SUM(OSRRefD22_13x_0)</f>
        <v>19678.11</v>
      </c>
      <c r="E68" s="1"/>
      <c r="F68" s="5">
        <f t="shared" ref="F68:F72" si="32">IF(D$12=0,0,D68/D$12)</f>
        <v>0</v>
      </c>
      <c r="G68" s="1"/>
      <c r="H68" s="1">
        <f>SUM(OSRRefH22_13x_0)</f>
        <v>22307</v>
      </c>
      <c r="I68" s="1"/>
      <c r="J68" s="5">
        <f t="shared" ref="J68:J72" si="33">IF(H$12=0,0,H68/H$12)</f>
        <v>0</v>
      </c>
      <c r="K68" s="1"/>
      <c r="L68" s="1">
        <f t="shared" ref="L68:L72" si="34">+D68-H68</f>
        <v>-2628.8899999999994</v>
      </c>
      <c r="M68" s="1"/>
      <c r="N68" s="5">
        <f t="shared" ref="N68:N72" si="35">IF(H68=0,0,L68/H68)</f>
        <v>-0.11785045053122335</v>
      </c>
      <c r="O68" s="14"/>
      <c r="P68" s="1">
        <f>SUM(OSRRefP22_13x_0)</f>
        <v>91425.16</v>
      </c>
      <c r="Q68" s="1"/>
      <c r="R68" s="5">
        <f t="shared" ref="R68:R72" si="36">IF(P$12=0,0,P68/P$12)</f>
        <v>0</v>
      </c>
      <c r="S68" s="1"/>
      <c r="T68" s="1">
        <f>SUM(OSRRefT22_13x_0)</f>
        <v>113135</v>
      </c>
      <c r="U68" s="1"/>
      <c r="V68" s="5">
        <f t="shared" ref="V68:V72" si="37">IF(T$12=0,0,T68/T$12)</f>
        <v>0</v>
      </c>
      <c r="W68" s="1"/>
      <c r="X68" s="1">
        <f t="shared" ref="X68:X72" si="38">+P68-T68</f>
        <v>-21709.839999999997</v>
      </c>
      <c r="Y68" s="1"/>
      <c r="Z68" s="5">
        <f t="shared" ref="Z68:Z72" si="39">IF(T68=0,0,X68/T68)</f>
        <v>-0.19189322490829536</v>
      </c>
    </row>
    <row r="69" spans="1:26" s="24" customFormat="1" hidden="1" outlineLevel="2" x14ac:dyDescent="0.3">
      <c r="A69" s="27"/>
      <c r="B69" s="11" t="str">
        <f>CONCATENATE("          ", "6371", " - ", "COMPUTER SOFTWARE MAINTENANCE")</f>
        <v xml:space="preserve">          6371 - COMPUTER SOFTWARE MAINTENANCE</v>
      </c>
      <c r="C69" s="11"/>
      <c r="D69" s="6">
        <v>6466.12</v>
      </c>
      <c r="E69" s="2"/>
      <c r="F69" s="7">
        <f t="shared" si="32"/>
        <v>0</v>
      </c>
      <c r="G69" s="2"/>
      <c r="H69" s="6">
        <v>9600</v>
      </c>
      <c r="I69" s="2"/>
      <c r="J69" s="7">
        <f t="shared" si="33"/>
        <v>0</v>
      </c>
      <c r="K69" s="2"/>
      <c r="L69" s="6">
        <f t="shared" si="34"/>
        <v>-3133.88</v>
      </c>
      <c r="M69" s="2"/>
      <c r="N69" s="7">
        <f t="shared" si="35"/>
        <v>-0.32644583333333332</v>
      </c>
      <c r="O69" s="11"/>
      <c r="P69" s="6">
        <v>28187.41</v>
      </c>
      <c r="Q69" s="2"/>
      <c r="R69" s="7">
        <f t="shared" si="36"/>
        <v>0</v>
      </c>
      <c r="S69" s="2"/>
      <c r="T69" s="6">
        <v>48000</v>
      </c>
      <c r="U69" s="2"/>
      <c r="V69" s="7">
        <f t="shared" si="37"/>
        <v>0</v>
      </c>
      <c r="W69" s="2"/>
      <c r="X69" s="6">
        <f t="shared" si="38"/>
        <v>-19812.59</v>
      </c>
      <c r="Y69" s="2"/>
      <c r="Z69" s="7">
        <f t="shared" si="39"/>
        <v>-0.41276229166666667</v>
      </c>
    </row>
    <row r="70" spans="1:26" s="24" customFormat="1" hidden="1" outlineLevel="2" x14ac:dyDescent="0.3">
      <c r="A70" s="27"/>
      <c r="B70" s="11" t="str">
        <f>CONCATENATE("          ", "6372", " - ", "COMPUTER HARDWARE MAINTENANCE")</f>
        <v xml:space="preserve">          6372 - COMPUTER HARDWARE MAINTENANCE</v>
      </c>
      <c r="C70" s="11"/>
      <c r="D70" s="6"/>
      <c r="E70" s="2"/>
      <c r="F70" s="7">
        <f t="shared" si="32"/>
        <v>0</v>
      </c>
      <c r="G70" s="2"/>
      <c r="H70" s="6">
        <v>0</v>
      </c>
      <c r="I70" s="2"/>
      <c r="J70" s="7">
        <f t="shared" si="33"/>
        <v>0</v>
      </c>
      <c r="K70" s="2"/>
      <c r="L70" s="6">
        <f t="shared" si="34"/>
        <v>0</v>
      </c>
      <c r="M70" s="2"/>
      <c r="N70" s="7">
        <f t="shared" si="35"/>
        <v>0</v>
      </c>
      <c r="O70" s="11"/>
      <c r="P70" s="6">
        <v>1008.07</v>
      </c>
      <c r="Q70" s="2"/>
      <c r="R70" s="7">
        <f t="shared" si="36"/>
        <v>0</v>
      </c>
      <c r="S70" s="2"/>
      <c r="T70" s="6">
        <v>3000</v>
      </c>
      <c r="U70" s="2"/>
      <c r="V70" s="7">
        <f t="shared" si="37"/>
        <v>0</v>
      </c>
      <c r="W70" s="2"/>
      <c r="X70" s="6">
        <f t="shared" si="38"/>
        <v>-1991.9299999999998</v>
      </c>
      <c r="Y70" s="2"/>
      <c r="Z70" s="7">
        <f t="shared" si="39"/>
        <v>-0.66397666666666666</v>
      </c>
    </row>
    <row r="71" spans="1:26" s="24" customFormat="1" hidden="1" outlineLevel="2" x14ac:dyDescent="0.3">
      <c r="A71" s="27"/>
      <c r="B71" s="11" t="str">
        <f>CONCATENATE("          ", "6373", " - ", "MAINTENANCE CONTRACTS")</f>
        <v xml:space="preserve">          6373 - MAINTENANCE CONTRACTS</v>
      </c>
      <c r="C71" s="11"/>
      <c r="D71" s="6">
        <v>13211.99</v>
      </c>
      <c r="E71" s="2"/>
      <c r="F71" s="7">
        <f t="shared" si="32"/>
        <v>0</v>
      </c>
      <c r="G71" s="2"/>
      <c r="H71" s="6">
        <v>12557</v>
      </c>
      <c r="I71" s="2"/>
      <c r="J71" s="7">
        <f t="shared" si="33"/>
        <v>0</v>
      </c>
      <c r="K71" s="2"/>
      <c r="L71" s="6">
        <f t="shared" si="34"/>
        <v>654.98999999999978</v>
      </c>
      <c r="M71" s="2"/>
      <c r="N71" s="7">
        <f t="shared" si="35"/>
        <v>5.2161344270128196E-2</v>
      </c>
      <c r="O71" s="11"/>
      <c r="P71" s="6">
        <v>60390.41</v>
      </c>
      <c r="Q71" s="2"/>
      <c r="R71" s="7">
        <f t="shared" si="36"/>
        <v>0</v>
      </c>
      <c r="S71" s="2"/>
      <c r="T71" s="6">
        <v>61385</v>
      </c>
      <c r="U71" s="2"/>
      <c r="V71" s="7">
        <f t="shared" si="37"/>
        <v>0</v>
      </c>
      <c r="W71" s="2"/>
      <c r="X71" s="6">
        <f t="shared" si="38"/>
        <v>-994.58999999999651</v>
      </c>
      <c r="Y71" s="2"/>
      <c r="Z71" s="7">
        <f t="shared" si="39"/>
        <v>-1.6202492465585999E-2</v>
      </c>
    </row>
    <row r="72" spans="1:26" s="24" customFormat="1" hidden="1" outlineLevel="2" x14ac:dyDescent="0.3">
      <c r="A72" s="27"/>
      <c r="B72" s="11" t="str">
        <f>CONCATENATE("          ", "6375", " - ", "OUTSIDE REPAIRS &amp; MAINTENANCE")</f>
        <v xml:space="preserve">          6375 - OUTSIDE REPAIRS &amp; MAINTENANCE</v>
      </c>
      <c r="C72" s="11"/>
      <c r="D72" s="6"/>
      <c r="E72" s="2"/>
      <c r="F72" s="7">
        <f t="shared" si="32"/>
        <v>0</v>
      </c>
      <c r="G72" s="2"/>
      <c r="H72" s="6">
        <v>150</v>
      </c>
      <c r="I72" s="2"/>
      <c r="J72" s="7">
        <f t="shared" si="33"/>
        <v>0</v>
      </c>
      <c r="K72" s="2"/>
      <c r="L72" s="6">
        <f t="shared" si="34"/>
        <v>-150</v>
      </c>
      <c r="M72" s="2"/>
      <c r="N72" s="7">
        <f t="shared" si="35"/>
        <v>-1</v>
      </c>
      <c r="O72" s="11"/>
      <c r="P72" s="6">
        <v>1839.27</v>
      </c>
      <c r="Q72" s="2"/>
      <c r="R72" s="7">
        <f t="shared" si="36"/>
        <v>0</v>
      </c>
      <c r="S72" s="2"/>
      <c r="T72" s="6">
        <v>750</v>
      </c>
      <c r="U72" s="2"/>
      <c r="V72" s="7">
        <f t="shared" si="37"/>
        <v>0</v>
      </c>
      <c r="W72" s="2"/>
      <c r="X72" s="6">
        <f t="shared" si="38"/>
        <v>1089.27</v>
      </c>
      <c r="Y72" s="2"/>
      <c r="Z72" s="7">
        <f t="shared" si="39"/>
        <v>1.4523599999999999</v>
      </c>
    </row>
    <row r="73" spans="1:26" s="29" customFormat="1" outlineLevel="1" collapsed="1" x14ac:dyDescent="0.3">
      <c r="A73" s="28"/>
      <c r="B73" s="14" t="str">
        <f>CONCATENATE("     ","Services                                          ")</f>
        <v xml:space="preserve">     Services                                          </v>
      </c>
      <c r="C73" s="14"/>
      <c r="D73" s="1">
        <f>SUM(OSRRefD22_14x_0)</f>
        <v>657.38</v>
      </c>
      <c r="E73" s="1"/>
      <c r="F73" s="5">
        <f t="shared" ref="F73:F75" si="40">IF(D$12=0,0,D73/D$12)</f>
        <v>0</v>
      </c>
      <c r="G73" s="1"/>
      <c r="H73" s="1">
        <f>SUM(OSRRefH22_14x_0)</f>
        <v>650</v>
      </c>
      <c r="I73" s="1"/>
      <c r="J73" s="5">
        <f t="shared" ref="J73:J75" si="41">IF(H$12=0,0,H73/H$12)</f>
        <v>0</v>
      </c>
      <c r="K73" s="1"/>
      <c r="L73" s="1">
        <f t="shared" ref="L73:L75" si="42">+D73-H73</f>
        <v>7.3799999999999955</v>
      </c>
      <c r="M73" s="1"/>
      <c r="N73" s="5">
        <f t="shared" ref="N73:N75" si="43">IF(H73=0,0,L73/H73)</f>
        <v>1.1353846153846147E-2</v>
      </c>
      <c r="O73" s="14"/>
      <c r="P73" s="1">
        <f>SUM(OSRRefP22_14x_0)</f>
        <v>3340.03</v>
      </c>
      <c r="Q73" s="1"/>
      <c r="R73" s="5">
        <f t="shared" ref="R73:R75" si="44">IF(P$12=0,0,P73/P$12)</f>
        <v>0</v>
      </c>
      <c r="S73" s="1"/>
      <c r="T73" s="1">
        <f>SUM(OSRRefT22_14x_0)</f>
        <v>3250</v>
      </c>
      <c r="U73" s="1"/>
      <c r="V73" s="5">
        <f t="shared" ref="V73:V75" si="45">IF(T$12=0,0,T73/T$12)</f>
        <v>0</v>
      </c>
      <c r="W73" s="1"/>
      <c r="X73" s="1">
        <f t="shared" ref="X73:X75" si="46">+P73-T73</f>
        <v>90.0300000000002</v>
      </c>
      <c r="Y73" s="1"/>
      <c r="Z73" s="5">
        <f t="shared" ref="Z73:Z75" si="47">IF(T73=0,0,X73/T73)</f>
        <v>2.7701538461538524E-2</v>
      </c>
    </row>
    <row r="74" spans="1:26" s="24" customFormat="1" hidden="1" outlineLevel="2" x14ac:dyDescent="0.3">
      <c r="A74" s="27"/>
      <c r="B74" s="11" t="str">
        <f>CONCATENATE("          ", "6281", " - ", "STORAGE FEE")</f>
        <v xml:space="preserve">          6281 - STORAGE FEE</v>
      </c>
      <c r="C74" s="11"/>
      <c r="D74" s="6">
        <v>657.38</v>
      </c>
      <c r="E74" s="2"/>
      <c r="F74" s="7">
        <f t="shared" si="40"/>
        <v>0</v>
      </c>
      <c r="G74" s="2"/>
      <c r="H74" s="6">
        <v>625</v>
      </c>
      <c r="I74" s="2"/>
      <c r="J74" s="7">
        <f t="shared" si="41"/>
        <v>0</v>
      </c>
      <c r="K74" s="2"/>
      <c r="L74" s="6">
        <f t="shared" si="42"/>
        <v>32.379999999999995</v>
      </c>
      <c r="M74" s="2"/>
      <c r="N74" s="7">
        <f t="shared" si="43"/>
        <v>5.1807999999999993E-2</v>
      </c>
      <c r="O74" s="11"/>
      <c r="P74" s="6">
        <v>3340.03</v>
      </c>
      <c r="Q74" s="2"/>
      <c r="R74" s="7">
        <f t="shared" si="44"/>
        <v>0</v>
      </c>
      <c r="S74" s="2"/>
      <c r="T74" s="6">
        <v>3125</v>
      </c>
      <c r="U74" s="2"/>
      <c r="V74" s="7">
        <f t="shared" si="45"/>
        <v>0</v>
      </c>
      <c r="W74" s="2"/>
      <c r="X74" s="6">
        <f t="shared" si="46"/>
        <v>215.0300000000002</v>
      </c>
      <c r="Y74" s="2"/>
      <c r="Z74" s="7">
        <f t="shared" si="47"/>
        <v>6.8809600000000068E-2</v>
      </c>
    </row>
    <row r="75" spans="1:26" s="24" customFormat="1" hidden="1" outlineLevel="2" x14ac:dyDescent="0.3">
      <c r="A75" s="27"/>
      <c r="B75" s="11" t="str">
        <f>CONCATENATE("          ", "6286", " - ", "LAUNDRY EXPENSE")</f>
        <v xml:space="preserve">          6286 - LAUNDRY EXPENSE</v>
      </c>
      <c r="C75" s="11"/>
      <c r="D75" s="6"/>
      <c r="E75" s="2"/>
      <c r="F75" s="7">
        <f t="shared" si="40"/>
        <v>0</v>
      </c>
      <c r="G75" s="2"/>
      <c r="H75" s="6">
        <v>25</v>
      </c>
      <c r="I75" s="2"/>
      <c r="J75" s="7">
        <f t="shared" si="41"/>
        <v>0</v>
      </c>
      <c r="K75" s="2"/>
      <c r="L75" s="6">
        <f t="shared" si="42"/>
        <v>-25</v>
      </c>
      <c r="M75" s="2"/>
      <c r="N75" s="7">
        <f t="shared" si="43"/>
        <v>-1</v>
      </c>
      <c r="O75" s="11"/>
      <c r="P75" s="6"/>
      <c r="Q75" s="2"/>
      <c r="R75" s="7">
        <f t="shared" si="44"/>
        <v>0</v>
      </c>
      <c r="S75" s="2"/>
      <c r="T75" s="6">
        <v>125</v>
      </c>
      <c r="U75" s="2"/>
      <c r="V75" s="7">
        <f t="shared" si="45"/>
        <v>0</v>
      </c>
      <c r="W75" s="2"/>
      <c r="X75" s="6">
        <f t="shared" si="46"/>
        <v>-125</v>
      </c>
      <c r="Y75" s="2"/>
      <c r="Z75" s="7">
        <f t="shared" si="47"/>
        <v>-1</v>
      </c>
    </row>
    <row r="76" spans="1:26" s="29" customFormat="1" outlineLevel="1" collapsed="1" x14ac:dyDescent="0.3">
      <c r="A76" s="28"/>
      <c r="B76" s="14" t="str">
        <f>CONCATENATE("     ","Subscriptions &amp; Dues                              ")</f>
        <v xml:space="preserve">     Subscriptions &amp; Dues                              </v>
      </c>
      <c r="C76" s="14"/>
      <c r="D76" s="1">
        <f>SUM(OSRRefD22_15x_0)</f>
        <v>0</v>
      </c>
      <c r="E76" s="1"/>
      <c r="F76" s="5">
        <f t="shared" ref="F76:F84" si="48">IF(D$12=0,0,D76/D$12)</f>
        <v>0</v>
      </c>
      <c r="G76" s="1"/>
      <c r="H76" s="1">
        <f>SUM(OSRRefH22_15x_0)</f>
        <v>0</v>
      </c>
      <c r="I76" s="1"/>
      <c r="J76" s="5">
        <f t="shared" ref="J76:J84" si="49">IF(H$12=0,0,H76/H$12)</f>
        <v>0</v>
      </c>
      <c r="K76" s="1"/>
      <c r="L76" s="1">
        <f t="shared" ref="L76:L84" si="50">+D76-H76</f>
        <v>0</v>
      </c>
      <c r="M76" s="1"/>
      <c r="N76" s="5">
        <f t="shared" ref="N76:N84" si="51">IF(H76=0,0,L76/H76)</f>
        <v>0</v>
      </c>
      <c r="O76" s="14"/>
      <c r="P76" s="1">
        <f>SUM(OSRRefP22_15x_0)</f>
        <v>1657</v>
      </c>
      <c r="Q76" s="1"/>
      <c r="R76" s="5">
        <f t="shared" ref="R76:R84" si="52">IF(P$12=0,0,P76/P$12)</f>
        <v>0</v>
      </c>
      <c r="S76" s="1"/>
      <c r="T76" s="1">
        <f>SUM(OSRRefT22_15x_0)</f>
        <v>2975</v>
      </c>
      <c r="U76" s="1"/>
      <c r="V76" s="5">
        <f t="shared" ref="V76:V84" si="53">IF(T$12=0,0,T76/T$12)</f>
        <v>0</v>
      </c>
      <c r="W76" s="1"/>
      <c r="X76" s="1">
        <f t="shared" ref="X76:X84" si="54">+P76-T76</f>
        <v>-1318</v>
      </c>
      <c r="Y76" s="1"/>
      <c r="Z76" s="5">
        <f t="shared" ref="Z76:Z84" si="55">IF(T76=0,0,X76/T76)</f>
        <v>-0.44302521008403362</v>
      </c>
    </row>
    <row r="77" spans="1:26" s="24" customFormat="1" hidden="1" outlineLevel="2" x14ac:dyDescent="0.3">
      <c r="A77" s="27"/>
      <c r="B77" s="11" t="str">
        <f>CONCATENATE("          ", "6258", " - ", "MEMBERSHIP DUES")</f>
        <v xml:space="preserve">          6258 - MEMBERSHIP DUES</v>
      </c>
      <c r="C77" s="11"/>
      <c r="D77" s="6"/>
      <c r="E77" s="2"/>
      <c r="F77" s="7">
        <f t="shared" si="48"/>
        <v>0</v>
      </c>
      <c r="G77" s="2"/>
      <c r="H77" s="6"/>
      <c r="I77" s="2"/>
      <c r="J77" s="7">
        <f t="shared" si="49"/>
        <v>0</v>
      </c>
      <c r="K77" s="2"/>
      <c r="L77" s="6">
        <f t="shared" si="50"/>
        <v>0</v>
      </c>
      <c r="M77" s="2"/>
      <c r="N77" s="7">
        <f t="shared" si="51"/>
        <v>0</v>
      </c>
      <c r="O77" s="11"/>
      <c r="P77" s="6">
        <v>1657</v>
      </c>
      <c r="Q77" s="2"/>
      <c r="R77" s="7">
        <f t="shared" si="52"/>
        <v>0</v>
      </c>
      <c r="S77" s="2"/>
      <c r="T77" s="6">
        <v>2975</v>
      </c>
      <c r="U77" s="2"/>
      <c r="V77" s="7">
        <f t="shared" si="53"/>
        <v>0</v>
      </c>
      <c r="W77" s="2"/>
      <c r="X77" s="6">
        <f t="shared" si="54"/>
        <v>-1318</v>
      </c>
      <c r="Y77" s="2"/>
      <c r="Z77" s="7">
        <f t="shared" si="55"/>
        <v>-0.44302521008403362</v>
      </c>
    </row>
    <row r="78" spans="1:26" s="29" customFormat="1" outlineLevel="1" collapsed="1" x14ac:dyDescent="0.3">
      <c r="A78" s="28"/>
      <c r="B78" s="14" t="str">
        <f>CONCATENATE("     ","Supplies                                          ")</f>
        <v xml:space="preserve">     Supplies                                          </v>
      </c>
      <c r="C78" s="14"/>
      <c r="D78" s="1">
        <f>SUM(OSRRefD22_16x_0)</f>
        <v>630.96</v>
      </c>
      <c r="E78" s="1"/>
      <c r="F78" s="5">
        <f t="shared" si="48"/>
        <v>0</v>
      </c>
      <c r="G78" s="1"/>
      <c r="H78" s="1">
        <f>SUM(OSRRefH22_16x_0)</f>
        <v>2784</v>
      </c>
      <c r="I78" s="1"/>
      <c r="J78" s="5">
        <f t="shared" si="49"/>
        <v>0</v>
      </c>
      <c r="K78" s="1"/>
      <c r="L78" s="1">
        <f t="shared" si="50"/>
        <v>-2153.04</v>
      </c>
      <c r="M78" s="1"/>
      <c r="N78" s="5">
        <f t="shared" si="51"/>
        <v>-0.77336206896551718</v>
      </c>
      <c r="O78" s="14"/>
      <c r="P78" s="1">
        <f>SUM(OSRRefP22_16x_0)</f>
        <v>10509.69</v>
      </c>
      <c r="Q78" s="1"/>
      <c r="R78" s="5">
        <f t="shared" si="52"/>
        <v>0</v>
      </c>
      <c r="S78" s="1"/>
      <c r="T78" s="1">
        <f>SUM(OSRRefT22_16x_0)</f>
        <v>18920</v>
      </c>
      <c r="U78" s="1"/>
      <c r="V78" s="5">
        <f t="shared" si="53"/>
        <v>0</v>
      </c>
      <c r="W78" s="1"/>
      <c r="X78" s="1">
        <f t="shared" si="54"/>
        <v>-8410.31</v>
      </c>
      <c r="Y78" s="1"/>
      <c r="Z78" s="5">
        <f t="shared" si="55"/>
        <v>-0.44451955602536997</v>
      </c>
    </row>
    <row r="79" spans="1:26" s="24" customFormat="1" hidden="1" outlineLevel="2" x14ac:dyDescent="0.3">
      <c r="A79" s="27"/>
      <c r="B79" s="11" t="str">
        <f>CONCATENATE("          ", "6234", " - ", "EXPENDABLE SUPPLIES &amp; EQUIPMEN")</f>
        <v xml:space="preserve">          6234 - EXPENDABLE SUPPLIES &amp; EQUIPMEN</v>
      </c>
      <c r="C79" s="11"/>
      <c r="D79" s="6"/>
      <c r="E79" s="2"/>
      <c r="F79" s="7">
        <f t="shared" si="48"/>
        <v>0</v>
      </c>
      <c r="G79" s="2"/>
      <c r="H79" s="6">
        <v>125</v>
      </c>
      <c r="I79" s="2"/>
      <c r="J79" s="7">
        <f t="shared" si="49"/>
        <v>0</v>
      </c>
      <c r="K79" s="2"/>
      <c r="L79" s="6">
        <f t="shared" si="50"/>
        <v>-125</v>
      </c>
      <c r="M79" s="2"/>
      <c r="N79" s="7">
        <f t="shared" si="51"/>
        <v>-1</v>
      </c>
      <c r="O79" s="11"/>
      <c r="P79" s="6">
        <v>26.1</v>
      </c>
      <c r="Q79" s="2"/>
      <c r="R79" s="7">
        <f t="shared" si="52"/>
        <v>0</v>
      </c>
      <c r="S79" s="2"/>
      <c r="T79" s="6">
        <v>625</v>
      </c>
      <c r="U79" s="2"/>
      <c r="V79" s="7">
        <f t="shared" si="53"/>
        <v>0</v>
      </c>
      <c r="W79" s="2"/>
      <c r="X79" s="6">
        <f t="shared" si="54"/>
        <v>-598.9</v>
      </c>
      <c r="Y79" s="2"/>
      <c r="Z79" s="7">
        <f t="shared" si="55"/>
        <v>-0.95823999999999998</v>
      </c>
    </row>
    <row r="80" spans="1:26" s="24" customFormat="1" hidden="1" outlineLevel="2" x14ac:dyDescent="0.3">
      <c r="A80" s="27"/>
      <c r="B80" s="11" t="str">
        <f>CONCATENATE("          ", "6235", " - ", "COVID-19 EXPENSES")</f>
        <v xml:space="preserve">          6235 - COVID-19 EXPENSES</v>
      </c>
      <c r="C80" s="11"/>
      <c r="D80" s="6"/>
      <c r="E80" s="2"/>
      <c r="F80" s="7">
        <f t="shared" si="48"/>
        <v>0</v>
      </c>
      <c r="G80" s="2"/>
      <c r="H80" s="6"/>
      <c r="I80" s="2"/>
      <c r="J80" s="7">
        <f t="shared" si="49"/>
        <v>0</v>
      </c>
      <c r="K80" s="2"/>
      <c r="L80" s="6">
        <f t="shared" si="50"/>
        <v>0</v>
      </c>
      <c r="M80" s="2"/>
      <c r="N80" s="7">
        <f t="shared" si="51"/>
        <v>0</v>
      </c>
      <c r="O80" s="11"/>
      <c r="P80" s="6">
        <v>2447.77</v>
      </c>
      <c r="Q80" s="2"/>
      <c r="R80" s="7">
        <f t="shared" si="52"/>
        <v>0</v>
      </c>
      <c r="S80" s="2"/>
      <c r="T80" s="6"/>
      <c r="U80" s="2"/>
      <c r="V80" s="7">
        <f t="shared" si="53"/>
        <v>0</v>
      </c>
      <c r="W80" s="2"/>
      <c r="X80" s="6">
        <f t="shared" si="54"/>
        <v>2447.77</v>
      </c>
      <c r="Y80" s="2"/>
      <c r="Z80" s="7">
        <f t="shared" si="55"/>
        <v>0</v>
      </c>
    </row>
    <row r="81" spans="1:26" s="24" customFormat="1" hidden="1" outlineLevel="2" x14ac:dyDescent="0.3">
      <c r="A81" s="27"/>
      <c r="B81" s="11" t="str">
        <f>CONCATENATE("          ", "6241", " - ", "OFFICE EXPENSE")</f>
        <v xml:space="preserve">          6241 - OFFICE EXPENSE</v>
      </c>
      <c r="C81" s="11"/>
      <c r="D81" s="6">
        <v>580.96</v>
      </c>
      <c r="E81" s="2"/>
      <c r="F81" s="7">
        <f t="shared" si="48"/>
        <v>0</v>
      </c>
      <c r="G81" s="2"/>
      <c r="H81" s="6">
        <v>2242</v>
      </c>
      <c r="I81" s="2"/>
      <c r="J81" s="7">
        <f t="shared" si="49"/>
        <v>0</v>
      </c>
      <c r="K81" s="2"/>
      <c r="L81" s="6">
        <f t="shared" si="50"/>
        <v>-1661.04</v>
      </c>
      <c r="M81" s="2"/>
      <c r="N81" s="7">
        <f t="shared" si="51"/>
        <v>-0.74087421944692233</v>
      </c>
      <c r="O81" s="11"/>
      <c r="P81" s="6">
        <v>4651.13</v>
      </c>
      <c r="Q81" s="2"/>
      <c r="R81" s="7">
        <f t="shared" si="52"/>
        <v>0</v>
      </c>
      <c r="S81" s="2"/>
      <c r="T81" s="6">
        <v>11210</v>
      </c>
      <c r="U81" s="2"/>
      <c r="V81" s="7">
        <f t="shared" si="53"/>
        <v>0</v>
      </c>
      <c r="W81" s="2"/>
      <c r="X81" s="6">
        <f t="shared" si="54"/>
        <v>-6558.87</v>
      </c>
      <c r="Y81" s="2"/>
      <c r="Z81" s="7">
        <f t="shared" si="55"/>
        <v>-0.58509099018733268</v>
      </c>
    </row>
    <row r="82" spans="1:26" s="24" customFormat="1" hidden="1" outlineLevel="2" x14ac:dyDescent="0.3">
      <c r="A82" s="27"/>
      <c r="B82" s="11" t="str">
        <f>CONCATENATE("          ", "6244", " - ", "SAFETY SUPPLY EXPENSE")</f>
        <v xml:space="preserve">          6244 - SAFETY SUPPLY EXPENSE</v>
      </c>
      <c r="C82" s="11"/>
      <c r="D82" s="6">
        <v>50</v>
      </c>
      <c r="E82" s="2"/>
      <c r="F82" s="7">
        <f t="shared" si="48"/>
        <v>0</v>
      </c>
      <c r="G82" s="2"/>
      <c r="H82" s="6">
        <v>417</v>
      </c>
      <c r="I82" s="2"/>
      <c r="J82" s="7">
        <f t="shared" si="49"/>
        <v>0</v>
      </c>
      <c r="K82" s="2"/>
      <c r="L82" s="6">
        <f t="shared" si="50"/>
        <v>-367</v>
      </c>
      <c r="M82" s="2"/>
      <c r="N82" s="7">
        <f t="shared" si="51"/>
        <v>-0.88009592326139086</v>
      </c>
      <c r="O82" s="11"/>
      <c r="P82" s="6">
        <v>600</v>
      </c>
      <c r="Q82" s="2"/>
      <c r="R82" s="7">
        <f t="shared" si="52"/>
        <v>0</v>
      </c>
      <c r="S82" s="2"/>
      <c r="T82" s="6">
        <v>2085</v>
      </c>
      <c r="U82" s="2"/>
      <c r="V82" s="7">
        <f t="shared" si="53"/>
        <v>0</v>
      </c>
      <c r="W82" s="2"/>
      <c r="X82" s="6">
        <f t="shared" si="54"/>
        <v>-1485</v>
      </c>
      <c r="Y82" s="2"/>
      <c r="Z82" s="7">
        <f t="shared" si="55"/>
        <v>-0.71223021582733814</v>
      </c>
    </row>
    <row r="83" spans="1:26" s="24" customFormat="1" hidden="1" outlineLevel="2" x14ac:dyDescent="0.3">
      <c r="A83" s="27"/>
      <c r="B83" s="11" t="str">
        <f>CONCATENATE("          ", "6247", " - ", "STORE SUPPLIES")</f>
        <v xml:space="preserve">          6247 - STORE SUPPLIES</v>
      </c>
      <c r="C83" s="11"/>
      <c r="D83" s="6"/>
      <c r="E83" s="2"/>
      <c r="F83" s="7">
        <f t="shared" si="48"/>
        <v>0</v>
      </c>
      <c r="G83" s="2"/>
      <c r="H83" s="6"/>
      <c r="I83" s="2"/>
      <c r="J83" s="7">
        <f t="shared" si="49"/>
        <v>0</v>
      </c>
      <c r="K83" s="2"/>
      <c r="L83" s="6">
        <f t="shared" si="50"/>
        <v>0</v>
      </c>
      <c r="M83" s="2"/>
      <c r="N83" s="7">
        <f t="shared" si="51"/>
        <v>0</v>
      </c>
      <c r="O83" s="11"/>
      <c r="P83" s="6"/>
      <c r="Q83" s="2"/>
      <c r="R83" s="7">
        <f t="shared" si="52"/>
        <v>0</v>
      </c>
      <c r="S83" s="2"/>
      <c r="T83" s="6">
        <v>5000</v>
      </c>
      <c r="U83" s="2"/>
      <c r="V83" s="7">
        <f t="shared" si="53"/>
        <v>0</v>
      </c>
      <c r="W83" s="2"/>
      <c r="X83" s="6">
        <f t="shared" si="54"/>
        <v>-5000</v>
      </c>
      <c r="Y83" s="2"/>
      <c r="Z83" s="7">
        <f t="shared" si="55"/>
        <v>-1</v>
      </c>
    </row>
    <row r="84" spans="1:26" s="24" customFormat="1" hidden="1" outlineLevel="2" x14ac:dyDescent="0.3">
      <c r="A84" s="27"/>
      <c r="B84" s="11" t="str">
        <f>CONCATENATE("          ", "6248", " - ", "UNIFORMS")</f>
        <v xml:space="preserve">          6248 - UNIFORMS</v>
      </c>
      <c r="C84" s="11"/>
      <c r="D84" s="6"/>
      <c r="E84" s="2"/>
      <c r="F84" s="7">
        <f t="shared" si="48"/>
        <v>0</v>
      </c>
      <c r="G84" s="2"/>
      <c r="H84" s="6"/>
      <c r="I84" s="2"/>
      <c r="J84" s="7">
        <f t="shared" si="49"/>
        <v>0</v>
      </c>
      <c r="K84" s="2"/>
      <c r="L84" s="6">
        <f t="shared" si="50"/>
        <v>0</v>
      </c>
      <c r="M84" s="2"/>
      <c r="N84" s="7">
        <f t="shared" si="51"/>
        <v>0</v>
      </c>
      <c r="O84" s="11"/>
      <c r="P84" s="6">
        <v>2784.69</v>
      </c>
      <c r="Q84" s="2"/>
      <c r="R84" s="7">
        <f t="shared" si="52"/>
        <v>0</v>
      </c>
      <c r="S84" s="2"/>
      <c r="T84" s="6"/>
      <c r="U84" s="2"/>
      <c r="V84" s="7">
        <f t="shared" si="53"/>
        <v>0</v>
      </c>
      <c r="W84" s="2"/>
      <c r="X84" s="6">
        <f t="shared" si="54"/>
        <v>2784.69</v>
      </c>
      <c r="Y84" s="2"/>
      <c r="Z84" s="7">
        <f t="shared" si="55"/>
        <v>0</v>
      </c>
    </row>
    <row r="85" spans="1:26" s="29" customFormat="1" outlineLevel="1" collapsed="1" x14ac:dyDescent="0.3">
      <c r="A85" s="28"/>
      <c r="B85" s="14" t="str">
        <f>CONCATENATE("     ","Telephone/Data Lines                              ")</f>
        <v xml:space="preserve">     Telephone/Data Lines                              </v>
      </c>
      <c r="C85" s="14"/>
      <c r="D85" s="1">
        <f>SUM(OSRRefD22_17x_0)</f>
        <v>2393.02</v>
      </c>
      <c r="E85" s="1"/>
      <c r="F85" s="5">
        <f t="shared" ref="F85:F87" si="56">IF(D$12=0,0,D85/D$12)</f>
        <v>0</v>
      </c>
      <c r="G85" s="1"/>
      <c r="H85" s="1">
        <f>SUM(OSRRefH22_17x_0)</f>
        <v>1805</v>
      </c>
      <c r="I85" s="1"/>
      <c r="J85" s="5">
        <f t="shared" ref="J85:J87" si="57">IF(H$12=0,0,H85/H$12)</f>
        <v>0</v>
      </c>
      <c r="K85" s="1"/>
      <c r="L85" s="1">
        <f t="shared" ref="L85:L87" si="58">+D85-H85</f>
        <v>588.02</v>
      </c>
      <c r="M85" s="1"/>
      <c r="N85" s="5">
        <f t="shared" ref="N85:N87" si="59">IF(H85=0,0,L85/H85)</f>
        <v>0.32577285318559557</v>
      </c>
      <c r="O85" s="14"/>
      <c r="P85" s="1">
        <f>SUM(OSRRefP22_17x_0)</f>
        <v>12216.359999999999</v>
      </c>
      <c r="Q85" s="1"/>
      <c r="R85" s="5">
        <f t="shared" ref="R85:R87" si="60">IF(P$12=0,0,P85/P$12)</f>
        <v>0</v>
      </c>
      <c r="S85" s="1"/>
      <c r="T85" s="1">
        <f>SUM(OSRRefT22_17x_0)</f>
        <v>9025</v>
      </c>
      <c r="U85" s="1"/>
      <c r="V85" s="5">
        <f t="shared" ref="V85:V87" si="61">IF(T$12=0,0,T85/T$12)</f>
        <v>0</v>
      </c>
      <c r="W85" s="1"/>
      <c r="X85" s="1">
        <f t="shared" ref="X85:X87" si="62">+P85-T85</f>
        <v>3191.3599999999988</v>
      </c>
      <c r="Y85" s="1"/>
      <c r="Z85" s="5">
        <f t="shared" ref="Z85:Z87" si="63">IF(T85=0,0,X85/T85)</f>
        <v>0.35361329639889183</v>
      </c>
    </row>
    <row r="86" spans="1:26" s="24" customFormat="1" hidden="1" outlineLevel="2" x14ac:dyDescent="0.3">
      <c r="A86" s="27"/>
      <c r="B86" s="11" t="str">
        <f>CONCATENATE("          ", "6303", " - ", "DATA PHONE LINES")</f>
        <v xml:space="preserve">          6303 - DATA PHONE LINES</v>
      </c>
      <c r="C86" s="11"/>
      <c r="D86" s="6">
        <v>170.98</v>
      </c>
      <c r="E86" s="2"/>
      <c r="F86" s="7">
        <f t="shared" si="56"/>
        <v>0</v>
      </c>
      <c r="G86" s="2"/>
      <c r="H86" s="6">
        <v>236</v>
      </c>
      <c r="I86" s="2"/>
      <c r="J86" s="7">
        <f t="shared" si="57"/>
        <v>0</v>
      </c>
      <c r="K86" s="2"/>
      <c r="L86" s="6">
        <f t="shared" si="58"/>
        <v>-65.02000000000001</v>
      </c>
      <c r="M86" s="2"/>
      <c r="N86" s="7">
        <f t="shared" si="59"/>
        <v>-0.27550847457627126</v>
      </c>
      <c r="O86" s="11"/>
      <c r="P86" s="6">
        <v>827.9</v>
      </c>
      <c r="Q86" s="2"/>
      <c r="R86" s="7">
        <f t="shared" si="60"/>
        <v>0</v>
      </c>
      <c r="S86" s="2"/>
      <c r="T86" s="6">
        <v>1180</v>
      </c>
      <c r="U86" s="2"/>
      <c r="V86" s="7">
        <f t="shared" si="61"/>
        <v>0</v>
      </c>
      <c r="W86" s="2"/>
      <c r="X86" s="6">
        <f t="shared" si="62"/>
        <v>-352.1</v>
      </c>
      <c r="Y86" s="2"/>
      <c r="Z86" s="7">
        <f t="shared" si="63"/>
        <v>-0.29838983050847462</v>
      </c>
    </row>
    <row r="87" spans="1:26" s="24" customFormat="1" hidden="1" outlineLevel="2" x14ac:dyDescent="0.3">
      <c r="A87" s="27"/>
      <c r="B87" s="11" t="str">
        <f>CONCATENATE("          ", "6309", " - ", "TELEPHONE")</f>
        <v xml:space="preserve">          6309 - TELEPHONE</v>
      </c>
      <c r="C87" s="11"/>
      <c r="D87" s="6">
        <v>2222.04</v>
      </c>
      <c r="E87" s="2"/>
      <c r="F87" s="7">
        <f t="shared" si="56"/>
        <v>0</v>
      </c>
      <c r="G87" s="2"/>
      <c r="H87" s="6">
        <v>1569</v>
      </c>
      <c r="I87" s="2"/>
      <c r="J87" s="7">
        <f t="shared" si="57"/>
        <v>0</v>
      </c>
      <c r="K87" s="2"/>
      <c r="L87" s="6">
        <f t="shared" si="58"/>
        <v>653.04</v>
      </c>
      <c r="M87" s="2"/>
      <c r="N87" s="7">
        <f t="shared" si="59"/>
        <v>0.41621414913957933</v>
      </c>
      <c r="O87" s="11"/>
      <c r="P87" s="6">
        <v>11388.46</v>
      </c>
      <c r="Q87" s="2"/>
      <c r="R87" s="7">
        <f t="shared" si="60"/>
        <v>0</v>
      </c>
      <c r="S87" s="2"/>
      <c r="T87" s="6">
        <v>7845</v>
      </c>
      <c r="U87" s="2"/>
      <c r="V87" s="7">
        <f t="shared" si="61"/>
        <v>0</v>
      </c>
      <c r="W87" s="2"/>
      <c r="X87" s="6">
        <f t="shared" si="62"/>
        <v>3543.4599999999991</v>
      </c>
      <c r="Y87" s="2"/>
      <c r="Z87" s="7">
        <f t="shared" si="63"/>
        <v>0.45168387507966845</v>
      </c>
    </row>
    <row r="88" spans="1:26" s="29" customFormat="1" outlineLevel="1" collapsed="1" x14ac:dyDescent="0.3">
      <c r="A88" s="28"/>
      <c r="B88" s="14" t="str">
        <f>CONCATENATE("     ","Training                                          ")</f>
        <v xml:space="preserve">     Training                                          </v>
      </c>
      <c r="C88" s="14"/>
      <c r="D88" s="1">
        <f>SUM(OSRRefD22_18x_0)</f>
        <v>595</v>
      </c>
      <c r="E88" s="1"/>
      <c r="F88" s="5">
        <f t="shared" ref="F88:F92" si="64">IF(D$12=0,0,D88/D$12)</f>
        <v>0</v>
      </c>
      <c r="G88" s="1"/>
      <c r="H88" s="1">
        <f>SUM(OSRRefH22_18x_0)</f>
        <v>333</v>
      </c>
      <c r="I88" s="1"/>
      <c r="J88" s="5">
        <f t="shared" ref="J88:J92" si="65">IF(H$12=0,0,H88/H$12)</f>
        <v>0</v>
      </c>
      <c r="K88" s="1"/>
      <c r="L88" s="1">
        <f t="shared" ref="L88:L92" si="66">+D88-H88</f>
        <v>262</v>
      </c>
      <c r="M88" s="1"/>
      <c r="N88" s="5">
        <f t="shared" ref="N88:N92" si="67">IF(H88=0,0,L88/H88)</f>
        <v>0.78678678678678682</v>
      </c>
      <c r="O88" s="14"/>
      <c r="P88" s="1">
        <f>SUM(OSRRefP22_18x_0)</f>
        <v>1665</v>
      </c>
      <c r="Q88" s="1"/>
      <c r="R88" s="5">
        <f t="shared" ref="R88:R92" si="68">IF(P$12=0,0,P88/P$12)</f>
        <v>0</v>
      </c>
      <c r="S88" s="1"/>
      <c r="T88" s="1">
        <f>SUM(OSRRefT22_18x_0)</f>
        <v>2915</v>
      </c>
      <c r="U88" s="1"/>
      <c r="V88" s="5">
        <f t="shared" ref="V88:V92" si="69">IF(T$12=0,0,T88/T$12)</f>
        <v>0</v>
      </c>
      <c r="W88" s="1"/>
      <c r="X88" s="1">
        <f t="shared" ref="X88:X92" si="70">+P88-T88</f>
        <v>-1250</v>
      </c>
      <c r="Y88" s="1"/>
      <c r="Z88" s="5">
        <f t="shared" ref="Z88:Z92" si="71">IF(T88=0,0,X88/T88)</f>
        <v>-0.42881646655231559</v>
      </c>
    </row>
    <row r="89" spans="1:26" s="24" customFormat="1" hidden="1" outlineLevel="2" x14ac:dyDescent="0.3">
      <c r="A89" s="27"/>
      <c r="B89" s="11" t="str">
        <f>CONCATENATE("          ", "6376", " - ", "TRAINING")</f>
        <v xml:space="preserve">          6376 - TRAINING</v>
      </c>
      <c r="C89" s="11"/>
      <c r="D89" s="6">
        <v>595</v>
      </c>
      <c r="E89" s="2"/>
      <c r="F89" s="7">
        <f t="shared" si="64"/>
        <v>0</v>
      </c>
      <c r="G89" s="2"/>
      <c r="H89" s="6">
        <v>333</v>
      </c>
      <c r="I89" s="2"/>
      <c r="J89" s="7">
        <f t="shared" si="65"/>
        <v>0</v>
      </c>
      <c r="K89" s="2"/>
      <c r="L89" s="6">
        <f t="shared" si="66"/>
        <v>262</v>
      </c>
      <c r="M89" s="2"/>
      <c r="N89" s="7">
        <f t="shared" si="67"/>
        <v>0.78678678678678682</v>
      </c>
      <c r="O89" s="11"/>
      <c r="P89" s="6">
        <v>1665</v>
      </c>
      <c r="Q89" s="2"/>
      <c r="R89" s="7">
        <f t="shared" si="68"/>
        <v>0</v>
      </c>
      <c r="S89" s="2"/>
      <c r="T89" s="6">
        <v>2915</v>
      </c>
      <c r="U89" s="2"/>
      <c r="V89" s="7">
        <f t="shared" si="69"/>
        <v>0</v>
      </c>
      <c r="W89" s="2"/>
      <c r="X89" s="6">
        <f t="shared" si="70"/>
        <v>-1250</v>
      </c>
      <c r="Y89" s="2"/>
      <c r="Z89" s="7">
        <f t="shared" si="71"/>
        <v>-0.42881646655231559</v>
      </c>
    </row>
    <row r="90" spans="1:26" s="29" customFormat="1" outlineLevel="1" collapsed="1" x14ac:dyDescent="0.3">
      <c r="A90" s="28"/>
      <c r="B90" s="14" t="str">
        <f>CONCATENATE("     ","Travel                                            ")</f>
        <v xml:space="preserve">     Travel                                            </v>
      </c>
      <c r="C90" s="14"/>
      <c r="D90" s="1">
        <f>SUM(OSRRefD22_19x_0)</f>
        <v>0</v>
      </c>
      <c r="E90" s="1"/>
      <c r="F90" s="5">
        <f t="shared" si="64"/>
        <v>0</v>
      </c>
      <c r="G90" s="1"/>
      <c r="H90" s="1">
        <f>SUM(OSRRefH22_19x_0)</f>
        <v>720</v>
      </c>
      <c r="I90" s="1"/>
      <c r="J90" s="5">
        <f t="shared" si="65"/>
        <v>0</v>
      </c>
      <c r="K90" s="1"/>
      <c r="L90" s="1">
        <f t="shared" si="66"/>
        <v>-720</v>
      </c>
      <c r="M90" s="1"/>
      <c r="N90" s="5">
        <f t="shared" si="67"/>
        <v>-1</v>
      </c>
      <c r="O90" s="14"/>
      <c r="P90" s="1">
        <f>SUM(OSRRefP22_19x_0)</f>
        <v>30.4</v>
      </c>
      <c r="Q90" s="1"/>
      <c r="R90" s="5">
        <f t="shared" si="68"/>
        <v>0</v>
      </c>
      <c r="S90" s="1"/>
      <c r="T90" s="1">
        <f>SUM(OSRRefT22_19x_0)</f>
        <v>720</v>
      </c>
      <c r="U90" s="1"/>
      <c r="V90" s="5">
        <f t="shared" si="69"/>
        <v>0</v>
      </c>
      <c r="W90" s="1"/>
      <c r="X90" s="1">
        <f t="shared" si="70"/>
        <v>-689.6</v>
      </c>
      <c r="Y90" s="1"/>
      <c r="Z90" s="5">
        <f t="shared" si="71"/>
        <v>-0.95777777777777784</v>
      </c>
    </row>
    <row r="91" spans="1:26" s="24" customFormat="1" hidden="1" outlineLevel="2" x14ac:dyDescent="0.3">
      <c r="A91" s="27"/>
      <c r="B91" s="11" t="str">
        <f>CONCATENATE("          ", "6292", " - ", "TRAVEL/CONFERENCE")</f>
        <v xml:space="preserve">          6292 - TRAVEL/CONFERENCE</v>
      </c>
      <c r="C91" s="11"/>
      <c r="D91" s="6"/>
      <c r="E91" s="2"/>
      <c r="F91" s="7">
        <f t="shared" si="64"/>
        <v>0</v>
      </c>
      <c r="G91" s="2"/>
      <c r="H91" s="6">
        <v>720</v>
      </c>
      <c r="I91" s="2"/>
      <c r="J91" s="7">
        <f t="shared" si="65"/>
        <v>0</v>
      </c>
      <c r="K91" s="2"/>
      <c r="L91" s="6">
        <f t="shared" si="66"/>
        <v>-720</v>
      </c>
      <c r="M91" s="2"/>
      <c r="N91" s="7">
        <f t="shared" si="67"/>
        <v>-1</v>
      </c>
      <c r="O91" s="11"/>
      <c r="P91" s="6"/>
      <c r="Q91" s="2"/>
      <c r="R91" s="7">
        <f t="shared" si="68"/>
        <v>0</v>
      </c>
      <c r="S91" s="2"/>
      <c r="T91" s="6">
        <v>720</v>
      </c>
      <c r="U91" s="2"/>
      <c r="V91" s="7">
        <f t="shared" si="69"/>
        <v>0</v>
      </c>
      <c r="W91" s="2"/>
      <c r="X91" s="6">
        <f t="shared" si="70"/>
        <v>-720</v>
      </c>
      <c r="Y91" s="2"/>
      <c r="Z91" s="7">
        <f t="shared" si="71"/>
        <v>-1</v>
      </c>
    </row>
    <row r="92" spans="1:26" s="24" customFormat="1" hidden="1" outlineLevel="2" x14ac:dyDescent="0.3">
      <c r="A92" s="27"/>
      <c r="B92" s="11" t="str">
        <f>CONCATENATE("          ", "6294", " - ", "TRAVEL OPERATIONAL")</f>
        <v xml:space="preserve">          6294 - TRAVEL OPERATIONAL</v>
      </c>
      <c r="C92" s="11"/>
      <c r="D92" s="6"/>
      <c r="E92" s="2"/>
      <c r="F92" s="7">
        <f t="shared" si="64"/>
        <v>0</v>
      </c>
      <c r="G92" s="2"/>
      <c r="H92" s="6"/>
      <c r="I92" s="2"/>
      <c r="J92" s="7">
        <f t="shared" si="65"/>
        <v>0</v>
      </c>
      <c r="K92" s="2"/>
      <c r="L92" s="6">
        <f t="shared" si="66"/>
        <v>0</v>
      </c>
      <c r="M92" s="2"/>
      <c r="N92" s="7">
        <f t="shared" si="67"/>
        <v>0</v>
      </c>
      <c r="O92" s="11"/>
      <c r="P92" s="6">
        <v>30.4</v>
      </c>
      <c r="Q92" s="2"/>
      <c r="R92" s="7">
        <f t="shared" si="68"/>
        <v>0</v>
      </c>
      <c r="S92" s="2"/>
      <c r="T92" s="6"/>
      <c r="U92" s="2"/>
      <c r="V92" s="7">
        <f t="shared" si="69"/>
        <v>0</v>
      </c>
      <c r="W92" s="2"/>
      <c r="X92" s="6">
        <f t="shared" si="70"/>
        <v>30.4</v>
      </c>
      <c r="Y92" s="2"/>
      <c r="Z92" s="7">
        <f t="shared" si="71"/>
        <v>0</v>
      </c>
    </row>
    <row r="93" spans="1:26" s="63" customFormat="1" x14ac:dyDescent="0.3">
      <c r="A93" s="36"/>
      <c r="B93" s="36"/>
      <c r="C93" s="36"/>
      <c r="D93" s="1"/>
      <c r="E93" s="1"/>
      <c r="F93" s="5"/>
      <c r="G93" s="1"/>
      <c r="H93" s="1"/>
      <c r="I93" s="1"/>
      <c r="J93" s="5"/>
      <c r="K93" s="1"/>
      <c r="L93" s="1"/>
      <c r="M93" s="1"/>
      <c r="N93" s="5"/>
      <c r="O93" s="36"/>
      <c r="P93" s="1"/>
      <c r="Q93" s="1"/>
      <c r="R93" s="5"/>
      <c r="S93" s="1"/>
      <c r="T93" s="1"/>
      <c r="U93" s="1"/>
      <c r="V93" s="5"/>
      <c r="W93" s="1"/>
      <c r="X93" s="1"/>
      <c r="Y93" s="1"/>
      <c r="Z93" s="5"/>
    </row>
    <row r="94" spans="1:26" s="23" customFormat="1" x14ac:dyDescent="0.3">
      <c r="A94" s="10"/>
      <c r="B94" s="25" t="s">
        <v>293</v>
      </c>
      <c r="C94" s="10"/>
      <c r="D94" s="4">
        <f>SUM(0)</f>
        <v>0</v>
      </c>
      <c r="E94" s="4"/>
      <c r="F94" s="12">
        <f>IF(D$12=0,0,D94/D$12)</f>
        <v>0</v>
      </c>
      <c r="G94" s="4"/>
      <c r="H94" s="4">
        <f>SUM(0)</f>
        <v>0</v>
      </c>
      <c r="I94" s="4"/>
      <c r="J94" s="12">
        <f>IF(H$12=0,0,H94/H$12)</f>
        <v>0</v>
      </c>
      <c r="K94" s="4"/>
      <c r="L94" s="4">
        <f>+D94-H94</f>
        <v>0</v>
      </c>
      <c r="M94" s="4"/>
      <c r="N94" s="12">
        <f>IF(H94=0,0,L94/H94)</f>
        <v>0</v>
      </c>
      <c r="O94" s="10"/>
      <c r="P94" s="4">
        <f>SUM(0)</f>
        <v>0</v>
      </c>
      <c r="Q94" s="4"/>
      <c r="R94" s="12">
        <f>IF(P$12=0,0,P94/P$12)</f>
        <v>0</v>
      </c>
      <c r="S94" s="4"/>
      <c r="T94" s="4">
        <f>SUM(0)</f>
        <v>0</v>
      </c>
      <c r="U94" s="4"/>
      <c r="V94" s="12">
        <f>IF(T$12=0,0,T94/T$12)</f>
        <v>0</v>
      </c>
      <c r="W94" s="4"/>
      <c r="X94" s="4">
        <f>+P94-T94</f>
        <v>0</v>
      </c>
      <c r="Y94" s="4"/>
      <c r="Z94" s="12">
        <f>IF(T94=0,0,X94/T94)</f>
        <v>0</v>
      </c>
    </row>
    <row r="95" spans="1:26" x14ac:dyDescent="0.3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x14ac:dyDescent="0.3">
      <c r="A96" s="10"/>
      <c r="B96" s="26" t="s">
        <v>277</v>
      </c>
      <c r="C96" s="26"/>
      <c r="D96" s="20">
        <f>+D16-D18+D94</f>
        <v>-242860.23000000007</v>
      </c>
      <c r="E96" s="13"/>
      <c r="F96" s="22">
        <f>IF(D$12=0,0,D96/D$12)</f>
        <v>0</v>
      </c>
      <c r="G96" s="13"/>
      <c r="H96" s="20">
        <f>+H16-H18+H94</f>
        <v>-255318.69333830161</v>
      </c>
      <c r="I96" s="13"/>
      <c r="J96" s="22">
        <f>IF(H$12=0,0,H96/H$12)</f>
        <v>0</v>
      </c>
      <c r="K96" s="15"/>
      <c r="L96" s="20">
        <f>+D96-H96</f>
        <v>12458.463338301546</v>
      </c>
      <c r="M96" s="15"/>
      <c r="N96" s="22">
        <f>IF(H96=0,0,L96/H96)</f>
        <v>-4.8795735147343366E-2</v>
      </c>
      <c r="O96" s="25"/>
      <c r="P96" s="20">
        <f>+P16-P18+P94</f>
        <v>-1152716.8499999999</v>
      </c>
      <c r="Q96" s="13"/>
      <c r="R96" s="22">
        <f>IF(P$12=0,0,P96/P$12)</f>
        <v>0</v>
      </c>
      <c r="S96" s="13"/>
      <c r="T96" s="20">
        <f>+T16-T18+T94</f>
        <v>-1306178.6755375823</v>
      </c>
      <c r="U96" s="13"/>
      <c r="V96" s="22">
        <f>IF(T$12=0,0,T96/T$12)</f>
        <v>0</v>
      </c>
      <c r="W96" s="15"/>
      <c r="X96" s="20">
        <f>+P96-T96</f>
        <v>153461.82553758239</v>
      </c>
      <c r="Y96" s="15"/>
      <c r="Z96" s="22">
        <f>IF(T96=0,0,X96/T96)</f>
        <v>-0.11748915245031259</v>
      </c>
    </row>
    <row r="97" spans="1:26" x14ac:dyDescent="0.3">
      <c r="A97" s="9"/>
      <c r="B97" s="10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3">
      <c r="A98" s="52"/>
      <c r="B98" s="10" t="s">
        <v>128</v>
      </c>
      <c r="C98" s="10"/>
      <c r="D98" s="4"/>
      <c r="E98" s="4"/>
      <c r="F98" s="12">
        <f>IF(D$12=0,0,D98/D$12)</f>
        <v>0</v>
      </c>
      <c r="G98" s="4"/>
      <c r="H98" s="4"/>
      <c r="I98" s="4"/>
      <c r="J98" s="12">
        <f>IF(H$12=0,0,H98/H$12)</f>
        <v>0</v>
      </c>
      <c r="K98" s="4"/>
      <c r="L98" s="4">
        <f>+D98-H98</f>
        <v>0</v>
      </c>
      <c r="M98" s="4"/>
      <c r="N98" s="12">
        <f>IF(H98=0,0,L98/H98)</f>
        <v>0</v>
      </c>
      <c r="O98" s="10"/>
      <c r="P98" s="4"/>
      <c r="Q98" s="4"/>
      <c r="R98" s="12">
        <f>IF(P$12=0,0,P98/P$12)</f>
        <v>0</v>
      </c>
      <c r="S98" s="4"/>
      <c r="T98" s="4"/>
      <c r="U98" s="4"/>
      <c r="V98" s="12">
        <f>IF(T$12=0,0,T98/T$12)</f>
        <v>0</v>
      </c>
      <c r="W98" s="4"/>
      <c r="X98" s="4">
        <f>+P98-T98</f>
        <v>0</v>
      </c>
      <c r="Y98" s="4"/>
      <c r="Z98" s="12">
        <f>IF(T98=0,0,X98/T98)</f>
        <v>0</v>
      </c>
    </row>
    <row r="99" spans="1:26" x14ac:dyDescent="0.3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" thickBot="1" x14ac:dyDescent="0.35">
      <c r="A100" s="10"/>
      <c r="B100" s="26" t="s">
        <v>126</v>
      </c>
      <c r="C100" s="26"/>
      <c r="D100" s="33">
        <f>+D96-D98</f>
        <v>-242860.23000000007</v>
      </c>
      <c r="E100" s="13"/>
      <c r="F100" s="34">
        <f>IF(D$12=0,0,D100/D$12)</f>
        <v>0</v>
      </c>
      <c r="G100" s="13"/>
      <c r="H100" s="33">
        <f>+H96-H98</f>
        <v>-255318.69333830161</v>
      </c>
      <c r="I100" s="13"/>
      <c r="J100" s="34">
        <f>IF(H$12=0,0,H100/H$12)</f>
        <v>0</v>
      </c>
      <c r="K100" s="15"/>
      <c r="L100" s="33">
        <f>D100-H100</f>
        <v>12458.463338301546</v>
      </c>
      <c r="M100" s="15"/>
      <c r="N100" s="34">
        <f>IF(H100=0,0,L100/H100)</f>
        <v>-4.8795735147343366E-2</v>
      </c>
      <c r="O100" s="25"/>
      <c r="P100" s="33">
        <f>+P96-P98</f>
        <v>-1152716.8499999999</v>
      </c>
      <c r="Q100" s="13"/>
      <c r="R100" s="34">
        <f>IF(P$12=0,0,P100/P$12)</f>
        <v>0</v>
      </c>
      <c r="S100" s="13"/>
      <c r="T100" s="33">
        <f>+T96-T98</f>
        <v>-1306178.6755375823</v>
      </c>
      <c r="U100" s="13"/>
      <c r="V100" s="34">
        <f>IF(T$12=0,0,T100/T$12)</f>
        <v>0</v>
      </c>
      <c r="W100" s="15"/>
      <c r="X100" s="33">
        <f>P100-T100</f>
        <v>153461.82553758239</v>
      </c>
      <c r="Y100" s="15"/>
      <c r="Z100" s="34">
        <f>IF(T100=0,0,X100/T100)</f>
        <v>-0.11748915245031259</v>
      </c>
    </row>
    <row r="101" spans="1:26" ht="15" thickTop="1" x14ac:dyDescent="0.3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x14ac:dyDescent="0.3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" thickBot="1" x14ac:dyDescent="0.35">
      <c r="A103" s="10"/>
      <c r="B103" s="26" t="s">
        <v>294</v>
      </c>
      <c r="C103" s="26"/>
      <c r="D103" s="35">
        <f>SUM(D100:D102)</f>
        <v>-242860.23000000007</v>
      </c>
      <c r="E103" s="13"/>
      <c r="F103" s="32">
        <f>IF(D$12=0,0,D103/D$12)</f>
        <v>0</v>
      </c>
      <c r="G103" s="13"/>
      <c r="H103" s="35">
        <f>SUM(H100:H102)</f>
        <v>-255318.69333830161</v>
      </c>
      <c r="I103" s="13"/>
      <c r="J103" s="32">
        <f>IF(H$12=0,0,H103/H$12)</f>
        <v>0</v>
      </c>
      <c r="K103" s="15"/>
      <c r="L103" s="35">
        <f>+D103-H103</f>
        <v>12458.463338301546</v>
      </c>
      <c r="M103" s="15"/>
      <c r="N103" s="32">
        <f>IF(H103=0,0,L103/H103)</f>
        <v>-4.8795735147343366E-2</v>
      </c>
      <c r="O103" s="25"/>
      <c r="P103" s="35">
        <f>SUM(P100:P102)</f>
        <v>-1152716.8499999999</v>
      </c>
      <c r="Q103" s="13"/>
      <c r="R103" s="32">
        <f>IF(P$12=0,0,P103/P$12)</f>
        <v>0</v>
      </c>
      <c r="S103" s="13"/>
      <c r="T103" s="35">
        <f>SUM(T100:T102)</f>
        <v>-1306178.6755375823</v>
      </c>
      <c r="U103" s="13"/>
      <c r="V103" s="32">
        <f>IF(T$12=0,0,T103/T$12)</f>
        <v>0</v>
      </c>
      <c r="W103" s="15"/>
      <c r="X103" s="35">
        <f>+P103-T103</f>
        <v>153461.82553758239</v>
      </c>
      <c r="Y103" s="15"/>
      <c r="Z103" s="32">
        <f>IF(T103=0,0,X103/T103)</f>
        <v>-0.11748915245031259</v>
      </c>
    </row>
    <row r="104" spans="1:26" ht="15" thickTop="1" x14ac:dyDescent="0.3">
      <c r="A104" s="9"/>
      <c r="C104" s="9"/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  <row r="105" spans="1:26" x14ac:dyDescent="0.3">
      <c r="A105" s="9"/>
      <c r="B105" s="60">
        <v>44543.75306894676</v>
      </c>
      <c r="D105" s="17"/>
      <c r="E105" s="17"/>
      <c r="G105" s="17"/>
      <c r="H105" s="17"/>
      <c r="I105" s="17"/>
      <c r="J105" s="42"/>
      <c r="K105" s="17"/>
      <c r="L105" s="17"/>
      <c r="M105" s="17"/>
      <c r="P105" s="17"/>
      <c r="Q105" s="17"/>
      <c r="R105" s="42"/>
      <c r="S105" s="17"/>
      <c r="T105" s="17"/>
      <c r="U105" s="17"/>
      <c r="V105" s="42"/>
      <c r="W105" s="17"/>
      <c r="X105" s="17"/>
    </row>
    <row r="106" spans="1:26" x14ac:dyDescent="0.3">
      <c r="A106" s="9"/>
      <c r="B106" s="58" t="s">
        <v>56</v>
      </c>
      <c r="D106" s="17"/>
      <c r="E106" s="17"/>
      <c r="G106" s="17"/>
      <c r="H106" s="17"/>
      <c r="I106" s="17"/>
      <c r="J106" s="42"/>
      <c r="K106" s="17"/>
      <c r="L106" s="17"/>
      <c r="M106" s="17"/>
      <c r="P106" s="17"/>
      <c r="Q106" s="17"/>
      <c r="R106" s="42"/>
      <c r="S106" s="17"/>
      <c r="T106" s="17"/>
      <c r="U106" s="17"/>
      <c r="V106" s="42"/>
      <c r="W106" s="17"/>
      <c r="X106" s="17"/>
    </row>
    <row r="107" spans="1:26" x14ac:dyDescent="0.3">
      <c r="A107" s="9"/>
      <c r="B107" s="55"/>
      <c r="D107" s="17"/>
      <c r="E107" s="17"/>
      <c r="G107" s="17"/>
      <c r="H107" s="17"/>
      <c r="I107" s="17"/>
      <c r="J107" s="42"/>
      <c r="K107" s="17"/>
      <c r="L107" s="17"/>
      <c r="M107" s="17"/>
      <c r="P107" s="17"/>
      <c r="Q107" s="17"/>
      <c r="R107" s="42"/>
      <c r="S107" s="17"/>
      <c r="T107" s="17"/>
      <c r="U107" s="17"/>
      <c r="V107" s="42"/>
      <c r="W107" s="17"/>
      <c r="X107" s="17"/>
    </row>
    <row r="108" spans="1:26" x14ac:dyDescent="0.3">
      <c r="D108" s="17"/>
      <c r="E108" s="17"/>
      <c r="G108" s="17"/>
      <c r="H108" s="17"/>
      <c r="I108" s="17"/>
      <c r="J108" s="42"/>
      <c r="K108" s="17"/>
      <c r="L108" s="17"/>
      <c r="M108" s="17"/>
      <c r="P108" s="17"/>
      <c r="Q108" s="17"/>
      <c r="R108" s="42"/>
      <c r="S108" s="17"/>
      <c r="T108" s="17"/>
      <c r="U108" s="17"/>
      <c r="V108" s="42"/>
      <c r="W108" s="17"/>
      <c r="X108" s="17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92D050"/>
    <outlinePr summaryBelow="0" summaryRight="0"/>
  </sheetPr>
  <dimension ref="A2:Z4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","200", " - ", "Corporate Expense")</f>
        <v>Department 200 - Corporate Expense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5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1">
        <f>SUM(OSRRefD22x_0)</f>
        <v>29097.55</v>
      </c>
      <c r="E18" s="21"/>
      <c r="F18" s="30">
        <f t="shared" ref="F18:F27" si="0">IF(D$12=0,0,D18/D$12)</f>
        <v>0</v>
      </c>
      <c r="G18" s="21"/>
      <c r="H18" s="21">
        <f>SUM(OSRRefH22x_0)</f>
        <v>41008</v>
      </c>
      <c r="I18" s="21"/>
      <c r="J18" s="30">
        <f t="shared" ref="J18:J27" si="1">IF(H$12=0,0,H18/H$12)</f>
        <v>0</v>
      </c>
      <c r="K18" s="4"/>
      <c r="L18" s="21">
        <f t="shared" ref="L18:L27" si="2">+D18-H18</f>
        <v>-11910.45</v>
      </c>
      <c r="M18" s="4"/>
      <c r="N18" s="30">
        <f t="shared" ref="N18:N27" si="3">IF(H18=0,0,L18/H18)</f>
        <v>-0.29044210885680843</v>
      </c>
      <c r="O18" s="10"/>
      <c r="P18" s="21">
        <f>SUM(OSRRefP22x_0)</f>
        <v>169665.84999999998</v>
      </c>
      <c r="Q18" s="21"/>
      <c r="R18" s="30">
        <f t="shared" ref="R18:R27" si="4">IF(P$12=0,0,P18/P$12)</f>
        <v>0</v>
      </c>
      <c r="S18" s="21"/>
      <c r="T18" s="21">
        <f>SUM(OSRRefT22x_0)</f>
        <v>231540</v>
      </c>
      <c r="U18" s="21"/>
      <c r="V18" s="30">
        <f t="shared" ref="V18:V27" si="5">IF(T$12=0,0,T18/T$12)</f>
        <v>0</v>
      </c>
      <c r="W18" s="4"/>
      <c r="X18" s="21">
        <f t="shared" ref="X18:X27" si="6">+P18-T18</f>
        <v>-61874.150000000023</v>
      </c>
      <c r="Y18" s="4"/>
      <c r="Z18" s="30">
        <f t="shared" ref="Z18:Z27" si="7">IF(T18=0,0,X18/T18)</f>
        <v>-0.26722877256629535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27384.04</v>
      </c>
      <c r="E19" s="1"/>
      <c r="F19" s="5">
        <f t="shared" si="0"/>
        <v>0</v>
      </c>
      <c r="G19" s="1"/>
      <c r="H19" s="1">
        <f>SUM(OSRRefH22_0x_0)</f>
        <v>35000</v>
      </c>
      <c r="I19" s="1"/>
      <c r="J19" s="5">
        <f t="shared" si="1"/>
        <v>0</v>
      </c>
      <c r="K19" s="1"/>
      <c r="L19" s="1">
        <f t="shared" si="2"/>
        <v>-7615.9599999999991</v>
      </c>
      <c r="M19" s="1"/>
      <c r="N19" s="5">
        <f t="shared" si="3"/>
        <v>-0.21759885714285712</v>
      </c>
      <c r="O19" s="14"/>
      <c r="P19" s="1">
        <f>SUM(OSRRefP22_0x_0)</f>
        <v>137041.29999999999</v>
      </c>
      <c r="Q19" s="1"/>
      <c r="R19" s="5">
        <f t="shared" si="4"/>
        <v>0</v>
      </c>
      <c r="S19" s="1"/>
      <c r="T19" s="1">
        <f>SUM(OSRRefT22_0x_0)</f>
        <v>175000</v>
      </c>
      <c r="U19" s="1"/>
      <c r="V19" s="5">
        <f t="shared" si="5"/>
        <v>0</v>
      </c>
      <c r="W19" s="1"/>
      <c r="X19" s="1">
        <f t="shared" si="6"/>
        <v>-37958.700000000012</v>
      </c>
      <c r="Y19" s="1"/>
      <c r="Z19" s="5">
        <f t="shared" si="7"/>
        <v>-0.21690685714285721</v>
      </c>
    </row>
    <row r="20" spans="1:26" s="24" customFormat="1" hidden="1" outlineLevel="2" x14ac:dyDescent="0.3">
      <c r="A20" s="27"/>
      <c r="B20" s="11" t="str">
        <f>CONCATENATE("          ", "6120", " - ", "RETIREES HEALTH INSURANCE")</f>
        <v xml:space="preserve">          6120 - RETIREES HEALTH INSURANCE</v>
      </c>
      <c r="C20" s="11"/>
      <c r="D20" s="6">
        <v>27384.04</v>
      </c>
      <c r="E20" s="2"/>
      <c r="F20" s="7">
        <f t="shared" si="0"/>
        <v>0</v>
      </c>
      <c r="G20" s="2"/>
      <c r="H20" s="6">
        <v>35000</v>
      </c>
      <c r="I20" s="2"/>
      <c r="J20" s="7">
        <f t="shared" si="1"/>
        <v>0</v>
      </c>
      <c r="K20" s="2"/>
      <c r="L20" s="6">
        <f t="shared" si="2"/>
        <v>-7615.9599999999991</v>
      </c>
      <c r="M20" s="2"/>
      <c r="N20" s="7">
        <f t="shared" si="3"/>
        <v>-0.21759885714285712</v>
      </c>
      <c r="O20" s="11"/>
      <c r="P20" s="6">
        <v>137041.29999999999</v>
      </c>
      <c r="Q20" s="2"/>
      <c r="R20" s="7">
        <f t="shared" si="4"/>
        <v>0</v>
      </c>
      <c r="S20" s="2"/>
      <c r="T20" s="6">
        <v>175000</v>
      </c>
      <c r="U20" s="2"/>
      <c r="V20" s="7">
        <f t="shared" si="5"/>
        <v>0</v>
      </c>
      <c r="W20" s="2"/>
      <c r="X20" s="6">
        <f t="shared" si="6"/>
        <v>-37958.700000000012</v>
      </c>
      <c r="Y20" s="2"/>
      <c r="Z20" s="7">
        <f t="shared" si="7"/>
        <v>-0.21690685714285721</v>
      </c>
    </row>
    <row r="21" spans="1:26" s="29" customFormat="1" outlineLevel="1" collapsed="1" x14ac:dyDescent="0.3">
      <c r="A21" s="28"/>
      <c r="B21" s="14" t="str">
        <f>CONCATENATE("     ","Bank/card Fees                                    ")</f>
        <v xml:space="preserve">     Bank/card Fees                                    </v>
      </c>
      <c r="C21" s="14"/>
      <c r="D21" s="1">
        <f>SUM(OSRRefD22_1x_0)</f>
        <v>3.42</v>
      </c>
      <c r="E21" s="1"/>
      <c r="F21" s="5">
        <f t="shared" si="0"/>
        <v>0</v>
      </c>
      <c r="G21" s="1"/>
      <c r="H21" s="1">
        <f>SUM(OSRRefH22_1x_0)</f>
        <v>1000</v>
      </c>
      <c r="I21" s="1"/>
      <c r="J21" s="5">
        <f t="shared" si="1"/>
        <v>0</v>
      </c>
      <c r="K21" s="1"/>
      <c r="L21" s="1">
        <f t="shared" si="2"/>
        <v>-996.58</v>
      </c>
      <c r="M21" s="1"/>
      <c r="N21" s="5">
        <f t="shared" si="3"/>
        <v>-0.99658000000000002</v>
      </c>
      <c r="O21" s="14"/>
      <c r="P21" s="1">
        <f>SUM(OSRRefP22_1x_0)</f>
        <v>5479.22</v>
      </c>
      <c r="Q21" s="1"/>
      <c r="R21" s="5">
        <f t="shared" si="4"/>
        <v>0</v>
      </c>
      <c r="S21" s="1"/>
      <c r="T21" s="1">
        <f>SUM(OSRRefT22_1x_0)</f>
        <v>16000</v>
      </c>
      <c r="U21" s="1"/>
      <c r="V21" s="5">
        <f t="shared" si="5"/>
        <v>0</v>
      </c>
      <c r="W21" s="1"/>
      <c r="X21" s="1">
        <f t="shared" si="6"/>
        <v>-10520.779999999999</v>
      </c>
      <c r="Y21" s="1"/>
      <c r="Z21" s="5">
        <f t="shared" si="7"/>
        <v>-0.6575487499999999</v>
      </c>
    </row>
    <row r="22" spans="1:26" s="24" customFormat="1" hidden="1" outlineLevel="2" x14ac:dyDescent="0.3">
      <c r="A22" s="27"/>
      <c r="B22" s="11" t="str">
        <f>CONCATENATE("          ", "6381", " - ", "BANK/CREDIT CARD FEES")</f>
        <v xml:space="preserve">          6381 - BANK/CREDIT CARD FEES</v>
      </c>
      <c r="C22" s="11"/>
      <c r="D22" s="6">
        <v>3.42</v>
      </c>
      <c r="E22" s="2"/>
      <c r="F22" s="7">
        <f t="shared" si="0"/>
        <v>0</v>
      </c>
      <c r="G22" s="2"/>
      <c r="H22" s="6">
        <v>1000</v>
      </c>
      <c r="I22" s="2"/>
      <c r="J22" s="7">
        <f t="shared" si="1"/>
        <v>0</v>
      </c>
      <c r="K22" s="2"/>
      <c r="L22" s="6">
        <f t="shared" si="2"/>
        <v>-996.58</v>
      </c>
      <c r="M22" s="2"/>
      <c r="N22" s="7">
        <f t="shared" si="3"/>
        <v>-0.99658000000000002</v>
      </c>
      <c r="O22" s="11"/>
      <c r="P22" s="6">
        <v>5479.22</v>
      </c>
      <c r="Q22" s="2"/>
      <c r="R22" s="7">
        <f t="shared" si="4"/>
        <v>0</v>
      </c>
      <c r="S22" s="2"/>
      <c r="T22" s="6">
        <v>16000</v>
      </c>
      <c r="U22" s="2"/>
      <c r="V22" s="7">
        <f t="shared" si="5"/>
        <v>0</v>
      </c>
      <c r="W22" s="2"/>
      <c r="X22" s="6">
        <f t="shared" si="6"/>
        <v>-10520.779999999999</v>
      </c>
      <c r="Y22" s="2"/>
      <c r="Z22" s="7">
        <f t="shared" si="7"/>
        <v>-0.6575487499999999</v>
      </c>
    </row>
    <row r="23" spans="1:26" s="29" customFormat="1" outlineLevel="1" collapsed="1" x14ac:dyDescent="0.3">
      <c r="A23" s="28"/>
      <c r="B23" s="14" t="str">
        <f>CONCATENATE("     ","Board                                             ")</f>
        <v xml:space="preserve">     Board                                             </v>
      </c>
      <c r="C23" s="14"/>
      <c r="D23" s="1">
        <f>SUM(OSRRefD22_2x_0)</f>
        <v>1560.09</v>
      </c>
      <c r="E23" s="1"/>
      <c r="F23" s="5">
        <f t="shared" si="0"/>
        <v>0</v>
      </c>
      <c r="G23" s="1"/>
      <c r="H23" s="1">
        <f>SUM(OSRRefH22_2x_0)</f>
        <v>2008</v>
      </c>
      <c r="I23" s="1"/>
      <c r="J23" s="5">
        <f t="shared" si="1"/>
        <v>0</v>
      </c>
      <c r="K23" s="1"/>
      <c r="L23" s="1">
        <f t="shared" si="2"/>
        <v>-447.91000000000008</v>
      </c>
      <c r="M23" s="1"/>
      <c r="N23" s="5">
        <f t="shared" si="3"/>
        <v>-0.2230627490039841</v>
      </c>
      <c r="O23" s="14"/>
      <c r="P23" s="1">
        <f>SUM(OSRRefP22_2x_0)</f>
        <v>6319.83</v>
      </c>
      <c r="Q23" s="1"/>
      <c r="R23" s="5">
        <f t="shared" si="4"/>
        <v>0</v>
      </c>
      <c r="S23" s="1"/>
      <c r="T23" s="1">
        <f>SUM(OSRRefT22_2x_0)</f>
        <v>6540</v>
      </c>
      <c r="U23" s="1"/>
      <c r="V23" s="5">
        <f t="shared" si="5"/>
        <v>0</v>
      </c>
      <c r="W23" s="1"/>
      <c r="X23" s="1">
        <f t="shared" si="6"/>
        <v>-220.17000000000007</v>
      </c>
      <c r="Y23" s="1"/>
      <c r="Z23" s="5">
        <f t="shared" si="7"/>
        <v>-3.366513761467891E-2</v>
      </c>
    </row>
    <row r="24" spans="1:26" s="24" customFormat="1" hidden="1" outlineLevel="2" x14ac:dyDescent="0.3">
      <c r="A24" s="27"/>
      <c r="B24" s="11" t="str">
        <f>CONCATENATE("          ", "6397", " - ", "BOARD EXPENSES")</f>
        <v xml:space="preserve">          6397 - BOARD EXPENSES</v>
      </c>
      <c r="C24" s="11"/>
      <c r="D24" s="6">
        <v>1560.09</v>
      </c>
      <c r="E24" s="2"/>
      <c r="F24" s="7">
        <f t="shared" si="0"/>
        <v>0</v>
      </c>
      <c r="G24" s="2"/>
      <c r="H24" s="6">
        <v>2008</v>
      </c>
      <c r="I24" s="2"/>
      <c r="J24" s="7">
        <f t="shared" si="1"/>
        <v>0</v>
      </c>
      <c r="K24" s="2"/>
      <c r="L24" s="6">
        <f t="shared" si="2"/>
        <v>-447.91000000000008</v>
      </c>
      <c r="M24" s="2"/>
      <c r="N24" s="7">
        <f t="shared" si="3"/>
        <v>-0.2230627490039841</v>
      </c>
      <c r="O24" s="11"/>
      <c r="P24" s="6">
        <v>6319.83</v>
      </c>
      <c r="Q24" s="2"/>
      <c r="R24" s="7">
        <f t="shared" si="4"/>
        <v>0</v>
      </c>
      <c r="S24" s="2"/>
      <c r="T24" s="6">
        <v>6540</v>
      </c>
      <c r="U24" s="2"/>
      <c r="V24" s="7">
        <f t="shared" si="5"/>
        <v>0</v>
      </c>
      <c r="W24" s="2"/>
      <c r="X24" s="6">
        <f t="shared" si="6"/>
        <v>-220.17000000000007</v>
      </c>
      <c r="Y24" s="2"/>
      <c r="Z24" s="7">
        <f t="shared" si="7"/>
        <v>-3.366513761467891E-2</v>
      </c>
    </row>
    <row r="25" spans="1:26" s="29" customFormat="1" outlineLevel="1" collapsed="1" x14ac:dyDescent="0.3">
      <c r="A25" s="28"/>
      <c r="B25" s="14" t="str">
        <f>CONCATENATE("     ","Professional Services                             ")</f>
        <v xml:space="preserve">     Professional Services                             </v>
      </c>
      <c r="C25" s="14"/>
      <c r="D25" s="1">
        <f>SUM(OSRRefD22_3x_0)</f>
        <v>150</v>
      </c>
      <c r="E25" s="1"/>
      <c r="F25" s="5">
        <f t="shared" si="0"/>
        <v>0</v>
      </c>
      <c r="G25" s="1"/>
      <c r="H25" s="1">
        <f>SUM(OSRRefH22_3x_0)</f>
        <v>3000</v>
      </c>
      <c r="I25" s="1"/>
      <c r="J25" s="5">
        <f t="shared" si="1"/>
        <v>0</v>
      </c>
      <c r="K25" s="1"/>
      <c r="L25" s="1">
        <f t="shared" si="2"/>
        <v>-2850</v>
      </c>
      <c r="M25" s="1"/>
      <c r="N25" s="5">
        <f t="shared" si="3"/>
        <v>-0.95</v>
      </c>
      <c r="O25" s="14"/>
      <c r="P25" s="1">
        <f>SUM(OSRRefP22_3x_0)</f>
        <v>20825.5</v>
      </c>
      <c r="Q25" s="1"/>
      <c r="R25" s="5">
        <f t="shared" si="4"/>
        <v>0</v>
      </c>
      <c r="S25" s="1"/>
      <c r="T25" s="1">
        <f>SUM(OSRRefT22_3x_0)</f>
        <v>34000</v>
      </c>
      <c r="U25" s="1"/>
      <c r="V25" s="5">
        <f t="shared" si="5"/>
        <v>0</v>
      </c>
      <c r="W25" s="1"/>
      <c r="X25" s="1">
        <f t="shared" si="6"/>
        <v>-13174.5</v>
      </c>
      <c r="Y25" s="1"/>
      <c r="Z25" s="5">
        <f t="shared" si="7"/>
        <v>-0.38748529411764704</v>
      </c>
    </row>
    <row r="26" spans="1:26" s="24" customFormat="1" hidden="1" outlineLevel="2" x14ac:dyDescent="0.3">
      <c r="A26" s="27"/>
      <c r="B26" s="11" t="str">
        <f>CONCATENATE("          ", "6331", " - ", "INDIRECT COSTS-AUXILIARY ORGAN")</f>
        <v xml:space="preserve">          6331 - INDIRECT COSTS-AUXILIARY ORGAN</v>
      </c>
      <c r="C26" s="11"/>
      <c r="D26" s="6">
        <v>150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150</v>
      </c>
      <c r="M26" s="2"/>
      <c r="N26" s="7">
        <f t="shared" si="3"/>
        <v>0</v>
      </c>
      <c r="O26" s="11"/>
      <c r="P26" s="6">
        <v>20825.5</v>
      </c>
      <c r="Q26" s="2"/>
      <c r="R26" s="7">
        <f t="shared" si="4"/>
        <v>0</v>
      </c>
      <c r="S26" s="2"/>
      <c r="T26" s="6">
        <v>26000</v>
      </c>
      <c r="U26" s="2"/>
      <c r="V26" s="7">
        <f t="shared" si="5"/>
        <v>0</v>
      </c>
      <c r="W26" s="2"/>
      <c r="X26" s="6">
        <f t="shared" si="6"/>
        <v>-5174.5</v>
      </c>
      <c r="Y26" s="2"/>
      <c r="Z26" s="7">
        <f t="shared" si="7"/>
        <v>-0.19901923076923078</v>
      </c>
    </row>
    <row r="27" spans="1:26" s="24" customFormat="1" hidden="1" outlineLevel="2" x14ac:dyDescent="0.3">
      <c r="A27" s="27"/>
      <c r="B27" s="11" t="str">
        <f>CONCATENATE("          ", "6332", " - ", "CONSULTANT FEES")</f>
        <v xml:space="preserve">          6332 - CONSULTANT FEES</v>
      </c>
      <c r="C27" s="11"/>
      <c r="D27" s="6"/>
      <c r="E27" s="2"/>
      <c r="F27" s="7">
        <f t="shared" si="0"/>
        <v>0</v>
      </c>
      <c r="G27" s="2"/>
      <c r="H27" s="6">
        <v>3000</v>
      </c>
      <c r="I27" s="2"/>
      <c r="J27" s="7">
        <f t="shared" si="1"/>
        <v>0</v>
      </c>
      <c r="K27" s="2"/>
      <c r="L27" s="6">
        <f t="shared" si="2"/>
        <v>-3000</v>
      </c>
      <c r="M27" s="2"/>
      <c r="N27" s="7">
        <f t="shared" si="3"/>
        <v>-1</v>
      </c>
      <c r="O27" s="11"/>
      <c r="P27" s="6"/>
      <c r="Q27" s="2"/>
      <c r="R27" s="7">
        <f t="shared" si="4"/>
        <v>0</v>
      </c>
      <c r="S27" s="2"/>
      <c r="T27" s="6">
        <v>8000</v>
      </c>
      <c r="U27" s="2"/>
      <c r="V27" s="7">
        <f t="shared" si="5"/>
        <v>0</v>
      </c>
      <c r="W27" s="2"/>
      <c r="X27" s="6">
        <f t="shared" si="6"/>
        <v>-8000</v>
      </c>
      <c r="Y27" s="2"/>
      <c r="Z27" s="7">
        <f t="shared" si="7"/>
        <v>-1</v>
      </c>
    </row>
    <row r="28" spans="1:26" s="63" customFormat="1" x14ac:dyDescent="0.3">
      <c r="A28" s="36"/>
      <c r="B28" s="36"/>
      <c r="C28" s="36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6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3">
      <c r="A29" s="10"/>
      <c r="B29" s="25" t="s">
        <v>293</v>
      </c>
      <c r="C29" s="10"/>
      <c r="D29" s="4">
        <f>SUM(0)</f>
        <v>0</v>
      </c>
      <c r="E29" s="4"/>
      <c r="F29" s="12">
        <f>IF(D$12=0,0,D29/D$12)</f>
        <v>0</v>
      </c>
      <c r="G29" s="4"/>
      <c r="H29" s="4">
        <f>SUM(0)</f>
        <v>0</v>
      </c>
      <c r="I29" s="4"/>
      <c r="J29" s="12">
        <f>IF(H$12=0,0,H29/H$12)</f>
        <v>0</v>
      </c>
      <c r="K29" s="4"/>
      <c r="L29" s="4">
        <f>+D29-H29</f>
        <v>0</v>
      </c>
      <c r="M29" s="4"/>
      <c r="N29" s="12">
        <f>IF(H29=0,0,L29/H29)</f>
        <v>0</v>
      </c>
      <c r="O29" s="10"/>
      <c r="P29" s="4">
        <f>SUM(0)</f>
        <v>0</v>
      </c>
      <c r="Q29" s="4"/>
      <c r="R29" s="12">
        <f>IF(P$12=0,0,P29/P$12)</f>
        <v>0</v>
      </c>
      <c r="S29" s="4"/>
      <c r="T29" s="4">
        <f>SUM(0)</f>
        <v>0</v>
      </c>
      <c r="U29" s="4"/>
      <c r="V29" s="12">
        <f>IF(T$12=0,0,T29/T$12)</f>
        <v>0</v>
      </c>
      <c r="W29" s="4"/>
      <c r="X29" s="4">
        <f>+P29-T29</f>
        <v>0</v>
      </c>
      <c r="Y29" s="4"/>
      <c r="Z29" s="12">
        <f>IF(T29=0,0,X29/T29)</f>
        <v>0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3">
      <c r="A31" s="10"/>
      <c r="B31" s="26" t="s">
        <v>277</v>
      </c>
      <c r="C31" s="26"/>
      <c r="D31" s="20">
        <f>+D16-D18+D29</f>
        <v>-29097.55</v>
      </c>
      <c r="E31" s="13"/>
      <c r="F31" s="22">
        <f>IF(D$12=0,0,D31/D$12)</f>
        <v>0</v>
      </c>
      <c r="G31" s="13"/>
      <c r="H31" s="20">
        <f>+H16-H18+H29</f>
        <v>-41008</v>
      </c>
      <c r="I31" s="13"/>
      <c r="J31" s="22">
        <f>IF(H$12=0,0,H31/H$12)</f>
        <v>0</v>
      </c>
      <c r="K31" s="15"/>
      <c r="L31" s="20">
        <f>+D31-H31</f>
        <v>11910.45</v>
      </c>
      <c r="M31" s="15"/>
      <c r="N31" s="22">
        <f>IF(H31=0,0,L31/H31)</f>
        <v>-0.29044210885680843</v>
      </c>
      <c r="O31" s="25"/>
      <c r="P31" s="20">
        <f>+P16-P18+P29</f>
        <v>-169665.84999999998</v>
      </c>
      <c r="Q31" s="13"/>
      <c r="R31" s="22">
        <f>IF(P$12=0,0,P31/P$12)</f>
        <v>0</v>
      </c>
      <c r="S31" s="13"/>
      <c r="T31" s="20">
        <f>+T16-T18+T29</f>
        <v>-231540</v>
      </c>
      <c r="U31" s="13"/>
      <c r="V31" s="22">
        <f>IF(T$12=0,0,T31/T$12)</f>
        <v>0</v>
      </c>
      <c r="W31" s="15"/>
      <c r="X31" s="20">
        <f>+P31-T31</f>
        <v>61874.150000000023</v>
      </c>
      <c r="Y31" s="15"/>
      <c r="Z31" s="22">
        <f>IF(T31=0,0,X31/T31)</f>
        <v>-0.26722877256629535</v>
      </c>
    </row>
    <row r="32" spans="1:26" x14ac:dyDescent="0.3">
      <c r="A32" s="9"/>
      <c r="B32" s="10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128</v>
      </c>
      <c r="C33" s="10"/>
      <c r="D33" s="4"/>
      <c r="E33" s="4"/>
      <c r="F33" s="12">
        <f>IF(D$12=0,0,D33/D$12)</f>
        <v>0</v>
      </c>
      <c r="G33" s="4"/>
      <c r="H33" s="4"/>
      <c r="I33" s="4"/>
      <c r="J33" s="12">
        <f>IF(H$12=0,0,H33/H$12)</f>
        <v>0</v>
      </c>
      <c r="K33" s="4"/>
      <c r="L33" s="4">
        <f>+D33-H33</f>
        <v>0</v>
      </c>
      <c r="M33" s="4"/>
      <c r="N33" s="12">
        <f>IF(H33=0,0,L33/H33)</f>
        <v>0</v>
      </c>
      <c r="O33" s="10"/>
      <c r="P33" s="4"/>
      <c r="Q33" s="4"/>
      <c r="R33" s="12">
        <f>IF(P$12=0,0,P33/P$12)</f>
        <v>0</v>
      </c>
      <c r="S33" s="4"/>
      <c r="T33" s="4"/>
      <c r="U33" s="4"/>
      <c r="V33" s="12">
        <f>IF(T$12=0,0,T33/T$12)</f>
        <v>0</v>
      </c>
      <c r="W33" s="4"/>
      <c r="X33" s="4">
        <f>+P33-T33</f>
        <v>0</v>
      </c>
      <c r="Y33" s="4"/>
      <c r="Z33" s="12">
        <f>IF(T33=0,0,X33/T33)</f>
        <v>0</v>
      </c>
    </row>
    <row r="34" spans="1:26" x14ac:dyDescent="0.3">
      <c r="A34" s="9"/>
      <c r="B34" s="10"/>
      <c r="C34" s="10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0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" thickBot="1" x14ac:dyDescent="0.35">
      <c r="A35" s="10"/>
      <c r="B35" s="26" t="s">
        <v>126</v>
      </c>
      <c r="C35" s="26"/>
      <c r="D35" s="33">
        <f>+D31-D33</f>
        <v>-29097.55</v>
      </c>
      <c r="E35" s="13"/>
      <c r="F35" s="34">
        <f>IF(D$12=0,0,D35/D$12)</f>
        <v>0</v>
      </c>
      <c r="G35" s="13"/>
      <c r="H35" s="33">
        <f>+H31-H33</f>
        <v>-41008</v>
      </c>
      <c r="I35" s="13"/>
      <c r="J35" s="34">
        <f>IF(H$12=0,0,H35/H$12)</f>
        <v>0</v>
      </c>
      <c r="K35" s="15"/>
      <c r="L35" s="33">
        <f>D35-H35</f>
        <v>11910.45</v>
      </c>
      <c r="M35" s="15"/>
      <c r="N35" s="34">
        <f>IF(H35=0,0,L35/H35)</f>
        <v>-0.29044210885680843</v>
      </c>
      <c r="O35" s="25"/>
      <c r="P35" s="33">
        <f>+P31-P33</f>
        <v>-169665.84999999998</v>
      </c>
      <c r="Q35" s="13"/>
      <c r="R35" s="34">
        <f>IF(P$12=0,0,P35/P$12)</f>
        <v>0</v>
      </c>
      <c r="S35" s="13"/>
      <c r="T35" s="33">
        <f>+T31-T33</f>
        <v>-231540</v>
      </c>
      <c r="U35" s="13"/>
      <c r="V35" s="34">
        <f>IF(T$12=0,0,T35/T$12)</f>
        <v>0</v>
      </c>
      <c r="W35" s="15"/>
      <c r="X35" s="33">
        <f>P35-T35</f>
        <v>61874.150000000023</v>
      </c>
      <c r="Y35" s="15"/>
      <c r="Z35" s="34">
        <f>IF(T35=0,0,X35/T35)</f>
        <v>-0.26722877256629535</v>
      </c>
    </row>
    <row r="36" spans="1:26" ht="15" thickTop="1" x14ac:dyDescent="0.3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x14ac:dyDescent="0.3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ht="15" thickBot="1" x14ac:dyDescent="0.35">
      <c r="A38" s="10"/>
      <c r="B38" s="26" t="s">
        <v>294</v>
      </c>
      <c r="C38" s="26"/>
      <c r="D38" s="35">
        <f>SUM(D35:D37)</f>
        <v>-29097.55</v>
      </c>
      <c r="E38" s="13"/>
      <c r="F38" s="32">
        <f>IF(D$12=0,0,D38/D$12)</f>
        <v>0</v>
      </c>
      <c r="G38" s="13"/>
      <c r="H38" s="35">
        <f>SUM(H35:H37)</f>
        <v>-41008</v>
      </c>
      <c r="I38" s="13"/>
      <c r="J38" s="32">
        <f>IF(H$12=0,0,H38/H$12)</f>
        <v>0</v>
      </c>
      <c r="K38" s="15"/>
      <c r="L38" s="35">
        <f>+D38-H38</f>
        <v>11910.45</v>
      </c>
      <c r="M38" s="15"/>
      <c r="N38" s="32">
        <f>IF(H38=0,0,L38/H38)</f>
        <v>-0.29044210885680843</v>
      </c>
      <c r="O38" s="25"/>
      <c r="P38" s="35">
        <f>SUM(P35:P37)</f>
        <v>-169665.84999999998</v>
      </c>
      <c r="Q38" s="13"/>
      <c r="R38" s="32">
        <f>IF(P$12=0,0,P38/P$12)</f>
        <v>0</v>
      </c>
      <c r="S38" s="13"/>
      <c r="T38" s="35">
        <f>SUM(T35:T37)</f>
        <v>-231540</v>
      </c>
      <c r="U38" s="13"/>
      <c r="V38" s="32">
        <f>IF(T$12=0,0,T38/T$12)</f>
        <v>0</v>
      </c>
      <c r="W38" s="15"/>
      <c r="X38" s="35">
        <f>+P38-T38</f>
        <v>61874.150000000023</v>
      </c>
      <c r="Y38" s="15"/>
      <c r="Z38" s="32">
        <f>IF(T38=0,0,X38/T38)</f>
        <v>-0.26722877256629535</v>
      </c>
    </row>
    <row r="39" spans="1:26" ht="15" thickTop="1" x14ac:dyDescent="0.3">
      <c r="A39" s="9"/>
      <c r="C39" s="9"/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60">
        <v>44543.753113078703</v>
      </c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A41" s="9"/>
      <c r="B41" s="58" t="s">
        <v>56</v>
      </c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  <row r="42" spans="1:26" x14ac:dyDescent="0.3">
      <c r="A42" s="9"/>
      <c r="B42" s="55"/>
      <c r="D42" s="17"/>
      <c r="E42" s="17"/>
      <c r="G42" s="17"/>
      <c r="H42" s="17"/>
      <c r="I42" s="17"/>
      <c r="J42" s="42"/>
      <c r="K42" s="17"/>
      <c r="L42" s="17"/>
      <c r="M42" s="17"/>
      <c r="P42" s="17"/>
      <c r="Q42" s="17"/>
      <c r="R42" s="42"/>
      <c r="S42" s="17"/>
      <c r="T42" s="17"/>
      <c r="U42" s="17"/>
      <c r="V42" s="42"/>
      <c r="W42" s="17"/>
      <c r="X42" s="17"/>
    </row>
    <row r="43" spans="1:26" x14ac:dyDescent="0.3">
      <c r="D43" s="17"/>
      <c r="E43" s="17"/>
      <c r="G43" s="17"/>
      <c r="H43" s="17"/>
      <c r="I43" s="17"/>
      <c r="J43" s="42"/>
      <c r="K43" s="17"/>
      <c r="L43" s="17"/>
      <c r="M43" s="17"/>
      <c r="P43" s="17"/>
      <c r="Q43" s="17"/>
      <c r="R43" s="42"/>
      <c r="S43" s="17"/>
      <c r="T43" s="17"/>
      <c r="U43" s="17"/>
      <c r="V43" s="42"/>
      <c r="W43" s="17"/>
      <c r="X43" s="17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92D050"/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","201", " - ", "General Manager")</f>
        <v>Department 201 - General Manager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5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1">
        <f>SUM(OSRRefD22x_0)</f>
        <v>72649.430000000008</v>
      </c>
      <c r="E18" s="21"/>
      <c r="F18" s="30">
        <f t="shared" ref="F18:F28" si="0">IF(D$12=0,0,D18/D$12)</f>
        <v>0</v>
      </c>
      <c r="G18" s="21"/>
      <c r="H18" s="21">
        <f>SUM(OSRRefH22x_0)</f>
        <v>63332.928969230801</v>
      </c>
      <c r="I18" s="21"/>
      <c r="J18" s="30">
        <f t="shared" ref="J18:J28" si="1">IF(H$12=0,0,H18/H$12)</f>
        <v>0</v>
      </c>
      <c r="K18" s="4"/>
      <c r="L18" s="21">
        <f t="shared" ref="L18:L28" si="2">+D18-H18</f>
        <v>9316.5010307692064</v>
      </c>
      <c r="M18" s="4"/>
      <c r="N18" s="30">
        <f t="shared" ref="N18:N28" si="3">IF(H18=0,0,L18/H18)</f>
        <v>0.14710358706598689</v>
      </c>
      <c r="O18" s="10"/>
      <c r="P18" s="21">
        <f>SUM(OSRRefP22x_0)</f>
        <v>208633.72999999998</v>
      </c>
      <c r="Q18" s="21"/>
      <c r="R18" s="30">
        <f t="shared" ref="R18:R28" si="4">IF(P$12=0,0,P18/P$12)</f>
        <v>0</v>
      </c>
      <c r="S18" s="21"/>
      <c r="T18" s="21">
        <f>SUM(OSRRefT22x_0)</f>
        <v>258362.64990769222</v>
      </c>
      <c r="U18" s="21"/>
      <c r="V18" s="30">
        <f t="shared" ref="V18:V28" si="5">IF(T$12=0,0,T18/T$12)</f>
        <v>0</v>
      </c>
      <c r="W18" s="4"/>
      <c r="X18" s="21">
        <f t="shared" ref="X18:X28" si="6">+P18-T18</f>
        <v>-49728.919907692238</v>
      </c>
      <c r="Y18" s="4"/>
      <c r="Z18" s="30">
        <f t="shared" ref="Z18:Z28" si="7">IF(T18=0,0,X18/T18)</f>
        <v>-0.19247720181481101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9631.2899999999991</v>
      </c>
      <c r="E19" s="1"/>
      <c r="F19" s="5">
        <f t="shared" si="0"/>
        <v>0</v>
      </c>
      <c r="G19" s="1"/>
      <c r="H19" s="1">
        <f>SUM(OSRRefH22_0x_0)</f>
        <v>10715.590507692315</v>
      </c>
      <c r="I19" s="1"/>
      <c r="J19" s="5">
        <f t="shared" si="1"/>
        <v>0</v>
      </c>
      <c r="K19" s="1"/>
      <c r="L19" s="1">
        <f t="shared" si="2"/>
        <v>-1084.3005076923164</v>
      </c>
      <c r="M19" s="1"/>
      <c r="N19" s="5">
        <f t="shared" si="3"/>
        <v>-0.10118905784183692</v>
      </c>
      <c r="O19" s="14"/>
      <c r="P19" s="1">
        <f>SUM(OSRRefP22_0x_0)</f>
        <v>53644.63</v>
      </c>
      <c r="Q19" s="1"/>
      <c r="R19" s="5">
        <f t="shared" si="4"/>
        <v>0</v>
      </c>
      <c r="S19" s="1"/>
      <c r="T19" s="1">
        <f>SUM(OSRRefT22_0x_0)</f>
        <v>46282.634523076915</v>
      </c>
      <c r="U19" s="1"/>
      <c r="V19" s="5">
        <f t="shared" si="5"/>
        <v>0</v>
      </c>
      <c r="W19" s="1"/>
      <c r="X19" s="1">
        <f t="shared" si="6"/>
        <v>7361.9954769230826</v>
      </c>
      <c r="Y19" s="1"/>
      <c r="Z19" s="5">
        <f t="shared" si="7"/>
        <v>0.15906604178403735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6">
        <v>594.23</v>
      </c>
      <c r="E20" s="2"/>
      <c r="F20" s="7">
        <f t="shared" si="0"/>
        <v>0</v>
      </c>
      <c r="G20" s="2"/>
      <c r="H20" s="6">
        <v>1951.0440461538501</v>
      </c>
      <c r="I20" s="2"/>
      <c r="J20" s="7">
        <f t="shared" si="1"/>
        <v>0</v>
      </c>
      <c r="K20" s="2"/>
      <c r="L20" s="6">
        <f t="shared" si="2"/>
        <v>-1356.8140461538501</v>
      </c>
      <c r="M20" s="2"/>
      <c r="N20" s="7">
        <f t="shared" si="3"/>
        <v>-0.69542973610902181</v>
      </c>
      <c r="O20" s="11"/>
      <c r="P20" s="6">
        <v>6363.14</v>
      </c>
      <c r="Q20" s="2"/>
      <c r="R20" s="7">
        <f t="shared" si="4"/>
        <v>0</v>
      </c>
      <c r="S20" s="2"/>
      <c r="T20" s="6">
        <v>8386.2751384615294</v>
      </c>
      <c r="U20" s="2"/>
      <c r="V20" s="7">
        <f t="shared" si="5"/>
        <v>0</v>
      </c>
      <c r="W20" s="2"/>
      <c r="X20" s="6">
        <f t="shared" si="6"/>
        <v>-2023.1351384615291</v>
      </c>
      <c r="Y20" s="2"/>
      <c r="Z20" s="7">
        <f t="shared" si="7"/>
        <v>-0.24124359206662938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247.78</v>
      </c>
      <c r="E21" s="2"/>
      <c r="F21" s="7">
        <f t="shared" si="0"/>
        <v>0</v>
      </c>
      <c r="G21" s="2"/>
      <c r="H21" s="6">
        <v>79.030923076923102</v>
      </c>
      <c r="I21" s="2"/>
      <c r="J21" s="7">
        <f t="shared" si="1"/>
        <v>0</v>
      </c>
      <c r="K21" s="2"/>
      <c r="L21" s="6">
        <f t="shared" si="2"/>
        <v>168.7490769230769</v>
      </c>
      <c r="M21" s="2"/>
      <c r="N21" s="7">
        <f t="shared" si="3"/>
        <v>2.1352284694793267</v>
      </c>
      <c r="O21" s="11"/>
      <c r="P21" s="6">
        <v>1350.92</v>
      </c>
      <c r="Q21" s="2"/>
      <c r="R21" s="7">
        <f t="shared" si="4"/>
        <v>0</v>
      </c>
      <c r="S21" s="2"/>
      <c r="T21" s="6">
        <v>339.70276923076898</v>
      </c>
      <c r="U21" s="2"/>
      <c r="V21" s="7">
        <f t="shared" si="5"/>
        <v>0</v>
      </c>
      <c r="W21" s="2"/>
      <c r="X21" s="6">
        <f t="shared" si="6"/>
        <v>1011.217230769231</v>
      </c>
      <c r="Y21" s="2"/>
      <c r="Z21" s="7">
        <f t="shared" si="7"/>
        <v>2.9767706429331011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6">
        <v>3909.65</v>
      </c>
      <c r="E22" s="2"/>
      <c r="F22" s="7">
        <f t="shared" si="0"/>
        <v>0</v>
      </c>
      <c r="G22" s="2"/>
      <c r="H22" s="6">
        <v>4050</v>
      </c>
      <c r="I22" s="2"/>
      <c r="J22" s="7">
        <f t="shared" si="1"/>
        <v>0</v>
      </c>
      <c r="K22" s="2"/>
      <c r="L22" s="6">
        <f t="shared" si="2"/>
        <v>-140.34999999999991</v>
      </c>
      <c r="M22" s="2"/>
      <c r="N22" s="7">
        <f t="shared" si="3"/>
        <v>-3.4654320987654301E-2</v>
      </c>
      <c r="O22" s="11"/>
      <c r="P22" s="6">
        <v>19746.689999999999</v>
      </c>
      <c r="Q22" s="2"/>
      <c r="R22" s="7">
        <f t="shared" si="4"/>
        <v>0</v>
      </c>
      <c r="S22" s="2"/>
      <c r="T22" s="6">
        <v>17486</v>
      </c>
      <c r="U22" s="2"/>
      <c r="V22" s="7">
        <f t="shared" si="5"/>
        <v>0</v>
      </c>
      <c r="W22" s="2"/>
      <c r="X22" s="6">
        <f t="shared" si="6"/>
        <v>2260.6899999999987</v>
      </c>
      <c r="Y22" s="2"/>
      <c r="Z22" s="7">
        <f t="shared" si="7"/>
        <v>0.1292857142857142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49.94</v>
      </c>
      <c r="E23" s="2"/>
      <c r="F23" s="7">
        <f t="shared" si="0"/>
        <v>0</v>
      </c>
      <c r="G23" s="2"/>
      <c r="H23" s="6">
        <v>53.537076923076903</v>
      </c>
      <c r="I23" s="2"/>
      <c r="J23" s="7">
        <f t="shared" si="1"/>
        <v>0</v>
      </c>
      <c r="K23" s="2"/>
      <c r="L23" s="6">
        <f t="shared" si="2"/>
        <v>-3.5970769230769051</v>
      </c>
      <c r="M23" s="2"/>
      <c r="N23" s="7">
        <f t="shared" si="3"/>
        <v>-6.7188519243313455E-2</v>
      </c>
      <c r="O23" s="11"/>
      <c r="P23" s="6">
        <v>272.27999999999997</v>
      </c>
      <c r="Q23" s="2"/>
      <c r="R23" s="7">
        <f t="shared" si="4"/>
        <v>0</v>
      </c>
      <c r="S23" s="2"/>
      <c r="T23" s="6">
        <v>230.121230769231</v>
      </c>
      <c r="U23" s="2"/>
      <c r="V23" s="7">
        <f t="shared" si="5"/>
        <v>0</v>
      </c>
      <c r="W23" s="2"/>
      <c r="X23" s="6">
        <f t="shared" si="6"/>
        <v>42.158769230768968</v>
      </c>
      <c r="Y23" s="2"/>
      <c r="Z23" s="7">
        <f t="shared" si="7"/>
        <v>0.18320243243026285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6">
        <v>2042.29</v>
      </c>
      <c r="E24" s="2"/>
      <c r="F24" s="7">
        <f t="shared" si="0"/>
        <v>0</v>
      </c>
      <c r="G24" s="2"/>
      <c r="H24" s="6">
        <v>2192.4707692307702</v>
      </c>
      <c r="I24" s="2"/>
      <c r="J24" s="7">
        <f t="shared" si="1"/>
        <v>0</v>
      </c>
      <c r="K24" s="2"/>
      <c r="L24" s="6">
        <f t="shared" si="2"/>
        <v>-150.18076923077024</v>
      </c>
      <c r="M24" s="2"/>
      <c r="N24" s="7">
        <f t="shared" si="3"/>
        <v>-6.8498413451350715E-2</v>
      </c>
      <c r="O24" s="11"/>
      <c r="P24" s="6">
        <v>11136.71</v>
      </c>
      <c r="Q24" s="2"/>
      <c r="R24" s="7">
        <f t="shared" si="4"/>
        <v>0</v>
      </c>
      <c r="S24" s="2"/>
      <c r="T24" s="6">
        <v>9424.0123076923101</v>
      </c>
      <c r="U24" s="2"/>
      <c r="V24" s="7">
        <f t="shared" si="5"/>
        <v>0</v>
      </c>
      <c r="W24" s="2"/>
      <c r="X24" s="6">
        <f t="shared" si="6"/>
        <v>1712.6976923076891</v>
      </c>
      <c r="Y24" s="2"/>
      <c r="Z24" s="7">
        <f t="shared" si="7"/>
        <v>0.18173763322759107</v>
      </c>
    </row>
    <row r="25" spans="1:26" s="24" customFormat="1" hidden="1" outlineLevel="2" x14ac:dyDescent="0.3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3">
      <c r="A26" s="27"/>
      <c r="B26" s="11" t="str">
        <f>CONCATENATE("          ", "6118", " - ", "VACATION")</f>
        <v xml:space="preserve">          6118 - VACATION</v>
      </c>
      <c r="C26" s="11"/>
      <c r="D26" s="6">
        <v>1674.78</v>
      </c>
      <c r="E26" s="2"/>
      <c r="F26" s="7">
        <f t="shared" si="0"/>
        <v>0</v>
      </c>
      <c r="G26" s="2"/>
      <c r="H26" s="6">
        <v>1274.6923076923099</v>
      </c>
      <c r="I26" s="2"/>
      <c r="J26" s="7">
        <f t="shared" si="1"/>
        <v>0</v>
      </c>
      <c r="K26" s="2"/>
      <c r="L26" s="6">
        <f t="shared" si="2"/>
        <v>400.08769230769008</v>
      </c>
      <c r="M26" s="2"/>
      <c r="N26" s="7">
        <f t="shared" si="3"/>
        <v>0.31387001387966701</v>
      </c>
      <c r="O26" s="11"/>
      <c r="P26" s="6">
        <v>9140.19</v>
      </c>
      <c r="Q26" s="2"/>
      <c r="R26" s="7">
        <f t="shared" si="4"/>
        <v>0</v>
      </c>
      <c r="S26" s="2"/>
      <c r="T26" s="6">
        <v>5479.0769230769301</v>
      </c>
      <c r="U26" s="2"/>
      <c r="V26" s="7">
        <f t="shared" si="5"/>
        <v>0</v>
      </c>
      <c r="W26" s="2"/>
      <c r="X26" s="6">
        <f t="shared" si="6"/>
        <v>3661.1130769230704</v>
      </c>
      <c r="Y26" s="2"/>
      <c r="Z26" s="7">
        <f t="shared" si="7"/>
        <v>0.66819888246195114</v>
      </c>
    </row>
    <row r="27" spans="1:26" s="24" customFormat="1" hidden="1" outlineLevel="2" x14ac:dyDescent="0.3">
      <c r="A27" s="27"/>
      <c r="B27" s="11" t="str">
        <f>CONCATENATE("          ", "6119", " - ", "SICK LEAVE")</f>
        <v xml:space="preserve">          6119 - SICK LEAVE</v>
      </c>
      <c r="C27" s="11"/>
      <c r="D27" s="6">
        <v>865.82</v>
      </c>
      <c r="E27" s="2"/>
      <c r="F27" s="7">
        <f t="shared" si="0"/>
        <v>0</v>
      </c>
      <c r="G27" s="2"/>
      <c r="H27" s="6">
        <v>764.81538461538503</v>
      </c>
      <c r="I27" s="2"/>
      <c r="J27" s="7">
        <f t="shared" si="1"/>
        <v>0</v>
      </c>
      <c r="K27" s="2"/>
      <c r="L27" s="6">
        <f t="shared" si="2"/>
        <v>101.00461538461502</v>
      </c>
      <c r="M27" s="2"/>
      <c r="N27" s="7">
        <f t="shared" si="3"/>
        <v>0.13206404763341525</v>
      </c>
      <c r="O27" s="11"/>
      <c r="P27" s="6">
        <v>4721.42</v>
      </c>
      <c r="Q27" s="2"/>
      <c r="R27" s="7">
        <f t="shared" si="4"/>
        <v>0</v>
      </c>
      <c r="S27" s="2"/>
      <c r="T27" s="6">
        <v>3287.4461538461501</v>
      </c>
      <c r="U27" s="2"/>
      <c r="V27" s="7">
        <f t="shared" si="5"/>
        <v>0</v>
      </c>
      <c r="W27" s="2"/>
      <c r="X27" s="6">
        <f t="shared" si="6"/>
        <v>1433.97384615385</v>
      </c>
      <c r="Y27" s="2"/>
      <c r="Z27" s="7">
        <f t="shared" si="7"/>
        <v>0.43619690758316182</v>
      </c>
    </row>
    <row r="28" spans="1:26" s="24" customFormat="1" hidden="1" outlineLevel="2" x14ac:dyDescent="0.3">
      <c r="A28" s="27"/>
      <c r="B28" s="11" t="str">
        <f>CONCATENATE("          ", "6156", " - ", "EMPLOYEE MEALS")</f>
        <v xml:space="preserve">          6156 - EMPLOYEE MEALS</v>
      </c>
      <c r="C28" s="11"/>
      <c r="D28" s="6">
        <v>246.8</v>
      </c>
      <c r="E28" s="2"/>
      <c r="F28" s="7">
        <f t="shared" si="0"/>
        <v>0</v>
      </c>
      <c r="G28" s="2"/>
      <c r="H28" s="6">
        <v>350</v>
      </c>
      <c r="I28" s="2"/>
      <c r="J28" s="7">
        <f t="shared" si="1"/>
        <v>0</v>
      </c>
      <c r="K28" s="2"/>
      <c r="L28" s="6">
        <f t="shared" si="2"/>
        <v>-103.19999999999999</v>
      </c>
      <c r="M28" s="2"/>
      <c r="N28" s="7">
        <f t="shared" si="3"/>
        <v>-0.29485714285714282</v>
      </c>
      <c r="O28" s="11"/>
      <c r="P28" s="6">
        <v>913.28</v>
      </c>
      <c r="Q28" s="2"/>
      <c r="R28" s="7">
        <f t="shared" si="4"/>
        <v>0</v>
      </c>
      <c r="S28" s="2"/>
      <c r="T28" s="6">
        <v>1650</v>
      </c>
      <c r="U28" s="2"/>
      <c r="V28" s="7">
        <f t="shared" si="5"/>
        <v>0</v>
      </c>
      <c r="W28" s="2"/>
      <c r="X28" s="6">
        <f t="shared" si="6"/>
        <v>-736.72</v>
      </c>
      <c r="Y28" s="2"/>
      <c r="Z28" s="7">
        <f t="shared" si="7"/>
        <v>-0.44649696969696973</v>
      </c>
    </row>
    <row r="29" spans="1:26" s="29" customFormat="1" outlineLevel="1" collapsed="1" x14ac:dyDescent="0.3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17100.900000000001</v>
      </c>
      <c r="E29" s="1"/>
      <c r="F29" s="5">
        <f t="shared" ref="F29:F39" si="8">IF(D$12=0,0,D29/D$12)</f>
        <v>0</v>
      </c>
      <c r="G29" s="1"/>
      <c r="H29" s="1">
        <f>SUM(OSRRefH22_1x_0)</f>
        <v>23454.338461538489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-6353.4384615384879</v>
      </c>
      <c r="M29" s="1"/>
      <c r="N29" s="5">
        <f t="shared" ref="N29:N39" si="11">IF(H29=0,0,L29/H29)</f>
        <v>-0.27088542582248271</v>
      </c>
      <c r="O29" s="14"/>
      <c r="P29" s="1">
        <f>SUM(OSRRefP22_1x_0)</f>
        <v>60087.56</v>
      </c>
      <c r="Q29" s="1"/>
      <c r="R29" s="5">
        <f t="shared" ref="R29:R39" si="12">IF(P$12=0,0,P29/P$12)</f>
        <v>0</v>
      </c>
      <c r="S29" s="1"/>
      <c r="T29" s="1">
        <f>SUM(OSRRefT22_1x_0)</f>
        <v>100815.01538461531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-40727.455384615314</v>
      </c>
      <c r="Y29" s="1"/>
      <c r="Z29" s="5">
        <f t="shared" ref="Z29:Z39" si="15">IF(T29=0,0,X29/T29)</f>
        <v>-0.40398203808468053</v>
      </c>
    </row>
    <row r="30" spans="1:26" s="24" customFormat="1" hidden="1" outlineLevel="2" x14ac:dyDescent="0.3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>
        <v>12772.41</v>
      </c>
      <c r="E30" s="2"/>
      <c r="F30" s="7">
        <f t="shared" si="8"/>
        <v>0</v>
      </c>
      <c r="G30" s="2"/>
      <c r="H30" s="6">
        <v>18789.230769230799</v>
      </c>
      <c r="I30" s="2"/>
      <c r="J30" s="7">
        <f t="shared" si="9"/>
        <v>0</v>
      </c>
      <c r="K30" s="2"/>
      <c r="L30" s="6">
        <f t="shared" si="10"/>
        <v>-6016.8207692307988</v>
      </c>
      <c r="M30" s="2"/>
      <c r="N30" s="7">
        <f t="shared" si="11"/>
        <v>-0.32022709408007966</v>
      </c>
      <c r="O30" s="11"/>
      <c r="P30" s="6">
        <v>36417.97</v>
      </c>
      <c r="Q30" s="2"/>
      <c r="R30" s="7">
        <f t="shared" si="12"/>
        <v>0</v>
      </c>
      <c r="S30" s="2"/>
      <c r="T30" s="6">
        <v>75156.923076923005</v>
      </c>
      <c r="U30" s="2"/>
      <c r="V30" s="7">
        <f t="shared" si="13"/>
        <v>0</v>
      </c>
      <c r="W30" s="2"/>
      <c r="X30" s="6">
        <f t="shared" si="14"/>
        <v>-38738.953076923004</v>
      </c>
      <c r="Y30" s="2"/>
      <c r="Z30" s="7">
        <f t="shared" si="15"/>
        <v>-0.51544091337099762</v>
      </c>
    </row>
    <row r="31" spans="1:26" s="24" customFormat="1" hidden="1" outlineLevel="2" x14ac:dyDescent="0.3">
      <c r="A31" s="27"/>
      <c r="B31" s="11" t="str">
        <f>CONCATENATE("          ", "6002", " - ", "STAFF SALARIES")</f>
        <v xml:space="preserve">          6002 - STAFF SALARIES</v>
      </c>
      <c r="C31" s="11"/>
      <c r="D31" s="6">
        <v>4328.49</v>
      </c>
      <c r="E31" s="2"/>
      <c r="F31" s="7">
        <f t="shared" si="8"/>
        <v>0</v>
      </c>
      <c r="G31" s="2"/>
      <c r="H31" s="6">
        <v>4665.1076923076898</v>
      </c>
      <c r="I31" s="2"/>
      <c r="J31" s="7">
        <f t="shared" si="9"/>
        <v>0</v>
      </c>
      <c r="K31" s="2"/>
      <c r="L31" s="6">
        <f t="shared" si="10"/>
        <v>-336.61769230769005</v>
      </c>
      <c r="M31" s="2"/>
      <c r="N31" s="7">
        <f t="shared" si="11"/>
        <v>-7.2156467655128301E-2</v>
      </c>
      <c r="O31" s="11"/>
      <c r="P31" s="6">
        <v>23669.59</v>
      </c>
      <c r="Q31" s="2"/>
      <c r="R31" s="7">
        <f t="shared" si="12"/>
        <v>0</v>
      </c>
      <c r="S31" s="2"/>
      <c r="T31" s="6">
        <v>25658.092307692299</v>
      </c>
      <c r="U31" s="2"/>
      <c r="V31" s="7">
        <f t="shared" si="13"/>
        <v>0</v>
      </c>
      <c r="W31" s="2"/>
      <c r="X31" s="6">
        <f t="shared" si="14"/>
        <v>-1988.5023076922989</v>
      </c>
      <c r="Y31" s="2"/>
      <c r="Z31" s="7">
        <f t="shared" si="15"/>
        <v>-7.7500005996008745E-2</v>
      </c>
    </row>
    <row r="32" spans="1:26" s="24" customFormat="1" hidden="1" outlineLevel="2" x14ac:dyDescent="0.3">
      <c r="A32" s="27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3">
      <c r="A33" s="27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3">
      <c r="A34" s="27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3">
      <c r="A35" s="27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3">
      <c r="A36" s="27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3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3">
      <c r="A38" s="27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3">
      <c r="A39" s="27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9" customFormat="1" outlineLevel="1" collapsed="1" x14ac:dyDescent="0.3">
      <c r="A40" s="28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0</v>
      </c>
      <c r="E40" s="1"/>
      <c r="F40" s="5">
        <f t="shared" ref="F40:F55" si="16">IF(D$12=0,0,D40/D$12)</f>
        <v>0</v>
      </c>
      <c r="G40" s="1"/>
      <c r="H40" s="1">
        <f>SUM(OSRRefH22_2x_0)</f>
        <v>250</v>
      </c>
      <c r="I40" s="1"/>
      <c r="J40" s="5">
        <f t="shared" ref="J40:J55" si="17">IF(H$12=0,0,H40/H$12)</f>
        <v>0</v>
      </c>
      <c r="K40" s="1"/>
      <c r="L40" s="1">
        <f t="shared" ref="L40:L55" si="18">+D40-H40</f>
        <v>-250</v>
      </c>
      <c r="M40" s="1"/>
      <c r="N40" s="5">
        <f t="shared" ref="N40:N55" si="19">IF(H40=0,0,L40/H40)</f>
        <v>-1</v>
      </c>
      <c r="O40" s="14"/>
      <c r="P40" s="1">
        <f>SUM(OSRRefP22_2x_0)</f>
        <v>186.42</v>
      </c>
      <c r="Q40" s="1"/>
      <c r="R40" s="5">
        <f t="shared" ref="R40:R55" si="20">IF(P$12=0,0,P40/P$12)</f>
        <v>0</v>
      </c>
      <c r="S40" s="1"/>
      <c r="T40" s="1">
        <f>SUM(OSRRefT22_2x_0)</f>
        <v>850</v>
      </c>
      <c r="U40" s="1"/>
      <c r="V40" s="5">
        <f t="shared" ref="V40:V55" si="21">IF(T$12=0,0,T40/T$12)</f>
        <v>0</v>
      </c>
      <c r="W40" s="1"/>
      <c r="X40" s="1">
        <f t="shared" ref="X40:X55" si="22">+P40-T40</f>
        <v>-663.58</v>
      </c>
      <c r="Y40" s="1"/>
      <c r="Z40" s="5">
        <f t="shared" ref="Z40:Z55" si="23">IF(T40=0,0,X40/T40)</f>
        <v>-0.78068235294117649</v>
      </c>
    </row>
    <row r="41" spans="1:26" s="24" customFormat="1" hidden="1" outlineLevel="2" x14ac:dyDescent="0.3">
      <c r="A41" s="27"/>
      <c r="B41" s="11" t="str">
        <f>CONCATENATE("          ", "6362", " - ", "ADVERTISING EXPENSE")</f>
        <v xml:space="preserve">          6362 - ADVERTISING EXPENSE</v>
      </c>
      <c r="C41" s="11"/>
      <c r="D41" s="6"/>
      <c r="E41" s="2"/>
      <c r="F41" s="7">
        <f t="shared" si="16"/>
        <v>0</v>
      </c>
      <c r="G41" s="2"/>
      <c r="H41" s="6">
        <v>250</v>
      </c>
      <c r="I41" s="2"/>
      <c r="J41" s="7">
        <f t="shared" si="17"/>
        <v>0</v>
      </c>
      <c r="K41" s="2"/>
      <c r="L41" s="6">
        <f t="shared" si="18"/>
        <v>-250</v>
      </c>
      <c r="M41" s="2"/>
      <c r="N41" s="7">
        <f t="shared" si="19"/>
        <v>-1</v>
      </c>
      <c r="O41" s="11"/>
      <c r="P41" s="6">
        <v>186.42</v>
      </c>
      <c r="Q41" s="2"/>
      <c r="R41" s="7">
        <f t="shared" si="20"/>
        <v>0</v>
      </c>
      <c r="S41" s="2"/>
      <c r="T41" s="6">
        <v>850</v>
      </c>
      <c r="U41" s="2"/>
      <c r="V41" s="7">
        <f t="shared" si="21"/>
        <v>0</v>
      </c>
      <c r="W41" s="2"/>
      <c r="X41" s="6">
        <f t="shared" si="22"/>
        <v>-663.58</v>
      </c>
      <c r="Y41" s="2"/>
      <c r="Z41" s="7">
        <f t="shared" si="23"/>
        <v>-0.78068235294117649</v>
      </c>
    </row>
    <row r="42" spans="1:26" s="29" customFormat="1" outlineLevel="1" collapsed="1" x14ac:dyDescent="0.3">
      <c r="A42" s="28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SUM(OSRRefD22_3x_0)</f>
        <v>314.87</v>
      </c>
      <c r="E42" s="1"/>
      <c r="F42" s="5">
        <f t="shared" si="16"/>
        <v>0</v>
      </c>
      <c r="G42" s="1"/>
      <c r="H42" s="1">
        <f>SUM(OSRRefH22_3x_0)</f>
        <v>315</v>
      </c>
      <c r="I42" s="1"/>
      <c r="J42" s="5">
        <f t="shared" si="17"/>
        <v>0</v>
      </c>
      <c r="K42" s="1"/>
      <c r="L42" s="1">
        <f t="shared" si="18"/>
        <v>-0.12999999999999545</v>
      </c>
      <c r="M42" s="1"/>
      <c r="N42" s="5">
        <f t="shared" si="19"/>
        <v>-4.1269841269839827E-4</v>
      </c>
      <c r="O42" s="14"/>
      <c r="P42" s="1">
        <f>SUM(OSRRefP22_3x_0)</f>
        <v>1574.35</v>
      </c>
      <c r="Q42" s="1"/>
      <c r="R42" s="5">
        <f t="shared" si="20"/>
        <v>0</v>
      </c>
      <c r="S42" s="1"/>
      <c r="T42" s="1">
        <f>SUM(OSRRefT22_3x_0)</f>
        <v>1575</v>
      </c>
      <c r="U42" s="1"/>
      <c r="V42" s="5">
        <f t="shared" si="21"/>
        <v>0</v>
      </c>
      <c r="W42" s="1"/>
      <c r="X42" s="1">
        <f t="shared" si="22"/>
        <v>-0.65000000000009095</v>
      </c>
      <c r="Y42" s="1"/>
      <c r="Z42" s="5">
        <f t="shared" si="23"/>
        <v>-4.1269841269847042E-4</v>
      </c>
    </row>
    <row r="43" spans="1:26" s="24" customFormat="1" hidden="1" outlineLevel="2" x14ac:dyDescent="0.3">
      <c r="A43" s="27"/>
      <c r="B43" s="11" t="str">
        <f>CONCATENATE("          ", "6322", " - ", "EQUIPMENT DEPRECIATION EXPENSE")</f>
        <v xml:space="preserve">          6322 - EQUIPMENT DEPRECIATION EXPENSE</v>
      </c>
      <c r="C43" s="11"/>
      <c r="D43" s="6">
        <v>314.87</v>
      </c>
      <c r="E43" s="2"/>
      <c r="F43" s="7">
        <f t="shared" si="16"/>
        <v>0</v>
      </c>
      <c r="G43" s="2"/>
      <c r="H43" s="6">
        <v>315</v>
      </c>
      <c r="I43" s="2"/>
      <c r="J43" s="7">
        <f t="shared" si="17"/>
        <v>0</v>
      </c>
      <c r="K43" s="2"/>
      <c r="L43" s="6">
        <f t="shared" si="18"/>
        <v>-0.12999999999999545</v>
      </c>
      <c r="M43" s="2"/>
      <c r="N43" s="7">
        <f t="shared" si="19"/>
        <v>-4.1269841269839827E-4</v>
      </c>
      <c r="O43" s="11"/>
      <c r="P43" s="6">
        <v>1574.35</v>
      </c>
      <c r="Q43" s="2"/>
      <c r="R43" s="7">
        <f t="shared" si="20"/>
        <v>0</v>
      </c>
      <c r="S43" s="2"/>
      <c r="T43" s="6">
        <v>1575</v>
      </c>
      <c r="U43" s="2"/>
      <c r="V43" s="7">
        <f t="shared" si="21"/>
        <v>0</v>
      </c>
      <c r="W43" s="2"/>
      <c r="X43" s="6">
        <f t="shared" si="22"/>
        <v>-0.65000000000009095</v>
      </c>
      <c r="Y43" s="2"/>
      <c r="Z43" s="7">
        <f t="shared" si="23"/>
        <v>-4.1269841269847042E-4</v>
      </c>
    </row>
    <row r="44" spans="1:26" s="29" customFormat="1" outlineLevel="1" collapsed="1" x14ac:dyDescent="0.3">
      <c r="A44" s="28"/>
      <c r="B44" s="14" t="str">
        <f>CONCATENATE("     ","Donations                                         ")</f>
        <v xml:space="preserve">     Donations                                         </v>
      </c>
      <c r="C44" s="14"/>
      <c r="D44" s="1">
        <f>SUM(OSRRefD22_4x_0)</f>
        <v>25000</v>
      </c>
      <c r="E44" s="1"/>
      <c r="F44" s="5">
        <f t="shared" si="16"/>
        <v>0</v>
      </c>
      <c r="G44" s="1"/>
      <c r="H44" s="1">
        <f>SUM(OSRRefH22_4x_0)</f>
        <v>500</v>
      </c>
      <c r="I44" s="1"/>
      <c r="J44" s="5">
        <f t="shared" si="17"/>
        <v>0</v>
      </c>
      <c r="K44" s="1"/>
      <c r="L44" s="1">
        <f t="shared" si="18"/>
        <v>24500</v>
      </c>
      <c r="M44" s="1"/>
      <c r="N44" s="5">
        <f t="shared" si="19"/>
        <v>49</v>
      </c>
      <c r="O44" s="14"/>
      <c r="P44" s="1">
        <f>SUM(OSRRefP22_4x_0)</f>
        <v>25000</v>
      </c>
      <c r="Q44" s="1"/>
      <c r="R44" s="5">
        <f t="shared" si="20"/>
        <v>0</v>
      </c>
      <c r="S44" s="1"/>
      <c r="T44" s="1">
        <f>SUM(OSRRefT22_4x_0)</f>
        <v>40950</v>
      </c>
      <c r="U44" s="1"/>
      <c r="V44" s="5">
        <f t="shared" si="21"/>
        <v>0</v>
      </c>
      <c r="W44" s="1"/>
      <c r="X44" s="1">
        <f t="shared" si="22"/>
        <v>-15950</v>
      </c>
      <c r="Y44" s="1"/>
      <c r="Z44" s="5">
        <f t="shared" si="23"/>
        <v>-0.3894993894993895</v>
      </c>
    </row>
    <row r="45" spans="1:26" s="24" customFormat="1" hidden="1" outlineLevel="2" x14ac:dyDescent="0.3">
      <c r="A45" s="27"/>
      <c r="B45" s="11" t="str">
        <f>CONCATENATE("          ", "6399", " - ", "DONATION-ON CAMPUS")</f>
        <v xml:space="preserve">          6399 - DONATION-ON CAMPUS</v>
      </c>
      <c r="C45" s="11"/>
      <c r="D45" s="6">
        <v>25000</v>
      </c>
      <c r="E45" s="2"/>
      <c r="F45" s="7">
        <f t="shared" si="16"/>
        <v>0</v>
      </c>
      <c r="G45" s="2"/>
      <c r="H45" s="6">
        <v>500</v>
      </c>
      <c r="I45" s="2"/>
      <c r="J45" s="7">
        <f t="shared" si="17"/>
        <v>0</v>
      </c>
      <c r="K45" s="2"/>
      <c r="L45" s="6">
        <f t="shared" si="18"/>
        <v>24500</v>
      </c>
      <c r="M45" s="2"/>
      <c r="N45" s="7">
        <f t="shared" si="19"/>
        <v>49</v>
      </c>
      <c r="O45" s="11"/>
      <c r="P45" s="6">
        <v>25000</v>
      </c>
      <c r="Q45" s="2"/>
      <c r="R45" s="7">
        <f t="shared" si="20"/>
        <v>0</v>
      </c>
      <c r="S45" s="2"/>
      <c r="T45" s="6">
        <v>40950</v>
      </c>
      <c r="U45" s="2"/>
      <c r="V45" s="7">
        <f t="shared" si="21"/>
        <v>0</v>
      </c>
      <c r="W45" s="2"/>
      <c r="X45" s="6">
        <f t="shared" si="22"/>
        <v>-15950</v>
      </c>
      <c r="Y45" s="2"/>
      <c r="Z45" s="7">
        <f t="shared" si="23"/>
        <v>-0.3894993894993895</v>
      </c>
    </row>
    <row r="46" spans="1:26" s="29" customFormat="1" outlineLevel="1" collapsed="1" x14ac:dyDescent="0.3">
      <c r="A46" s="28"/>
      <c r="B46" s="14" t="str">
        <f>CONCATENATE("     ","Equipment Rental                                  ")</f>
        <v xml:space="preserve">     Equipment Rental                                  </v>
      </c>
      <c r="C46" s="14"/>
      <c r="D46" s="1">
        <f>SUM(OSRRefD22_5x_0)</f>
        <v>117.71</v>
      </c>
      <c r="E46" s="1"/>
      <c r="F46" s="5">
        <f t="shared" si="16"/>
        <v>0</v>
      </c>
      <c r="G46" s="1"/>
      <c r="H46" s="1">
        <f>SUM(OSRRefH22_5x_0)</f>
        <v>118</v>
      </c>
      <c r="I46" s="1"/>
      <c r="J46" s="5">
        <f t="shared" si="17"/>
        <v>0</v>
      </c>
      <c r="K46" s="1"/>
      <c r="L46" s="1">
        <f t="shared" si="18"/>
        <v>-0.29000000000000625</v>
      </c>
      <c r="M46" s="1"/>
      <c r="N46" s="5">
        <f t="shared" si="19"/>
        <v>-2.457627118644121E-3</v>
      </c>
      <c r="O46" s="14"/>
      <c r="P46" s="1">
        <f>SUM(OSRRefP22_5x_0)</f>
        <v>588.54999999999995</v>
      </c>
      <c r="Q46" s="1"/>
      <c r="R46" s="5">
        <f t="shared" si="20"/>
        <v>0</v>
      </c>
      <c r="S46" s="1"/>
      <c r="T46" s="1">
        <f>SUM(OSRRefT22_5x_0)</f>
        <v>590</v>
      </c>
      <c r="U46" s="1"/>
      <c r="V46" s="5">
        <f t="shared" si="21"/>
        <v>0</v>
      </c>
      <c r="W46" s="1"/>
      <c r="X46" s="1">
        <f t="shared" si="22"/>
        <v>-1.4500000000000455</v>
      </c>
      <c r="Y46" s="1"/>
      <c r="Z46" s="5">
        <f t="shared" si="23"/>
        <v>-2.4576271186441448E-3</v>
      </c>
    </row>
    <row r="47" spans="1:26" s="24" customFormat="1" hidden="1" outlineLevel="2" x14ac:dyDescent="0.3">
      <c r="A47" s="27"/>
      <c r="B47" s="11" t="str">
        <f>CONCATENATE("          ", "6351", " - ", "EQUIPMENT RENTAL")</f>
        <v xml:space="preserve">          6351 - EQUIPMENT RENTAL</v>
      </c>
      <c r="C47" s="11"/>
      <c r="D47" s="6">
        <v>117.71</v>
      </c>
      <c r="E47" s="2"/>
      <c r="F47" s="7">
        <f t="shared" si="16"/>
        <v>0</v>
      </c>
      <c r="G47" s="2"/>
      <c r="H47" s="6">
        <v>118</v>
      </c>
      <c r="I47" s="2"/>
      <c r="J47" s="7">
        <f t="shared" si="17"/>
        <v>0</v>
      </c>
      <c r="K47" s="2"/>
      <c r="L47" s="6">
        <f t="shared" si="18"/>
        <v>-0.29000000000000625</v>
      </c>
      <c r="M47" s="2"/>
      <c r="N47" s="7">
        <f t="shared" si="19"/>
        <v>-2.457627118644121E-3</v>
      </c>
      <c r="O47" s="11"/>
      <c r="P47" s="6">
        <v>588.54999999999995</v>
      </c>
      <c r="Q47" s="2"/>
      <c r="R47" s="7">
        <f t="shared" si="20"/>
        <v>0</v>
      </c>
      <c r="S47" s="2"/>
      <c r="T47" s="6">
        <v>590</v>
      </c>
      <c r="U47" s="2"/>
      <c r="V47" s="7">
        <f t="shared" si="21"/>
        <v>0</v>
      </c>
      <c r="W47" s="2"/>
      <c r="X47" s="6">
        <f t="shared" si="22"/>
        <v>-1.4500000000000455</v>
      </c>
      <c r="Y47" s="2"/>
      <c r="Z47" s="7">
        <f t="shared" si="23"/>
        <v>-2.4576271186441448E-3</v>
      </c>
    </row>
    <row r="48" spans="1:26" s="29" customFormat="1" outlineLevel="1" collapsed="1" x14ac:dyDescent="0.3">
      <c r="A48" s="28"/>
      <c r="B48" s="14" t="str">
        <f>CONCATENATE("     ","Freight out/Postage                               ")</f>
        <v xml:space="preserve">     Freight out/Postage                               </v>
      </c>
      <c r="C48" s="14"/>
      <c r="D48" s="1">
        <f>SUM(OSRRefD22_6x_0)</f>
        <v>9.67</v>
      </c>
      <c r="E48" s="1"/>
      <c r="F48" s="5">
        <f t="shared" si="16"/>
        <v>0</v>
      </c>
      <c r="G48" s="1"/>
      <c r="H48" s="1">
        <f>SUM(OSRRefH22_6x_0)</f>
        <v>250</v>
      </c>
      <c r="I48" s="1"/>
      <c r="J48" s="5">
        <f t="shared" si="17"/>
        <v>0</v>
      </c>
      <c r="K48" s="1"/>
      <c r="L48" s="1">
        <f t="shared" si="18"/>
        <v>-240.33</v>
      </c>
      <c r="M48" s="1"/>
      <c r="N48" s="5">
        <f t="shared" si="19"/>
        <v>-0.96132000000000006</v>
      </c>
      <c r="O48" s="14"/>
      <c r="P48" s="1">
        <f>SUM(OSRRefP22_6x_0)</f>
        <v>29.52</v>
      </c>
      <c r="Q48" s="1"/>
      <c r="R48" s="5">
        <f t="shared" si="20"/>
        <v>0</v>
      </c>
      <c r="S48" s="1"/>
      <c r="T48" s="1">
        <f>SUM(OSRRefT22_6x_0)</f>
        <v>425</v>
      </c>
      <c r="U48" s="1"/>
      <c r="V48" s="5">
        <f t="shared" si="21"/>
        <v>0</v>
      </c>
      <c r="W48" s="1"/>
      <c r="X48" s="1">
        <f t="shared" si="22"/>
        <v>-395.48</v>
      </c>
      <c r="Y48" s="1"/>
      <c r="Z48" s="5">
        <f t="shared" si="23"/>
        <v>-0.93054117647058832</v>
      </c>
    </row>
    <row r="49" spans="1:26" s="24" customFormat="1" hidden="1" outlineLevel="2" x14ac:dyDescent="0.3">
      <c r="A49" s="27"/>
      <c r="B49" s="11" t="str">
        <f>CONCATENATE("          ", "6307", " - ", "POSTAGE")</f>
        <v xml:space="preserve">          6307 - POSTAGE</v>
      </c>
      <c r="C49" s="11"/>
      <c r="D49" s="6">
        <v>9.67</v>
      </c>
      <c r="E49" s="2"/>
      <c r="F49" s="7">
        <f t="shared" si="16"/>
        <v>0</v>
      </c>
      <c r="G49" s="2"/>
      <c r="H49" s="6">
        <v>250</v>
      </c>
      <c r="I49" s="2"/>
      <c r="J49" s="7">
        <f t="shared" si="17"/>
        <v>0</v>
      </c>
      <c r="K49" s="2"/>
      <c r="L49" s="6">
        <f t="shared" si="18"/>
        <v>-240.33</v>
      </c>
      <c r="M49" s="2"/>
      <c r="N49" s="7">
        <f t="shared" si="19"/>
        <v>-0.96132000000000006</v>
      </c>
      <c r="O49" s="11"/>
      <c r="P49" s="6">
        <v>29.52</v>
      </c>
      <c r="Q49" s="2"/>
      <c r="R49" s="7">
        <f t="shared" si="20"/>
        <v>0</v>
      </c>
      <c r="S49" s="2"/>
      <c r="T49" s="6">
        <v>425</v>
      </c>
      <c r="U49" s="2"/>
      <c r="V49" s="7">
        <f t="shared" si="21"/>
        <v>0</v>
      </c>
      <c r="W49" s="2"/>
      <c r="X49" s="6">
        <f t="shared" si="22"/>
        <v>-395.48</v>
      </c>
      <c r="Y49" s="2"/>
      <c r="Z49" s="7">
        <f t="shared" si="23"/>
        <v>-0.93054117647058832</v>
      </c>
    </row>
    <row r="50" spans="1:26" s="29" customFormat="1" outlineLevel="1" collapsed="1" x14ac:dyDescent="0.3">
      <c r="A50" s="28"/>
      <c r="B50" s="14" t="str">
        <f>CONCATENATE("     ","Insurance                                         ")</f>
        <v xml:space="preserve">     Insurance                                         </v>
      </c>
      <c r="C50" s="14"/>
      <c r="D50" s="1">
        <f>SUM(OSRRefD22_7x_0)</f>
        <v>156.47999999999999</v>
      </c>
      <c r="E50" s="1"/>
      <c r="F50" s="5">
        <f t="shared" si="16"/>
        <v>0</v>
      </c>
      <c r="G50" s="1"/>
      <c r="H50" s="1">
        <f>SUM(OSRRefH22_7x_0)</f>
        <v>150</v>
      </c>
      <c r="I50" s="1"/>
      <c r="J50" s="5">
        <f t="shared" si="17"/>
        <v>0</v>
      </c>
      <c r="K50" s="1"/>
      <c r="L50" s="1">
        <f t="shared" si="18"/>
        <v>6.4799999999999898</v>
      </c>
      <c r="M50" s="1"/>
      <c r="N50" s="5">
        <f t="shared" si="19"/>
        <v>4.3199999999999933E-2</v>
      </c>
      <c r="O50" s="14"/>
      <c r="P50" s="1">
        <f>SUM(OSRRefP22_7x_0)</f>
        <v>782.4</v>
      </c>
      <c r="Q50" s="1"/>
      <c r="R50" s="5">
        <f t="shared" si="20"/>
        <v>0</v>
      </c>
      <c r="S50" s="1"/>
      <c r="T50" s="1">
        <f>SUM(OSRRefT22_7x_0)</f>
        <v>750</v>
      </c>
      <c r="U50" s="1"/>
      <c r="V50" s="5">
        <f t="shared" si="21"/>
        <v>0</v>
      </c>
      <c r="W50" s="1"/>
      <c r="X50" s="1">
        <f t="shared" si="22"/>
        <v>32.399999999999977</v>
      </c>
      <c r="Y50" s="1"/>
      <c r="Z50" s="5">
        <f t="shared" si="23"/>
        <v>4.3199999999999968E-2</v>
      </c>
    </row>
    <row r="51" spans="1:26" s="24" customFormat="1" hidden="1" outlineLevel="2" x14ac:dyDescent="0.3">
      <c r="A51" s="27"/>
      <c r="B51" s="11" t="str">
        <f>CONCATENATE("          ", "6314", " - ", "LIABILITY INSURANCE")</f>
        <v xml:space="preserve">          6314 - LIABILITY INSURANCE</v>
      </c>
      <c r="C51" s="11"/>
      <c r="D51" s="6">
        <v>156.47999999999999</v>
      </c>
      <c r="E51" s="2"/>
      <c r="F51" s="7">
        <f t="shared" si="16"/>
        <v>0</v>
      </c>
      <c r="G51" s="2"/>
      <c r="H51" s="6">
        <v>150</v>
      </c>
      <c r="I51" s="2"/>
      <c r="J51" s="7">
        <f t="shared" si="17"/>
        <v>0</v>
      </c>
      <c r="K51" s="2"/>
      <c r="L51" s="6">
        <f t="shared" si="18"/>
        <v>6.4799999999999898</v>
      </c>
      <c r="M51" s="2"/>
      <c r="N51" s="7">
        <f t="shared" si="19"/>
        <v>4.3199999999999933E-2</v>
      </c>
      <c r="O51" s="11"/>
      <c r="P51" s="6">
        <v>782.4</v>
      </c>
      <c r="Q51" s="2"/>
      <c r="R51" s="7">
        <f t="shared" si="20"/>
        <v>0</v>
      </c>
      <c r="S51" s="2"/>
      <c r="T51" s="6">
        <v>750</v>
      </c>
      <c r="U51" s="2"/>
      <c r="V51" s="7">
        <f t="shared" si="21"/>
        <v>0</v>
      </c>
      <c r="W51" s="2"/>
      <c r="X51" s="6">
        <f t="shared" si="22"/>
        <v>32.399999999999977</v>
      </c>
      <c r="Y51" s="2"/>
      <c r="Z51" s="7">
        <f t="shared" si="23"/>
        <v>4.3199999999999968E-2</v>
      </c>
    </row>
    <row r="52" spans="1:26" s="29" customFormat="1" outlineLevel="1" collapsed="1" x14ac:dyDescent="0.3">
      <c r="A52" s="28"/>
      <c r="B52" s="14" t="str">
        <f>CONCATENATE("     ","Professional Services                             ")</f>
        <v xml:space="preserve">     Professional Services                             </v>
      </c>
      <c r="C52" s="14"/>
      <c r="D52" s="1">
        <f>SUM(OSRRefD22_8x_0)</f>
        <v>16550</v>
      </c>
      <c r="E52" s="1"/>
      <c r="F52" s="5">
        <f t="shared" si="16"/>
        <v>0</v>
      </c>
      <c r="G52" s="1"/>
      <c r="H52" s="1">
        <f>SUM(OSRRefH22_8x_0)</f>
        <v>25500</v>
      </c>
      <c r="I52" s="1"/>
      <c r="J52" s="5">
        <f t="shared" si="17"/>
        <v>0</v>
      </c>
      <c r="K52" s="1"/>
      <c r="L52" s="1">
        <f t="shared" si="18"/>
        <v>-8950</v>
      </c>
      <c r="M52" s="1"/>
      <c r="N52" s="5">
        <f t="shared" si="19"/>
        <v>-0.35098039215686272</v>
      </c>
      <c r="O52" s="14"/>
      <c r="P52" s="1">
        <f>SUM(OSRRefP22_8x_0)</f>
        <v>51875</v>
      </c>
      <c r="Q52" s="1"/>
      <c r="R52" s="5">
        <f t="shared" si="20"/>
        <v>0</v>
      </c>
      <c r="S52" s="1"/>
      <c r="T52" s="1">
        <f>SUM(OSRRefT22_8x_0)</f>
        <v>53500</v>
      </c>
      <c r="U52" s="1"/>
      <c r="V52" s="5">
        <f t="shared" si="21"/>
        <v>0</v>
      </c>
      <c r="W52" s="1"/>
      <c r="X52" s="1">
        <f t="shared" si="22"/>
        <v>-1625</v>
      </c>
      <c r="Y52" s="1"/>
      <c r="Z52" s="5">
        <f t="shared" si="23"/>
        <v>-3.0373831775700934E-2</v>
      </c>
    </row>
    <row r="53" spans="1:26" s="24" customFormat="1" hidden="1" outlineLevel="2" x14ac:dyDescent="0.3">
      <c r="A53" s="27"/>
      <c r="B53" s="11" t="str">
        <f>CONCATENATE("          ", "6331", " - ", "INDIRECT COSTS-AUXILIARY ORGAN")</f>
        <v xml:space="preserve">          6331 - INDIRECT COSTS-AUXILIARY ORGAN</v>
      </c>
      <c r="C53" s="11"/>
      <c r="D53" s="6">
        <v>13100</v>
      </c>
      <c r="E53" s="2"/>
      <c r="F53" s="7">
        <f t="shared" si="16"/>
        <v>0</v>
      </c>
      <c r="G53" s="2"/>
      <c r="H53" s="6">
        <v>19000</v>
      </c>
      <c r="I53" s="2"/>
      <c r="J53" s="7">
        <f t="shared" si="17"/>
        <v>0</v>
      </c>
      <c r="K53" s="2"/>
      <c r="L53" s="6">
        <f t="shared" si="18"/>
        <v>-5900</v>
      </c>
      <c r="M53" s="2"/>
      <c r="N53" s="7">
        <f t="shared" si="19"/>
        <v>-0.31052631578947371</v>
      </c>
      <c r="O53" s="11"/>
      <c r="P53" s="6">
        <v>48350</v>
      </c>
      <c r="Q53" s="2"/>
      <c r="R53" s="7">
        <f t="shared" si="20"/>
        <v>0</v>
      </c>
      <c r="S53" s="2"/>
      <c r="T53" s="6">
        <v>46000</v>
      </c>
      <c r="U53" s="2"/>
      <c r="V53" s="7">
        <f t="shared" si="21"/>
        <v>0</v>
      </c>
      <c r="W53" s="2"/>
      <c r="X53" s="6">
        <f t="shared" si="22"/>
        <v>2350</v>
      </c>
      <c r="Y53" s="2"/>
      <c r="Z53" s="7">
        <f t="shared" si="23"/>
        <v>5.1086956521739134E-2</v>
      </c>
    </row>
    <row r="54" spans="1:26" s="24" customFormat="1" hidden="1" outlineLevel="2" x14ac:dyDescent="0.3">
      <c r="A54" s="27"/>
      <c r="B54" s="11" t="str">
        <f>CONCATENATE("          ", "6334", " - ", "LEGAL COUNCIL EXPENSE")</f>
        <v xml:space="preserve">          6334 - LEGAL COUNCIL EXPENSE</v>
      </c>
      <c r="C54" s="11"/>
      <c r="D54" s="6">
        <v>125</v>
      </c>
      <c r="E54" s="2"/>
      <c r="F54" s="7">
        <f t="shared" si="16"/>
        <v>0</v>
      </c>
      <c r="G54" s="2"/>
      <c r="H54" s="6">
        <v>1500</v>
      </c>
      <c r="I54" s="2"/>
      <c r="J54" s="7">
        <f t="shared" si="17"/>
        <v>0</v>
      </c>
      <c r="K54" s="2"/>
      <c r="L54" s="6">
        <f t="shared" si="18"/>
        <v>-1375</v>
      </c>
      <c r="M54" s="2"/>
      <c r="N54" s="7">
        <f t="shared" si="19"/>
        <v>-0.91666666666666663</v>
      </c>
      <c r="O54" s="11"/>
      <c r="P54" s="6">
        <v>200</v>
      </c>
      <c r="Q54" s="2"/>
      <c r="R54" s="7">
        <f t="shared" si="20"/>
        <v>0</v>
      </c>
      <c r="S54" s="2"/>
      <c r="T54" s="6">
        <v>2500</v>
      </c>
      <c r="U54" s="2"/>
      <c r="V54" s="7">
        <f t="shared" si="21"/>
        <v>0</v>
      </c>
      <c r="W54" s="2"/>
      <c r="X54" s="6">
        <f t="shared" si="22"/>
        <v>-2300</v>
      </c>
      <c r="Y54" s="2"/>
      <c r="Z54" s="7">
        <f t="shared" si="23"/>
        <v>-0.92</v>
      </c>
    </row>
    <row r="55" spans="1:26" s="24" customFormat="1" hidden="1" outlineLevel="2" x14ac:dyDescent="0.3">
      <c r="A55" s="27"/>
      <c r="B55" s="11" t="str">
        <f>CONCATENATE("          ", "6336", " - ", "PROFESSIONAL SERVICES")</f>
        <v xml:space="preserve">          6336 - PROFESSIONAL SERVICES</v>
      </c>
      <c r="C55" s="11"/>
      <c r="D55" s="6">
        <v>3325</v>
      </c>
      <c r="E55" s="2"/>
      <c r="F55" s="7">
        <f t="shared" si="16"/>
        <v>0</v>
      </c>
      <c r="G55" s="2"/>
      <c r="H55" s="6">
        <v>5000</v>
      </c>
      <c r="I55" s="2"/>
      <c r="J55" s="7">
        <f t="shared" si="17"/>
        <v>0</v>
      </c>
      <c r="K55" s="2"/>
      <c r="L55" s="6">
        <f t="shared" si="18"/>
        <v>-1675</v>
      </c>
      <c r="M55" s="2"/>
      <c r="N55" s="7">
        <f t="shared" si="19"/>
        <v>-0.33500000000000002</v>
      </c>
      <c r="O55" s="11"/>
      <c r="P55" s="6">
        <v>3325</v>
      </c>
      <c r="Q55" s="2"/>
      <c r="R55" s="7">
        <f t="shared" si="20"/>
        <v>0</v>
      </c>
      <c r="S55" s="2"/>
      <c r="T55" s="6">
        <v>5000</v>
      </c>
      <c r="U55" s="2"/>
      <c r="V55" s="7">
        <f t="shared" si="21"/>
        <v>0</v>
      </c>
      <c r="W55" s="2"/>
      <c r="X55" s="6">
        <f t="shared" si="22"/>
        <v>-1675</v>
      </c>
      <c r="Y55" s="2"/>
      <c r="Z55" s="7">
        <f t="shared" si="23"/>
        <v>-0.33500000000000002</v>
      </c>
    </row>
    <row r="56" spans="1:26" s="29" customFormat="1" outlineLevel="1" collapsed="1" x14ac:dyDescent="0.3">
      <c r="A56" s="28"/>
      <c r="B56" s="14" t="str">
        <f>CONCATENATE("     ","Repair and Maintenance                            ")</f>
        <v xml:space="preserve">     Repair and Maintenance                            </v>
      </c>
      <c r="C56" s="14"/>
      <c r="D56" s="1">
        <f>SUM(OSRRefD22_9x_0)</f>
        <v>2616.94</v>
      </c>
      <c r="E56" s="1"/>
      <c r="F56" s="5">
        <f t="shared" ref="F56:F58" si="24">IF(D$12=0,0,D56/D$12)</f>
        <v>0</v>
      </c>
      <c r="G56" s="1"/>
      <c r="H56" s="1">
        <f>SUM(OSRRefH22_9x_0)</f>
        <v>1530</v>
      </c>
      <c r="I56" s="1"/>
      <c r="J56" s="5">
        <f t="shared" ref="J56:J58" si="25">IF(H$12=0,0,H56/H$12)</f>
        <v>0</v>
      </c>
      <c r="K56" s="1"/>
      <c r="L56" s="1">
        <f t="shared" ref="L56:L58" si="26">+D56-H56</f>
        <v>1086.94</v>
      </c>
      <c r="M56" s="1"/>
      <c r="N56" s="5">
        <f t="shared" ref="N56:N58" si="27">IF(H56=0,0,L56/H56)</f>
        <v>0.71041830065359479</v>
      </c>
      <c r="O56" s="14"/>
      <c r="P56" s="1">
        <f>SUM(OSRRefP22_9x_0)</f>
        <v>10621.58</v>
      </c>
      <c r="Q56" s="1"/>
      <c r="R56" s="5">
        <f t="shared" ref="R56:R58" si="28">IF(P$12=0,0,P56/P$12)</f>
        <v>0</v>
      </c>
      <c r="S56" s="1"/>
      <c r="T56" s="1">
        <f>SUM(OSRRefT22_9x_0)</f>
        <v>7650</v>
      </c>
      <c r="U56" s="1"/>
      <c r="V56" s="5">
        <f t="shared" ref="V56:V58" si="29">IF(T$12=0,0,T56/T$12)</f>
        <v>0</v>
      </c>
      <c r="W56" s="1"/>
      <c r="X56" s="1">
        <f t="shared" ref="X56:X58" si="30">+P56-T56</f>
        <v>2971.58</v>
      </c>
      <c r="Y56" s="1"/>
      <c r="Z56" s="5">
        <f t="shared" ref="Z56:Z58" si="31">IF(T56=0,0,X56/T56)</f>
        <v>0.38844183006535948</v>
      </c>
    </row>
    <row r="57" spans="1:26" s="24" customFormat="1" hidden="1" outlineLevel="2" x14ac:dyDescent="0.3">
      <c r="A57" s="27"/>
      <c r="B57" s="11" t="str">
        <f>CONCATENATE("          ", "6373", " - ", "MAINTENANCE CONTRACTS")</f>
        <v xml:space="preserve">          6373 - MAINTENANCE CONTRACTS</v>
      </c>
      <c r="C57" s="11"/>
      <c r="D57" s="6">
        <v>2616.94</v>
      </c>
      <c r="E57" s="2"/>
      <c r="F57" s="7">
        <f t="shared" si="24"/>
        <v>0</v>
      </c>
      <c r="G57" s="2"/>
      <c r="H57" s="6">
        <v>1530</v>
      </c>
      <c r="I57" s="2"/>
      <c r="J57" s="7">
        <f t="shared" si="25"/>
        <v>0</v>
      </c>
      <c r="K57" s="2"/>
      <c r="L57" s="6">
        <f t="shared" si="26"/>
        <v>1086.94</v>
      </c>
      <c r="M57" s="2"/>
      <c r="N57" s="7">
        <f t="shared" si="27"/>
        <v>0.71041830065359479</v>
      </c>
      <c r="O57" s="11"/>
      <c r="P57" s="6">
        <v>10523.59</v>
      </c>
      <c r="Q57" s="2"/>
      <c r="R57" s="7">
        <f t="shared" si="28"/>
        <v>0</v>
      </c>
      <c r="S57" s="2"/>
      <c r="T57" s="6">
        <v>7650</v>
      </c>
      <c r="U57" s="2"/>
      <c r="V57" s="7">
        <f t="shared" si="29"/>
        <v>0</v>
      </c>
      <c r="W57" s="2"/>
      <c r="X57" s="6">
        <f t="shared" si="30"/>
        <v>2873.59</v>
      </c>
      <c r="Y57" s="2"/>
      <c r="Z57" s="7">
        <f t="shared" si="31"/>
        <v>0.37563267973856213</v>
      </c>
    </row>
    <row r="58" spans="1:26" s="24" customFormat="1" hidden="1" outlineLevel="2" x14ac:dyDescent="0.3">
      <c r="A58" s="27"/>
      <c r="B58" s="11" t="str">
        <f>CONCATENATE("          ", "6375", " - ", "OUTSIDE REPAIRS &amp; MAINTENANCE")</f>
        <v xml:space="preserve">          6375 - OUTSIDE REPAIRS &amp; MAINTENANCE</v>
      </c>
      <c r="C58" s="11"/>
      <c r="D58" s="6"/>
      <c r="E58" s="2"/>
      <c r="F58" s="7">
        <f t="shared" si="24"/>
        <v>0</v>
      </c>
      <c r="G58" s="2"/>
      <c r="H58" s="6"/>
      <c r="I58" s="2"/>
      <c r="J58" s="7">
        <f t="shared" si="25"/>
        <v>0</v>
      </c>
      <c r="K58" s="2"/>
      <c r="L58" s="6">
        <f t="shared" si="26"/>
        <v>0</v>
      </c>
      <c r="M58" s="2"/>
      <c r="N58" s="7">
        <f t="shared" si="27"/>
        <v>0</v>
      </c>
      <c r="O58" s="11"/>
      <c r="P58" s="6">
        <v>97.99</v>
      </c>
      <c r="Q58" s="2"/>
      <c r="R58" s="7">
        <f t="shared" si="28"/>
        <v>0</v>
      </c>
      <c r="S58" s="2"/>
      <c r="T58" s="6"/>
      <c r="U58" s="2"/>
      <c r="V58" s="7">
        <f t="shared" si="29"/>
        <v>0</v>
      </c>
      <c r="W58" s="2"/>
      <c r="X58" s="6">
        <f t="shared" si="30"/>
        <v>97.99</v>
      </c>
      <c r="Y58" s="2"/>
      <c r="Z58" s="7">
        <f t="shared" si="31"/>
        <v>0</v>
      </c>
    </row>
    <row r="59" spans="1:26" s="29" customFormat="1" outlineLevel="1" collapsed="1" x14ac:dyDescent="0.3">
      <c r="A59" s="28"/>
      <c r="B59" s="14" t="str">
        <f>CONCATENATE("     ","Subscriptions &amp; Dues                              ")</f>
        <v xml:space="preserve">     Subscriptions &amp; Dues                              </v>
      </c>
      <c r="C59" s="14"/>
      <c r="D59" s="1">
        <f>SUM(OSRRefD22_10x_0)</f>
        <v>0</v>
      </c>
      <c r="E59" s="1"/>
      <c r="F59" s="5">
        <f t="shared" ref="F59:F63" si="32">IF(D$12=0,0,D59/D$12)</f>
        <v>0</v>
      </c>
      <c r="G59" s="1"/>
      <c r="H59" s="1">
        <f>SUM(OSRRefH22_10x_0)</f>
        <v>0</v>
      </c>
      <c r="I59" s="1"/>
      <c r="J59" s="5">
        <f t="shared" ref="J59:J63" si="33">IF(H$12=0,0,H59/H$12)</f>
        <v>0</v>
      </c>
      <c r="K59" s="1"/>
      <c r="L59" s="1">
        <f t="shared" ref="L59:L63" si="34">+D59-H59</f>
        <v>0</v>
      </c>
      <c r="M59" s="1"/>
      <c r="N59" s="5">
        <f t="shared" ref="N59:N63" si="35">IF(H59=0,0,L59/H59)</f>
        <v>0</v>
      </c>
      <c r="O59" s="14"/>
      <c r="P59" s="1">
        <f>SUM(OSRRefP22_10x_0)</f>
        <v>1000</v>
      </c>
      <c r="Q59" s="1"/>
      <c r="R59" s="5">
        <f t="shared" ref="R59:R63" si="36">IF(P$12=0,0,P59/P$12)</f>
        <v>0</v>
      </c>
      <c r="S59" s="1"/>
      <c r="T59" s="1">
        <f>SUM(OSRRefT22_10x_0)</f>
        <v>1975</v>
      </c>
      <c r="U59" s="1"/>
      <c r="V59" s="5">
        <f t="shared" ref="V59:V63" si="37">IF(T$12=0,0,T59/T$12)</f>
        <v>0</v>
      </c>
      <c r="W59" s="1"/>
      <c r="X59" s="1">
        <f t="shared" ref="X59:X63" si="38">+P59-T59</f>
        <v>-975</v>
      </c>
      <c r="Y59" s="1"/>
      <c r="Z59" s="5">
        <f t="shared" ref="Z59:Z63" si="39">IF(T59=0,0,X59/T59)</f>
        <v>-0.49367088607594939</v>
      </c>
    </row>
    <row r="60" spans="1:26" s="24" customFormat="1" hidden="1" outlineLevel="2" x14ac:dyDescent="0.3">
      <c r="A60" s="27"/>
      <c r="B60" s="11" t="str">
        <f>CONCATENATE("          ", "6258", " - ", "MEMBERSHIP DUES")</f>
        <v xml:space="preserve">          6258 - MEMBERSHIP DUES</v>
      </c>
      <c r="C60" s="11"/>
      <c r="D60" s="6"/>
      <c r="E60" s="2"/>
      <c r="F60" s="7">
        <f t="shared" si="32"/>
        <v>0</v>
      </c>
      <c r="G60" s="2"/>
      <c r="H60" s="6"/>
      <c r="I60" s="2"/>
      <c r="J60" s="7">
        <f t="shared" si="33"/>
        <v>0</v>
      </c>
      <c r="K60" s="2"/>
      <c r="L60" s="6">
        <f t="shared" si="34"/>
        <v>0</v>
      </c>
      <c r="M60" s="2"/>
      <c r="N60" s="7">
        <f t="shared" si="35"/>
        <v>0</v>
      </c>
      <c r="O60" s="11"/>
      <c r="P60" s="6">
        <v>1000</v>
      </c>
      <c r="Q60" s="2"/>
      <c r="R60" s="7">
        <f t="shared" si="36"/>
        <v>0</v>
      </c>
      <c r="S60" s="2"/>
      <c r="T60" s="6">
        <v>1975</v>
      </c>
      <c r="U60" s="2"/>
      <c r="V60" s="7">
        <f t="shared" si="37"/>
        <v>0</v>
      </c>
      <c r="W60" s="2"/>
      <c r="X60" s="6">
        <f t="shared" si="38"/>
        <v>-975</v>
      </c>
      <c r="Y60" s="2"/>
      <c r="Z60" s="7">
        <f t="shared" si="39"/>
        <v>-0.49367088607594939</v>
      </c>
    </row>
    <row r="61" spans="1:26" s="29" customFormat="1" outlineLevel="1" collapsed="1" x14ac:dyDescent="0.3">
      <c r="A61" s="28"/>
      <c r="B61" s="14" t="str">
        <f>CONCATENATE("     ","Supplies                                          ")</f>
        <v xml:space="preserve">     Supplies                                          </v>
      </c>
      <c r="C61" s="14"/>
      <c r="D61" s="1">
        <f>SUM(OSRRefD22_11x_0)</f>
        <v>119.88</v>
      </c>
      <c r="E61" s="1"/>
      <c r="F61" s="5">
        <f t="shared" si="32"/>
        <v>0</v>
      </c>
      <c r="G61" s="1"/>
      <c r="H61" s="1">
        <f>SUM(OSRRefH22_11x_0)</f>
        <v>125</v>
      </c>
      <c r="I61" s="1"/>
      <c r="J61" s="5">
        <f t="shared" si="33"/>
        <v>0</v>
      </c>
      <c r="K61" s="1"/>
      <c r="L61" s="1">
        <f t="shared" si="34"/>
        <v>-5.1200000000000045</v>
      </c>
      <c r="M61" s="1"/>
      <c r="N61" s="5">
        <f t="shared" si="35"/>
        <v>-4.0960000000000038E-2</v>
      </c>
      <c r="O61" s="14"/>
      <c r="P61" s="1">
        <f>SUM(OSRRefP22_11x_0)</f>
        <v>342.16</v>
      </c>
      <c r="Q61" s="1"/>
      <c r="R61" s="5">
        <f t="shared" si="36"/>
        <v>0</v>
      </c>
      <c r="S61" s="1"/>
      <c r="T61" s="1">
        <f>SUM(OSRRefT22_11x_0)</f>
        <v>625</v>
      </c>
      <c r="U61" s="1"/>
      <c r="V61" s="5">
        <f t="shared" si="37"/>
        <v>0</v>
      </c>
      <c r="W61" s="1"/>
      <c r="X61" s="1">
        <f t="shared" si="38"/>
        <v>-282.83999999999997</v>
      </c>
      <c r="Y61" s="1"/>
      <c r="Z61" s="5">
        <f t="shared" si="39"/>
        <v>-0.45254399999999995</v>
      </c>
    </row>
    <row r="62" spans="1:26" s="24" customFormat="1" hidden="1" outlineLevel="2" x14ac:dyDescent="0.3">
      <c r="A62" s="27"/>
      <c r="B62" s="11" t="str">
        <f>CONCATENATE("          ", "6234", " - ", "EXPENDABLE SUPPLIES &amp; EQUIPMEN")</f>
        <v xml:space="preserve">          6234 - EXPENDABLE SUPPLIES &amp; EQUIPMEN</v>
      </c>
      <c r="C62" s="11"/>
      <c r="D62" s="6"/>
      <c r="E62" s="2"/>
      <c r="F62" s="7">
        <f t="shared" si="32"/>
        <v>0</v>
      </c>
      <c r="G62" s="2"/>
      <c r="H62" s="6">
        <v>125</v>
      </c>
      <c r="I62" s="2"/>
      <c r="J62" s="7">
        <f t="shared" si="33"/>
        <v>0</v>
      </c>
      <c r="K62" s="2"/>
      <c r="L62" s="6">
        <f t="shared" si="34"/>
        <v>-125</v>
      </c>
      <c r="M62" s="2"/>
      <c r="N62" s="7">
        <f t="shared" si="35"/>
        <v>-1</v>
      </c>
      <c r="O62" s="11"/>
      <c r="P62" s="6"/>
      <c r="Q62" s="2"/>
      <c r="R62" s="7">
        <f t="shared" si="36"/>
        <v>0</v>
      </c>
      <c r="S62" s="2"/>
      <c r="T62" s="6">
        <v>625</v>
      </c>
      <c r="U62" s="2"/>
      <c r="V62" s="7">
        <f t="shared" si="37"/>
        <v>0</v>
      </c>
      <c r="W62" s="2"/>
      <c r="X62" s="6">
        <f t="shared" si="38"/>
        <v>-625</v>
      </c>
      <c r="Y62" s="2"/>
      <c r="Z62" s="7">
        <f t="shared" si="39"/>
        <v>-1</v>
      </c>
    </row>
    <row r="63" spans="1:26" s="24" customFormat="1" hidden="1" outlineLevel="2" x14ac:dyDescent="0.3">
      <c r="A63" s="27"/>
      <c r="B63" s="11" t="str">
        <f>CONCATENATE("          ", "6241", " - ", "OFFICE EXPENSE")</f>
        <v xml:space="preserve">          6241 - OFFICE EXPENSE</v>
      </c>
      <c r="C63" s="11"/>
      <c r="D63" s="6">
        <v>119.88</v>
      </c>
      <c r="E63" s="2"/>
      <c r="F63" s="7">
        <f t="shared" si="32"/>
        <v>0</v>
      </c>
      <c r="G63" s="2"/>
      <c r="H63" s="6"/>
      <c r="I63" s="2"/>
      <c r="J63" s="7">
        <f t="shared" si="33"/>
        <v>0</v>
      </c>
      <c r="K63" s="2"/>
      <c r="L63" s="6">
        <f t="shared" si="34"/>
        <v>119.88</v>
      </c>
      <c r="M63" s="2"/>
      <c r="N63" s="7">
        <f t="shared" si="35"/>
        <v>0</v>
      </c>
      <c r="O63" s="11"/>
      <c r="P63" s="6">
        <v>342.16</v>
      </c>
      <c r="Q63" s="2"/>
      <c r="R63" s="7">
        <f t="shared" si="36"/>
        <v>0</v>
      </c>
      <c r="S63" s="2"/>
      <c r="T63" s="6"/>
      <c r="U63" s="2"/>
      <c r="V63" s="7">
        <f t="shared" si="37"/>
        <v>0</v>
      </c>
      <c r="W63" s="2"/>
      <c r="X63" s="6">
        <f t="shared" si="38"/>
        <v>342.16</v>
      </c>
      <c r="Y63" s="2"/>
      <c r="Z63" s="7">
        <f t="shared" si="39"/>
        <v>0</v>
      </c>
    </row>
    <row r="64" spans="1:26" s="29" customFormat="1" outlineLevel="1" collapsed="1" x14ac:dyDescent="0.3">
      <c r="A64" s="28"/>
      <c r="B64" s="14" t="str">
        <f>CONCATENATE("     ","Telephone/Data Lines                              ")</f>
        <v xml:space="preserve">     Telephone/Data Lines                              </v>
      </c>
      <c r="C64" s="14"/>
      <c r="D64" s="1">
        <f>SUM(OSRRefD22_12x_0)</f>
        <v>436.69</v>
      </c>
      <c r="E64" s="1"/>
      <c r="F64" s="5">
        <f t="shared" ref="F64:F67" si="40">IF(D$12=0,0,D64/D$12)</f>
        <v>0</v>
      </c>
      <c r="G64" s="1"/>
      <c r="H64" s="1">
        <f>SUM(OSRRefH22_12x_0)</f>
        <v>425</v>
      </c>
      <c r="I64" s="1"/>
      <c r="J64" s="5">
        <f t="shared" ref="J64:J67" si="41">IF(H$12=0,0,H64/H$12)</f>
        <v>0</v>
      </c>
      <c r="K64" s="1"/>
      <c r="L64" s="1">
        <f t="shared" ref="L64:L67" si="42">+D64-H64</f>
        <v>11.689999999999998</v>
      </c>
      <c r="M64" s="1"/>
      <c r="N64" s="5">
        <f t="shared" ref="N64:N67" si="43">IF(H64=0,0,L64/H64)</f>
        <v>2.7505882352941172E-2</v>
      </c>
      <c r="O64" s="14"/>
      <c r="P64" s="1">
        <f>SUM(OSRRefP22_12x_0)</f>
        <v>2306.56</v>
      </c>
      <c r="Q64" s="1"/>
      <c r="R64" s="5">
        <f t="shared" ref="R64:R67" si="44">IF(P$12=0,0,P64/P$12)</f>
        <v>0</v>
      </c>
      <c r="S64" s="1"/>
      <c r="T64" s="1">
        <f>SUM(OSRRefT22_12x_0)</f>
        <v>2125</v>
      </c>
      <c r="U64" s="1"/>
      <c r="V64" s="5">
        <f t="shared" ref="V64:V67" si="45">IF(T$12=0,0,T64/T$12)</f>
        <v>0</v>
      </c>
      <c r="W64" s="1"/>
      <c r="X64" s="1">
        <f t="shared" ref="X64:X67" si="46">+P64-T64</f>
        <v>181.55999999999995</v>
      </c>
      <c r="Y64" s="1"/>
      <c r="Z64" s="5">
        <f t="shared" ref="Z64:Z67" si="47">IF(T64=0,0,X64/T64)</f>
        <v>8.5439999999999974E-2</v>
      </c>
    </row>
    <row r="65" spans="1:26" s="24" customFormat="1" hidden="1" outlineLevel="2" x14ac:dyDescent="0.3">
      <c r="A65" s="27"/>
      <c r="B65" s="11" t="str">
        <f>CONCATENATE("          ", "6309", " - ", "TELEPHONE")</f>
        <v xml:space="preserve">          6309 - TELEPHONE</v>
      </c>
      <c r="C65" s="11"/>
      <c r="D65" s="6">
        <v>436.69</v>
      </c>
      <c r="E65" s="2"/>
      <c r="F65" s="7">
        <f t="shared" si="40"/>
        <v>0</v>
      </c>
      <c r="G65" s="2"/>
      <c r="H65" s="6">
        <v>425</v>
      </c>
      <c r="I65" s="2"/>
      <c r="J65" s="7">
        <f t="shared" si="41"/>
        <v>0</v>
      </c>
      <c r="K65" s="2"/>
      <c r="L65" s="6">
        <f t="shared" si="42"/>
        <v>11.689999999999998</v>
      </c>
      <c r="M65" s="2"/>
      <c r="N65" s="7">
        <f t="shared" si="43"/>
        <v>2.7505882352941172E-2</v>
      </c>
      <c r="O65" s="11"/>
      <c r="P65" s="6">
        <v>2306.56</v>
      </c>
      <c r="Q65" s="2"/>
      <c r="R65" s="7">
        <f t="shared" si="44"/>
        <v>0</v>
      </c>
      <c r="S65" s="2"/>
      <c r="T65" s="6">
        <v>2125</v>
      </c>
      <c r="U65" s="2"/>
      <c r="V65" s="7">
        <f t="shared" si="45"/>
        <v>0</v>
      </c>
      <c r="W65" s="2"/>
      <c r="X65" s="6">
        <f t="shared" si="46"/>
        <v>181.55999999999995</v>
      </c>
      <c r="Y65" s="2"/>
      <c r="Z65" s="7">
        <f t="shared" si="47"/>
        <v>8.5439999999999974E-2</v>
      </c>
    </row>
    <row r="66" spans="1:26" s="29" customFormat="1" outlineLevel="1" collapsed="1" x14ac:dyDescent="0.3">
      <c r="A66" s="28"/>
      <c r="B66" s="14" t="str">
        <f>CONCATENATE("     ","Training                                          ")</f>
        <v xml:space="preserve">     Training                                          </v>
      </c>
      <c r="C66" s="14"/>
      <c r="D66" s="1">
        <f>SUM(OSRRefD22_13x_0)</f>
        <v>595</v>
      </c>
      <c r="E66" s="1"/>
      <c r="F66" s="5">
        <f t="shared" si="40"/>
        <v>0</v>
      </c>
      <c r="G66" s="1"/>
      <c r="H66" s="1">
        <f>SUM(OSRRefH22_13x_0)</f>
        <v>0</v>
      </c>
      <c r="I66" s="1"/>
      <c r="J66" s="5">
        <f t="shared" si="41"/>
        <v>0</v>
      </c>
      <c r="K66" s="1"/>
      <c r="L66" s="1">
        <f t="shared" si="42"/>
        <v>595</v>
      </c>
      <c r="M66" s="1"/>
      <c r="N66" s="5">
        <f t="shared" si="43"/>
        <v>0</v>
      </c>
      <c r="O66" s="14"/>
      <c r="P66" s="1">
        <f>SUM(OSRRefP22_13x_0)</f>
        <v>595</v>
      </c>
      <c r="Q66" s="1"/>
      <c r="R66" s="5">
        <f t="shared" si="44"/>
        <v>0</v>
      </c>
      <c r="S66" s="1"/>
      <c r="T66" s="1">
        <f>SUM(OSRRefT22_13x_0)</f>
        <v>250</v>
      </c>
      <c r="U66" s="1"/>
      <c r="V66" s="5">
        <f t="shared" si="45"/>
        <v>0</v>
      </c>
      <c r="W66" s="1"/>
      <c r="X66" s="1">
        <f t="shared" si="46"/>
        <v>345</v>
      </c>
      <c r="Y66" s="1"/>
      <c r="Z66" s="5">
        <f t="shared" si="47"/>
        <v>1.38</v>
      </c>
    </row>
    <row r="67" spans="1:26" s="24" customFormat="1" hidden="1" outlineLevel="2" x14ac:dyDescent="0.3">
      <c r="A67" s="27"/>
      <c r="B67" s="11" t="str">
        <f>CONCATENATE("          ", "6376", " - ", "TRAINING")</f>
        <v xml:space="preserve">          6376 - TRAINING</v>
      </c>
      <c r="C67" s="11"/>
      <c r="D67" s="6">
        <v>595</v>
      </c>
      <c r="E67" s="2"/>
      <c r="F67" s="7">
        <f t="shared" si="40"/>
        <v>0</v>
      </c>
      <c r="G67" s="2"/>
      <c r="H67" s="6"/>
      <c r="I67" s="2"/>
      <c r="J67" s="7">
        <f t="shared" si="41"/>
        <v>0</v>
      </c>
      <c r="K67" s="2"/>
      <c r="L67" s="6">
        <f t="shared" si="42"/>
        <v>595</v>
      </c>
      <c r="M67" s="2"/>
      <c r="N67" s="7">
        <f t="shared" si="43"/>
        <v>0</v>
      </c>
      <c r="O67" s="11"/>
      <c r="P67" s="6">
        <v>595</v>
      </c>
      <c r="Q67" s="2"/>
      <c r="R67" s="7">
        <f t="shared" si="44"/>
        <v>0</v>
      </c>
      <c r="S67" s="2"/>
      <c r="T67" s="6">
        <v>250</v>
      </c>
      <c r="U67" s="2"/>
      <c r="V67" s="7">
        <f t="shared" si="45"/>
        <v>0</v>
      </c>
      <c r="W67" s="2"/>
      <c r="X67" s="6">
        <f t="shared" si="46"/>
        <v>345</v>
      </c>
      <c r="Y67" s="2"/>
      <c r="Z67" s="7">
        <f t="shared" si="47"/>
        <v>1.38</v>
      </c>
    </row>
    <row r="68" spans="1:26" s="63" customFormat="1" x14ac:dyDescent="0.3">
      <c r="A68" s="36"/>
      <c r="B68" s="36"/>
      <c r="C68" s="36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6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x14ac:dyDescent="0.3">
      <c r="A69" s="10"/>
      <c r="B69" s="25" t="s">
        <v>293</v>
      </c>
      <c r="C69" s="10"/>
      <c r="D69" s="4">
        <f>SUM(0)</f>
        <v>0</v>
      </c>
      <c r="E69" s="4"/>
      <c r="F69" s="12">
        <f>IF(D$12=0,0,D69/D$12)</f>
        <v>0</v>
      </c>
      <c r="G69" s="4"/>
      <c r="H69" s="4">
        <f>SUM(0)</f>
        <v>0</v>
      </c>
      <c r="I69" s="4"/>
      <c r="J69" s="12">
        <f>IF(H$12=0,0,H69/H$12)</f>
        <v>0</v>
      </c>
      <c r="K69" s="4"/>
      <c r="L69" s="4">
        <f>+D69-H69</f>
        <v>0</v>
      </c>
      <c r="M69" s="4"/>
      <c r="N69" s="12">
        <f>IF(H69=0,0,L69/H69)</f>
        <v>0</v>
      </c>
      <c r="O69" s="10"/>
      <c r="P69" s="4">
        <f>SUM(0)</f>
        <v>0</v>
      </c>
      <c r="Q69" s="4"/>
      <c r="R69" s="12">
        <f>IF(P$12=0,0,P69/P$12)</f>
        <v>0</v>
      </c>
      <c r="S69" s="4"/>
      <c r="T69" s="4">
        <f>SUM(0)</f>
        <v>0</v>
      </c>
      <c r="U69" s="4"/>
      <c r="V69" s="12">
        <f>IF(T$12=0,0,T69/T$12)</f>
        <v>0</v>
      </c>
      <c r="W69" s="4"/>
      <c r="X69" s="4">
        <f>+P69-T69</f>
        <v>0</v>
      </c>
      <c r="Y69" s="4"/>
      <c r="Z69" s="12">
        <f>IF(T69=0,0,X69/T69)</f>
        <v>0</v>
      </c>
    </row>
    <row r="70" spans="1:26" x14ac:dyDescent="0.3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3">
      <c r="A71" s="10"/>
      <c r="B71" s="26" t="s">
        <v>277</v>
      </c>
      <c r="C71" s="26"/>
      <c r="D71" s="20">
        <f>+D16-D18+D69</f>
        <v>-72649.430000000008</v>
      </c>
      <c r="E71" s="13"/>
      <c r="F71" s="22">
        <f>IF(D$12=0,0,D71/D$12)</f>
        <v>0</v>
      </c>
      <c r="G71" s="13"/>
      <c r="H71" s="20">
        <f>+H16-H18+H69</f>
        <v>-63332.928969230801</v>
      </c>
      <c r="I71" s="13"/>
      <c r="J71" s="22">
        <f>IF(H$12=0,0,H71/H$12)</f>
        <v>0</v>
      </c>
      <c r="K71" s="15"/>
      <c r="L71" s="20">
        <f>+D71-H71</f>
        <v>-9316.5010307692064</v>
      </c>
      <c r="M71" s="15"/>
      <c r="N71" s="22">
        <f>IF(H71=0,0,L71/H71)</f>
        <v>0.14710358706598689</v>
      </c>
      <c r="O71" s="25"/>
      <c r="P71" s="20">
        <f>+P16-P18+P69</f>
        <v>-208633.72999999998</v>
      </c>
      <c r="Q71" s="13"/>
      <c r="R71" s="22">
        <f>IF(P$12=0,0,P71/P$12)</f>
        <v>0</v>
      </c>
      <c r="S71" s="13"/>
      <c r="T71" s="20">
        <f>+T16-T18+T69</f>
        <v>-258362.64990769222</v>
      </c>
      <c r="U71" s="13"/>
      <c r="V71" s="22">
        <f>IF(T$12=0,0,T71/T$12)</f>
        <v>0</v>
      </c>
      <c r="W71" s="15"/>
      <c r="X71" s="20">
        <f>+P71-T71</f>
        <v>49728.919907692238</v>
      </c>
      <c r="Y71" s="15"/>
      <c r="Z71" s="22">
        <f>IF(T71=0,0,X71/T71)</f>
        <v>-0.19247720181481101</v>
      </c>
    </row>
    <row r="72" spans="1:26" x14ac:dyDescent="0.3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3">
      <c r="A73" s="52"/>
      <c r="B73" s="10" t="s">
        <v>128</v>
      </c>
      <c r="C73" s="10"/>
      <c r="D73" s="4"/>
      <c r="E73" s="4"/>
      <c r="F73" s="12">
        <f>IF(D$12=0,0,D73/D$12)</f>
        <v>0</v>
      </c>
      <c r="G73" s="4"/>
      <c r="H73" s="4"/>
      <c r="I73" s="4"/>
      <c r="J73" s="12">
        <f>IF(H$12=0,0,H73/H$12)</f>
        <v>0</v>
      </c>
      <c r="K73" s="4"/>
      <c r="L73" s="4">
        <f>+D73-H73</f>
        <v>0</v>
      </c>
      <c r="M73" s="4"/>
      <c r="N73" s="12">
        <f>IF(H73=0,0,L73/H73)</f>
        <v>0</v>
      </c>
      <c r="O73" s="10"/>
      <c r="P73" s="4"/>
      <c r="Q73" s="4"/>
      <c r="R73" s="12">
        <f>IF(P$12=0,0,P73/P$12)</f>
        <v>0</v>
      </c>
      <c r="S73" s="4"/>
      <c r="T73" s="4"/>
      <c r="U73" s="4"/>
      <c r="V73" s="12">
        <f>IF(T$12=0,0,T73/T$12)</f>
        <v>0</v>
      </c>
      <c r="W73" s="4"/>
      <c r="X73" s="4">
        <f>+P73-T73</f>
        <v>0</v>
      </c>
      <c r="Y73" s="4"/>
      <c r="Z73" s="12">
        <f>IF(T73=0,0,X73/T73)</f>
        <v>0</v>
      </c>
    </row>
    <row r="74" spans="1:26" x14ac:dyDescent="0.3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" thickBot="1" x14ac:dyDescent="0.35">
      <c r="A75" s="10"/>
      <c r="B75" s="26" t="s">
        <v>126</v>
      </c>
      <c r="C75" s="26"/>
      <c r="D75" s="33">
        <f>+D71-D73</f>
        <v>-72649.430000000008</v>
      </c>
      <c r="E75" s="13"/>
      <c r="F75" s="34">
        <f>IF(D$12=0,0,D75/D$12)</f>
        <v>0</v>
      </c>
      <c r="G75" s="13"/>
      <c r="H75" s="33">
        <f>+H71-H73</f>
        <v>-63332.928969230801</v>
      </c>
      <c r="I75" s="13"/>
      <c r="J75" s="34">
        <f>IF(H$12=0,0,H75/H$12)</f>
        <v>0</v>
      </c>
      <c r="K75" s="15"/>
      <c r="L75" s="33">
        <f>D75-H75</f>
        <v>-9316.5010307692064</v>
      </c>
      <c r="M75" s="15"/>
      <c r="N75" s="34">
        <f>IF(H75=0,0,L75/H75)</f>
        <v>0.14710358706598689</v>
      </c>
      <c r="O75" s="25"/>
      <c r="P75" s="33">
        <f>+P71-P73</f>
        <v>-208633.72999999998</v>
      </c>
      <c r="Q75" s="13"/>
      <c r="R75" s="34">
        <f>IF(P$12=0,0,P75/P$12)</f>
        <v>0</v>
      </c>
      <c r="S75" s="13"/>
      <c r="T75" s="33">
        <f>+T71-T73</f>
        <v>-258362.64990769222</v>
      </c>
      <c r="U75" s="13"/>
      <c r="V75" s="34">
        <f>IF(T$12=0,0,T75/T$12)</f>
        <v>0</v>
      </c>
      <c r="W75" s="15"/>
      <c r="X75" s="33">
        <f>P75-T75</f>
        <v>49728.919907692238</v>
      </c>
      <c r="Y75" s="15"/>
      <c r="Z75" s="34">
        <f>IF(T75=0,0,X75/T75)</f>
        <v>-0.19247720181481101</v>
      </c>
    </row>
    <row r="76" spans="1:26" ht="15" thickTop="1" x14ac:dyDescent="0.3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3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" thickBot="1" x14ac:dyDescent="0.35">
      <c r="A78" s="10"/>
      <c r="B78" s="26" t="s">
        <v>294</v>
      </c>
      <c r="C78" s="26"/>
      <c r="D78" s="35">
        <f>SUM(D75:D77)</f>
        <v>-72649.430000000008</v>
      </c>
      <c r="E78" s="13"/>
      <c r="F78" s="32">
        <f>IF(D$12=0,0,D78/D$12)</f>
        <v>0</v>
      </c>
      <c r="G78" s="13"/>
      <c r="H78" s="35">
        <f>SUM(H75:H77)</f>
        <v>-63332.928969230801</v>
      </c>
      <c r="I78" s="13"/>
      <c r="J78" s="32">
        <f>IF(H$12=0,0,H78/H$12)</f>
        <v>0</v>
      </c>
      <c r="K78" s="15"/>
      <c r="L78" s="35">
        <f>+D78-H78</f>
        <v>-9316.5010307692064</v>
      </c>
      <c r="M78" s="15"/>
      <c r="N78" s="32">
        <f>IF(H78=0,0,L78/H78)</f>
        <v>0.14710358706598689</v>
      </c>
      <c r="O78" s="25"/>
      <c r="P78" s="35">
        <f>SUM(P75:P77)</f>
        <v>-208633.72999999998</v>
      </c>
      <c r="Q78" s="13"/>
      <c r="R78" s="32">
        <f>IF(P$12=0,0,P78/P$12)</f>
        <v>0</v>
      </c>
      <c r="S78" s="13"/>
      <c r="T78" s="35">
        <f>SUM(T75:T77)</f>
        <v>-258362.64990769222</v>
      </c>
      <c r="U78" s="13"/>
      <c r="V78" s="32">
        <f>IF(T$12=0,0,T78/T$12)</f>
        <v>0</v>
      </c>
      <c r="W78" s="15"/>
      <c r="X78" s="35">
        <f>+P78-T78</f>
        <v>49728.919907692238</v>
      </c>
      <c r="Y78" s="15"/>
      <c r="Z78" s="32">
        <f>IF(T78=0,0,X78/T78)</f>
        <v>-0.19247720181481101</v>
      </c>
    </row>
    <row r="79" spans="1:26" ht="15" thickTop="1" x14ac:dyDescent="0.3">
      <c r="A79" s="9"/>
      <c r="C79" s="9"/>
      <c r="D79" s="17"/>
      <c r="E79" s="17"/>
      <c r="G79" s="17"/>
      <c r="H79" s="17"/>
      <c r="I79" s="17"/>
      <c r="J79" s="42"/>
      <c r="K79" s="17"/>
      <c r="L79" s="17"/>
      <c r="M79" s="17"/>
      <c r="P79" s="17"/>
      <c r="Q79" s="17"/>
      <c r="R79" s="42"/>
      <c r="S79" s="17"/>
      <c r="T79" s="17"/>
      <c r="U79" s="17"/>
      <c r="V79" s="42"/>
      <c r="W79" s="17"/>
      <c r="X79" s="17"/>
    </row>
    <row r="80" spans="1:26" x14ac:dyDescent="0.3">
      <c r="A80" s="9"/>
      <c r="B80" s="60">
        <v>44543.753113078703</v>
      </c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  <row r="81" spans="1:24" x14ac:dyDescent="0.3">
      <c r="A81" s="9"/>
      <c r="B81" s="58" t="s">
        <v>56</v>
      </c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3">
      <c r="A82" s="9"/>
      <c r="B82" s="55"/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3"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92D050"/>
    <outlinePr summaryBelow="0" summaryRight="0"/>
  </sheetPr>
  <dimension ref="A2:Z7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","202", " - ", "Accounting")</f>
        <v>Department 202 - Accounting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5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1">
        <f>SUM(OSRRefD22x_0)</f>
        <v>38788.509999999995</v>
      </c>
      <c r="E18" s="21"/>
      <c r="F18" s="30">
        <f t="shared" ref="F18:F28" si="0">IF(D$12=0,0,D18/D$12)</f>
        <v>0</v>
      </c>
      <c r="G18" s="21"/>
      <c r="H18" s="21">
        <f>SUM(OSRRefH22x_0)</f>
        <v>37946.109144307673</v>
      </c>
      <c r="I18" s="21"/>
      <c r="J18" s="30">
        <f t="shared" ref="J18:J28" si="1">IF(H$12=0,0,H18/H$12)</f>
        <v>0</v>
      </c>
      <c r="K18" s="4"/>
      <c r="L18" s="21">
        <f t="shared" ref="L18:L28" si="2">+D18-H18</f>
        <v>842.40085569232178</v>
      </c>
      <c r="M18" s="4"/>
      <c r="N18" s="30">
        <f t="shared" ref="N18:N28" si="3">IF(H18=0,0,L18/H18)</f>
        <v>2.2199927072593977E-2</v>
      </c>
      <c r="O18" s="10"/>
      <c r="P18" s="21">
        <f>SUM(OSRRefP22x_0)</f>
        <v>204878.15999999997</v>
      </c>
      <c r="Q18" s="21"/>
      <c r="R18" s="30">
        <f t="shared" ref="R18:R28" si="4">IF(P$12=0,0,P18/P$12)</f>
        <v>0</v>
      </c>
      <c r="S18" s="21"/>
      <c r="T18" s="21">
        <f>SUM(OSRRefT22x_0)</f>
        <v>198442.19229369223</v>
      </c>
      <c r="U18" s="21"/>
      <c r="V18" s="30">
        <f t="shared" ref="V18:V28" si="5">IF(T$12=0,0,T18/T$12)</f>
        <v>0</v>
      </c>
      <c r="W18" s="4"/>
      <c r="X18" s="21">
        <f t="shared" ref="X18:X28" si="6">+P18-T18</f>
        <v>6435.9677063077397</v>
      </c>
      <c r="Y18" s="4"/>
      <c r="Z18" s="30">
        <f t="shared" ref="Z18:Z28" si="7">IF(T18=0,0,X18/T18)</f>
        <v>3.2432456182415983E-2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13133.77</v>
      </c>
      <c r="E19" s="1"/>
      <c r="F19" s="5">
        <f t="shared" si="0"/>
        <v>0</v>
      </c>
      <c r="G19" s="1"/>
      <c r="H19" s="1">
        <f>SUM(OSRRefH22_0x_0)</f>
        <v>12757.33375969231</v>
      </c>
      <c r="I19" s="1"/>
      <c r="J19" s="5">
        <f t="shared" si="1"/>
        <v>0</v>
      </c>
      <c r="K19" s="1"/>
      <c r="L19" s="1">
        <f t="shared" si="2"/>
        <v>376.43624030769024</v>
      </c>
      <c r="M19" s="1"/>
      <c r="N19" s="5">
        <f t="shared" si="3"/>
        <v>2.9507438419230429E-2</v>
      </c>
      <c r="O19" s="14"/>
      <c r="P19" s="1">
        <f>SUM(OSRRefP22_0x_0)</f>
        <v>67680.210000000006</v>
      </c>
      <c r="Q19" s="1"/>
      <c r="R19" s="5">
        <f t="shared" si="4"/>
        <v>0</v>
      </c>
      <c r="S19" s="1"/>
      <c r="T19" s="1">
        <f>SUM(OSRRefT22_0x_0)</f>
        <v>66576.427678307722</v>
      </c>
      <c r="U19" s="1"/>
      <c r="V19" s="5">
        <f t="shared" si="5"/>
        <v>0</v>
      </c>
      <c r="W19" s="1"/>
      <c r="X19" s="1">
        <f t="shared" si="6"/>
        <v>1103.7823216922843</v>
      </c>
      <c r="Y19" s="1"/>
      <c r="Z19" s="5">
        <f t="shared" si="7"/>
        <v>1.657917614663372E-2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6">
        <v>1695.13</v>
      </c>
      <c r="E20" s="2"/>
      <c r="F20" s="7">
        <f t="shared" si="0"/>
        <v>0</v>
      </c>
      <c r="G20" s="2"/>
      <c r="H20" s="6">
        <v>1673.77703353846</v>
      </c>
      <c r="I20" s="2"/>
      <c r="J20" s="7">
        <f t="shared" si="1"/>
        <v>0</v>
      </c>
      <c r="K20" s="2"/>
      <c r="L20" s="6">
        <f t="shared" si="2"/>
        <v>21.352966461540063</v>
      </c>
      <c r="M20" s="2"/>
      <c r="N20" s="7">
        <f t="shared" si="3"/>
        <v>1.2757354195736977E-2</v>
      </c>
      <c r="O20" s="11"/>
      <c r="P20" s="6">
        <v>9027.8799999999992</v>
      </c>
      <c r="Q20" s="2"/>
      <c r="R20" s="7">
        <f t="shared" si="4"/>
        <v>0</v>
      </c>
      <c r="S20" s="2"/>
      <c r="T20" s="6">
        <v>9205.7736844615392</v>
      </c>
      <c r="U20" s="2"/>
      <c r="V20" s="7">
        <f t="shared" si="5"/>
        <v>0</v>
      </c>
      <c r="W20" s="2"/>
      <c r="X20" s="6">
        <f t="shared" si="6"/>
        <v>-177.89368446154003</v>
      </c>
      <c r="Y20" s="2"/>
      <c r="Z20" s="7">
        <f t="shared" si="7"/>
        <v>-1.9324142712937583E-2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291.88</v>
      </c>
      <c r="E21" s="2"/>
      <c r="F21" s="7">
        <f t="shared" si="0"/>
        <v>0</v>
      </c>
      <c r="G21" s="2"/>
      <c r="H21" s="6">
        <v>74.743670769230803</v>
      </c>
      <c r="I21" s="2"/>
      <c r="J21" s="7">
        <f t="shared" si="1"/>
        <v>0</v>
      </c>
      <c r="K21" s="2"/>
      <c r="L21" s="6">
        <f t="shared" si="2"/>
        <v>217.13632923076921</v>
      </c>
      <c r="M21" s="2"/>
      <c r="N21" s="7">
        <f t="shared" si="3"/>
        <v>2.9050798147333725</v>
      </c>
      <c r="O21" s="11"/>
      <c r="P21" s="6">
        <v>1554.57</v>
      </c>
      <c r="Q21" s="2"/>
      <c r="R21" s="7">
        <f t="shared" si="4"/>
        <v>0</v>
      </c>
      <c r="S21" s="2"/>
      <c r="T21" s="6">
        <v>395.46618923076898</v>
      </c>
      <c r="U21" s="2"/>
      <c r="V21" s="7">
        <f t="shared" si="5"/>
        <v>0</v>
      </c>
      <c r="W21" s="2"/>
      <c r="X21" s="6">
        <f t="shared" si="6"/>
        <v>1159.1038107692309</v>
      </c>
      <c r="Y21" s="2"/>
      <c r="Z21" s="7">
        <f t="shared" si="7"/>
        <v>2.9309808078001112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6">
        <v>6221.66</v>
      </c>
      <c r="E22" s="2"/>
      <c r="F22" s="7">
        <f t="shared" si="0"/>
        <v>0</v>
      </c>
      <c r="G22" s="2"/>
      <c r="H22" s="6">
        <v>6123</v>
      </c>
      <c r="I22" s="2"/>
      <c r="J22" s="7">
        <f t="shared" si="1"/>
        <v>0</v>
      </c>
      <c r="K22" s="2"/>
      <c r="L22" s="6">
        <f t="shared" si="2"/>
        <v>98.659999999999854</v>
      </c>
      <c r="M22" s="2"/>
      <c r="N22" s="7">
        <f t="shared" si="3"/>
        <v>1.6113016495182077E-2</v>
      </c>
      <c r="O22" s="11"/>
      <c r="P22" s="6">
        <v>31153.3</v>
      </c>
      <c r="Q22" s="2"/>
      <c r="R22" s="7">
        <f t="shared" si="4"/>
        <v>0</v>
      </c>
      <c r="S22" s="2"/>
      <c r="T22" s="6">
        <v>30615</v>
      </c>
      <c r="U22" s="2"/>
      <c r="V22" s="7">
        <f t="shared" si="5"/>
        <v>0</v>
      </c>
      <c r="W22" s="2"/>
      <c r="X22" s="6">
        <f t="shared" si="6"/>
        <v>538.29999999999927</v>
      </c>
      <c r="Y22" s="2"/>
      <c r="Z22" s="7">
        <f t="shared" si="7"/>
        <v>1.7582884207088006E-2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58.83</v>
      </c>
      <c r="E23" s="2"/>
      <c r="F23" s="7">
        <f t="shared" si="0"/>
        <v>0</v>
      </c>
      <c r="G23" s="2"/>
      <c r="H23" s="6">
        <v>50.632809230769197</v>
      </c>
      <c r="I23" s="2"/>
      <c r="J23" s="7">
        <f t="shared" si="1"/>
        <v>0</v>
      </c>
      <c r="K23" s="2"/>
      <c r="L23" s="6">
        <f t="shared" si="2"/>
        <v>8.1971907692308008</v>
      </c>
      <c r="M23" s="2"/>
      <c r="N23" s="7">
        <f t="shared" si="3"/>
        <v>0.16189484434629051</v>
      </c>
      <c r="O23" s="11"/>
      <c r="P23" s="6">
        <v>313.33</v>
      </c>
      <c r="Q23" s="2"/>
      <c r="R23" s="7">
        <f t="shared" si="4"/>
        <v>0</v>
      </c>
      <c r="S23" s="2"/>
      <c r="T23" s="6">
        <v>267.89645076923102</v>
      </c>
      <c r="U23" s="2"/>
      <c r="V23" s="7">
        <f t="shared" si="5"/>
        <v>0</v>
      </c>
      <c r="W23" s="2"/>
      <c r="X23" s="6">
        <f t="shared" si="6"/>
        <v>45.433549230768961</v>
      </c>
      <c r="Y23" s="2"/>
      <c r="Z23" s="7">
        <f t="shared" si="7"/>
        <v>0.16959369599825688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6">
        <v>2025.79</v>
      </c>
      <c r="E24" s="2"/>
      <c r="F24" s="7">
        <f t="shared" si="0"/>
        <v>0</v>
      </c>
      <c r="G24" s="2"/>
      <c r="H24" s="6">
        <v>1880.89409230769</v>
      </c>
      <c r="I24" s="2"/>
      <c r="J24" s="7">
        <f t="shared" si="1"/>
        <v>0</v>
      </c>
      <c r="K24" s="2"/>
      <c r="L24" s="6">
        <f t="shared" si="2"/>
        <v>144.89590769230995</v>
      </c>
      <c r="M24" s="2"/>
      <c r="N24" s="7">
        <f t="shared" si="3"/>
        <v>7.7035654630897121E-2</v>
      </c>
      <c r="O24" s="11"/>
      <c r="P24" s="6">
        <v>10791.39</v>
      </c>
      <c r="Q24" s="2"/>
      <c r="R24" s="7">
        <f t="shared" si="4"/>
        <v>0</v>
      </c>
      <c r="S24" s="2"/>
      <c r="T24" s="6">
        <v>10344.9175076923</v>
      </c>
      <c r="U24" s="2"/>
      <c r="V24" s="7">
        <f t="shared" si="5"/>
        <v>0</v>
      </c>
      <c r="W24" s="2"/>
      <c r="X24" s="6">
        <f t="shared" si="6"/>
        <v>446.47249230769921</v>
      </c>
      <c r="Y24" s="2"/>
      <c r="Z24" s="7">
        <f t="shared" si="7"/>
        <v>4.3158632437205038E-2</v>
      </c>
    </row>
    <row r="25" spans="1:26" s="24" customFormat="1" hidden="1" outlineLevel="2" x14ac:dyDescent="0.3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3">
      <c r="A26" s="27"/>
      <c r="B26" s="11" t="str">
        <f>CONCATENATE("          ", "6118", " - ", "VACATION")</f>
        <v xml:space="preserve">          6118 - VACATION</v>
      </c>
      <c r="C26" s="11"/>
      <c r="D26" s="6">
        <v>1210.92</v>
      </c>
      <c r="E26" s="2"/>
      <c r="F26" s="7">
        <f t="shared" si="0"/>
        <v>0</v>
      </c>
      <c r="G26" s="2"/>
      <c r="H26" s="6">
        <v>1093.54307692308</v>
      </c>
      <c r="I26" s="2"/>
      <c r="J26" s="7">
        <f t="shared" si="1"/>
        <v>0</v>
      </c>
      <c r="K26" s="2"/>
      <c r="L26" s="6">
        <f t="shared" si="2"/>
        <v>117.37692307692009</v>
      </c>
      <c r="M26" s="2"/>
      <c r="N26" s="7">
        <f t="shared" si="3"/>
        <v>0.1073363505781459</v>
      </c>
      <c r="O26" s="11"/>
      <c r="P26" s="6">
        <v>6717.5</v>
      </c>
      <c r="Q26" s="2"/>
      <c r="R26" s="7">
        <f t="shared" si="4"/>
        <v>0</v>
      </c>
      <c r="S26" s="2"/>
      <c r="T26" s="6">
        <v>6014.48692307694</v>
      </c>
      <c r="U26" s="2"/>
      <c r="V26" s="7">
        <f t="shared" si="5"/>
        <v>0</v>
      </c>
      <c r="W26" s="2"/>
      <c r="X26" s="6">
        <f t="shared" si="6"/>
        <v>703.01307692306</v>
      </c>
      <c r="Y26" s="2"/>
      <c r="Z26" s="7">
        <f t="shared" si="7"/>
        <v>0.1168866248965767</v>
      </c>
    </row>
    <row r="27" spans="1:26" s="24" customFormat="1" hidden="1" outlineLevel="2" x14ac:dyDescent="0.3">
      <c r="A27" s="27"/>
      <c r="B27" s="11" t="str">
        <f>CONCATENATE("          ", "6119", " - ", "SICK LEAVE")</f>
        <v xml:space="preserve">          6119 - SICK LEAVE</v>
      </c>
      <c r="C27" s="11"/>
      <c r="D27" s="6">
        <v>1018.58</v>
      </c>
      <c r="E27" s="2"/>
      <c r="F27" s="7">
        <f t="shared" si="0"/>
        <v>0</v>
      </c>
      <c r="G27" s="2"/>
      <c r="H27" s="6">
        <v>1160.74307692308</v>
      </c>
      <c r="I27" s="2"/>
      <c r="J27" s="7">
        <f t="shared" si="1"/>
        <v>0</v>
      </c>
      <c r="K27" s="2"/>
      <c r="L27" s="6">
        <f t="shared" si="2"/>
        <v>-142.16307692307998</v>
      </c>
      <c r="M27" s="2"/>
      <c r="N27" s="7">
        <f t="shared" si="3"/>
        <v>-0.12247592059728549</v>
      </c>
      <c r="O27" s="11"/>
      <c r="P27" s="6">
        <v>5425.97</v>
      </c>
      <c r="Q27" s="2"/>
      <c r="R27" s="7">
        <f t="shared" si="4"/>
        <v>0</v>
      </c>
      <c r="S27" s="2"/>
      <c r="T27" s="6">
        <v>6232.8869230769396</v>
      </c>
      <c r="U27" s="2"/>
      <c r="V27" s="7">
        <f t="shared" si="5"/>
        <v>0</v>
      </c>
      <c r="W27" s="2"/>
      <c r="X27" s="6">
        <f t="shared" si="6"/>
        <v>-806.91692307693938</v>
      </c>
      <c r="Y27" s="2"/>
      <c r="Z27" s="7">
        <f t="shared" si="7"/>
        <v>-0.12946118436536549</v>
      </c>
    </row>
    <row r="28" spans="1:26" s="24" customFormat="1" hidden="1" outlineLevel="2" x14ac:dyDescent="0.3">
      <c r="A28" s="27"/>
      <c r="B28" s="11" t="str">
        <f>CONCATENATE("          ", "6156", " - ", "EMPLOYEE MEALS")</f>
        <v xml:space="preserve">          6156 - EMPLOYEE MEALS</v>
      </c>
      <c r="C28" s="11"/>
      <c r="D28" s="6">
        <v>610.98</v>
      </c>
      <c r="E28" s="2"/>
      <c r="F28" s="7">
        <f t="shared" si="0"/>
        <v>0</v>
      </c>
      <c r="G28" s="2"/>
      <c r="H28" s="6">
        <v>700</v>
      </c>
      <c r="I28" s="2"/>
      <c r="J28" s="7">
        <f t="shared" si="1"/>
        <v>0</v>
      </c>
      <c r="K28" s="2"/>
      <c r="L28" s="6">
        <f t="shared" si="2"/>
        <v>-89.019999999999982</v>
      </c>
      <c r="M28" s="2"/>
      <c r="N28" s="7">
        <f t="shared" si="3"/>
        <v>-0.12717142857142855</v>
      </c>
      <c r="O28" s="11"/>
      <c r="P28" s="6">
        <v>2696.27</v>
      </c>
      <c r="Q28" s="2"/>
      <c r="R28" s="7">
        <f t="shared" si="4"/>
        <v>0</v>
      </c>
      <c r="S28" s="2"/>
      <c r="T28" s="6">
        <v>3500</v>
      </c>
      <c r="U28" s="2"/>
      <c r="V28" s="7">
        <f t="shared" si="5"/>
        <v>0</v>
      </c>
      <c r="W28" s="2"/>
      <c r="X28" s="6">
        <f t="shared" si="6"/>
        <v>-803.73</v>
      </c>
      <c r="Y28" s="2"/>
      <c r="Z28" s="7">
        <f t="shared" si="7"/>
        <v>-0.22963714285714287</v>
      </c>
    </row>
    <row r="29" spans="1:26" s="29" customFormat="1" outlineLevel="1" collapsed="1" x14ac:dyDescent="0.3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22551.68</v>
      </c>
      <c r="E29" s="1"/>
      <c r="F29" s="5">
        <f t="shared" ref="F29:F39" si="8">IF(D$12=0,0,D29/D$12)</f>
        <v>0</v>
      </c>
      <c r="G29" s="1"/>
      <c r="H29" s="1">
        <f>SUM(OSRRefH22_1x_0)</f>
        <v>21923.775384615361</v>
      </c>
      <c r="I29" s="1"/>
      <c r="J29" s="5">
        <f t="shared" ref="J29:J39" si="9">IF(H$12=0,0,H29/H$12)</f>
        <v>0</v>
      </c>
      <c r="K29" s="1"/>
      <c r="L29" s="1">
        <f t="shared" ref="L29:L39" si="10">+D29-H29</f>
        <v>627.90461538463933</v>
      </c>
      <c r="M29" s="1"/>
      <c r="N29" s="5">
        <f t="shared" ref="N29:N39" si="11">IF(H29=0,0,L29/H29)</f>
        <v>2.8640350686372239E-2</v>
      </c>
      <c r="O29" s="14"/>
      <c r="P29" s="1">
        <f>SUM(OSRRefP22_1x_0)</f>
        <v>117766.62</v>
      </c>
      <c r="Q29" s="1"/>
      <c r="R29" s="5">
        <f t="shared" ref="R29:R39" si="12">IF(P$12=0,0,P29/P$12)</f>
        <v>0</v>
      </c>
      <c r="S29" s="1"/>
      <c r="T29" s="1">
        <f>SUM(OSRRefT22_1x_0)</f>
        <v>115540.76461538451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2225.8553846154828</v>
      </c>
      <c r="Y29" s="1"/>
      <c r="Z29" s="5">
        <f t="shared" ref="Z29:Z39" si="15">IF(T29=0,0,X29/T29)</f>
        <v>1.9264675909190801E-2</v>
      </c>
    </row>
    <row r="30" spans="1:26" s="24" customFormat="1" hidden="1" outlineLevel="2" x14ac:dyDescent="0.3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5581.9661538461596</v>
      </c>
      <c r="I30" s="2"/>
      <c r="J30" s="7">
        <f t="shared" si="9"/>
        <v>0</v>
      </c>
      <c r="K30" s="2"/>
      <c r="L30" s="6">
        <f t="shared" si="10"/>
        <v>-5581.9661538461596</v>
      </c>
      <c r="M30" s="2"/>
      <c r="N30" s="7">
        <f t="shared" si="11"/>
        <v>-1</v>
      </c>
      <c r="O30" s="11"/>
      <c r="P30" s="6"/>
      <c r="Q30" s="2"/>
      <c r="R30" s="7">
        <f t="shared" si="12"/>
        <v>0</v>
      </c>
      <c r="S30" s="2"/>
      <c r="T30" s="6">
        <v>30700.813846153898</v>
      </c>
      <c r="U30" s="2"/>
      <c r="V30" s="7">
        <f t="shared" si="13"/>
        <v>0</v>
      </c>
      <c r="W30" s="2"/>
      <c r="X30" s="6">
        <f t="shared" si="14"/>
        <v>-30700.813846153898</v>
      </c>
      <c r="Y30" s="2"/>
      <c r="Z30" s="7">
        <f t="shared" si="15"/>
        <v>-1</v>
      </c>
    </row>
    <row r="31" spans="1:26" s="24" customFormat="1" hidden="1" outlineLevel="2" x14ac:dyDescent="0.3">
      <c r="A31" s="27"/>
      <c r="B31" s="11" t="str">
        <f>CONCATENATE("          ", "6002", " - ", "STAFF SALARIES")</f>
        <v xml:space="preserve">          6002 - STAFF SALARIES</v>
      </c>
      <c r="C31" s="11"/>
      <c r="D31" s="6">
        <v>22083.200000000001</v>
      </c>
      <c r="E31" s="2"/>
      <c r="F31" s="7">
        <f t="shared" si="8"/>
        <v>0</v>
      </c>
      <c r="G31" s="2"/>
      <c r="H31" s="6">
        <v>14101.8092307692</v>
      </c>
      <c r="I31" s="2"/>
      <c r="J31" s="7">
        <f t="shared" si="9"/>
        <v>0</v>
      </c>
      <c r="K31" s="2"/>
      <c r="L31" s="6">
        <f t="shared" si="10"/>
        <v>7981.3907692308003</v>
      </c>
      <c r="M31" s="2"/>
      <c r="N31" s="7">
        <f t="shared" si="11"/>
        <v>0.56598345918734605</v>
      </c>
      <c r="O31" s="11"/>
      <c r="P31" s="6">
        <v>115267.26</v>
      </c>
      <c r="Q31" s="2"/>
      <c r="R31" s="7">
        <f t="shared" si="12"/>
        <v>0</v>
      </c>
      <c r="S31" s="2"/>
      <c r="T31" s="6">
        <v>77559.950769230607</v>
      </c>
      <c r="U31" s="2"/>
      <c r="V31" s="7">
        <f t="shared" si="13"/>
        <v>0</v>
      </c>
      <c r="W31" s="2"/>
      <c r="X31" s="6">
        <f t="shared" si="14"/>
        <v>37707.309230769388</v>
      </c>
      <c r="Y31" s="2"/>
      <c r="Z31" s="7">
        <f t="shared" si="15"/>
        <v>0.48616984483348252</v>
      </c>
    </row>
    <row r="32" spans="1:26" s="24" customFormat="1" hidden="1" outlineLevel="2" x14ac:dyDescent="0.3">
      <c r="A32" s="27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3">
      <c r="A33" s="27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3">
      <c r="A34" s="27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3">
      <c r="A35" s="27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3">
      <c r="A36" s="27"/>
      <c r="B36" s="11" t="str">
        <f>CONCATENATE("          ", "6007", " - ", "STUDENT HOURLY")</f>
        <v xml:space="preserve">          6007 - STUDENT HOURLY</v>
      </c>
      <c r="C36" s="11"/>
      <c r="D36" s="6">
        <v>468.48</v>
      </c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468.48</v>
      </c>
      <c r="M36" s="2"/>
      <c r="N36" s="7">
        <f t="shared" si="11"/>
        <v>0</v>
      </c>
      <c r="O36" s="11"/>
      <c r="P36" s="6">
        <v>2499.36</v>
      </c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2499.36</v>
      </c>
      <c r="Y36" s="2"/>
      <c r="Z36" s="7">
        <f t="shared" si="15"/>
        <v>0</v>
      </c>
    </row>
    <row r="37" spans="1:26" s="24" customFormat="1" hidden="1" outlineLevel="2" x14ac:dyDescent="0.3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2240</v>
      </c>
      <c r="I37" s="2"/>
      <c r="J37" s="7">
        <f t="shared" si="9"/>
        <v>0</v>
      </c>
      <c r="K37" s="2"/>
      <c r="L37" s="6">
        <f t="shared" si="10"/>
        <v>-2240</v>
      </c>
      <c r="M37" s="2"/>
      <c r="N37" s="7">
        <f t="shared" si="11"/>
        <v>-1</v>
      </c>
      <c r="O37" s="11"/>
      <c r="P37" s="6"/>
      <c r="Q37" s="2"/>
      <c r="R37" s="7">
        <f t="shared" si="12"/>
        <v>0</v>
      </c>
      <c r="S37" s="2"/>
      <c r="T37" s="6">
        <v>7280</v>
      </c>
      <c r="U37" s="2"/>
      <c r="V37" s="7">
        <f t="shared" si="13"/>
        <v>0</v>
      </c>
      <c r="W37" s="2"/>
      <c r="X37" s="6">
        <f t="shared" si="14"/>
        <v>-7280</v>
      </c>
      <c r="Y37" s="2"/>
      <c r="Z37" s="7">
        <f t="shared" si="15"/>
        <v>-1</v>
      </c>
    </row>
    <row r="38" spans="1:26" s="24" customFormat="1" hidden="1" outlineLevel="2" x14ac:dyDescent="0.3">
      <c r="A38" s="27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3">
      <c r="A39" s="27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9" customFormat="1" outlineLevel="1" collapsed="1" x14ac:dyDescent="0.3">
      <c r="A40" s="28"/>
      <c r="B40" s="14" t="str">
        <f>CONCATENATE("     ","Depreciation                                      ")</f>
        <v xml:space="preserve">     Depreciation                                      </v>
      </c>
      <c r="C40" s="14"/>
      <c r="D40" s="1">
        <f>SUM(OSRRefD22_2x_0)</f>
        <v>1558.88</v>
      </c>
      <c r="E40" s="1"/>
      <c r="F40" s="5">
        <f t="shared" ref="F40:F51" si="16">IF(D$12=0,0,D40/D$12)</f>
        <v>0</v>
      </c>
      <c r="G40" s="1"/>
      <c r="H40" s="1">
        <f>SUM(OSRRefH22_2x_0)</f>
        <v>1559</v>
      </c>
      <c r="I40" s="1"/>
      <c r="J40" s="5">
        <f t="shared" ref="J40:J51" si="17">IF(H$12=0,0,H40/H$12)</f>
        <v>0</v>
      </c>
      <c r="K40" s="1"/>
      <c r="L40" s="1">
        <f t="shared" ref="L40:L51" si="18">+D40-H40</f>
        <v>-0.11999999999989086</v>
      </c>
      <c r="M40" s="1"/>
      <c r="N40" s="5">
        <f t="shared" ref="N40:N51" si="19">IF(H40=0,0,L40/H40)</f>
        <v>-7.6972418216735637E-5</v>
      </c>
      <c r="O40" s="14"/>
      <c r="P40" s="1">
        <f>SUM(OSRRefP22_2x_0)</f>
        <v>7794.4</v>
      </c>
      <c r="Q40" s="1"/>
      <c r="R40" s="5">
        <f t="shared" ref="R40:R51" si="20">IF(P$12=0,0,P40/P$12)</f>
        <v>0</v>
      </c>
      <c r="S40" s="1"/>
      <c r="T40" s="1">
        <f>SUM(OSRRefT22_2x_0)</f>
        <v>7795</v>
      </c>
      <c r="U40" s="1"/>
      <c r="V40" s="5">
        <f t="shared" ref="V40:V51" si="21">IF(T$12=0,0,T40/T$12)</f>
        <v>0</v>
      </c>
      <c r="W40" s="1"/>
      <c r="X40" s="1">
        <f t="shared" ref="X40:X51" si="22">+P40-T40</f>
        <v>-0.6000000000003638</v>
      </c>
      <c r="Y40" s="1"/>
      <c r="Z40" s="5">
        <f t="shared" ref="Z40:Z51" si="23">IF(T40=0,0,X40/T40)</f>
        <v>-7.6972418216852311E-5</v>
      </c>
    </row>
    <row r="41" spans="1:26" s="24" customFormat="1" hidden="1" outlineLevel="2" x14ac:dyDescent="0.3">
      <c r="A41" s="27"/>
      <c r="B41" s="11" t="str">
        <f>CONCATENATE("          ", "6322", " - ", "EQUIPMENT DEPRECIATION EXPENSE")</f>
        <v xml:space="preserve">          6322 - EQUIPMENT DEPRECIATION EXPENSE</v>
      </c>
      <c r="C41" s="11"/>
      <c r="D41" s="6">
        <v>1558.88</v>
      </c>
      <c r="E41" s="2"/>
      <c r="F41" s="7">
        <f t="shared" si="16"/>
        <v>0</v>
      </c>
      <c r="G41" s="2"/>
      <c r="H41" s="6">
        <v>1559</v>
      </c>
      <c r="I41" s="2"/>
      <c r="J41" s="7">
        <f t="shared" si="17"/>
        <v>0</v>
      </c>
      <c r="K41" s="2"/>
      <c r="L41" s="6">
        <f t="shared" si="18"/>
        <v>-0.11999999999989086</v>
      </c>
      <c r="M41" s="2"/>
      <c r="N41" s="7">
        <f t="shared" si="19"/>
        <v>-7.6972418216735637E-5</v>
      </c>
      <c r="O41" s="11"/>
      <c r="P41" s="6">
        <v>7794.4</v>
      </c>
      <c r="Q41" s="2"/>
      <c r="R41" s="7">
        <f t="shared" si="20"/>
        <v>0</v>
      </c>
      <c r="S41" s="2"/>
      <c r="T41" s="6">
        <v>7795</v>
      </c>
      <c r="U41" s="2"/>
      <c r="V41" s="7">
        <f t="shared" si="21"/>
        <v>0</v>
      </c>
      <c r="W41" s="2"/>
      <c r="X41" s="6">
        <f t="shared" si="22"/>
        <v>-0.6000000000003638</v>
      </c>
      <c r="Y41" s="2"/>
      <c r="Z41" s="7">
        <f t="shared" si="23"/>
        <v>-7.6972418216852311E-5</v>
      </c>
    </row>
    <row r="42" spans="1:26" s="29" customFormat="1" outlineLevel="1" collapsed="1" x14ac:dyDescent="0.3">
      <c r="A42" s="28"/>
      <c r="B42" s="14" t="str">
        <f>CONCATENATE("     ","Equipment Rental                                  ")</f>
        <v xml:space="preserve">     Equipment Rental                                  </v>
      </c>
      <c r="C42" s="14"/>
      <c r="D42" s="1">
        <f>SUM(OSRRefD22_3x_0)</f>
        <v>91.26</v>
      </c>
      <c r="E42" s="1"/>
      <c r="F42" s="5">
        <f t="shared" si="16"/>
        <v>0</v>
      </c>
      <c r="G42" s="1"/>
      <c r="H42" s="1">
        <f>SUM(OSRRefH22_3x_0)</f>
        <v>91</v>
      </c>
      <c r="I42" s="1"/>
      <c r="J42" s="5">
        <f t="shared" si="17"/>
        <v>0</v>
      </c>
      <c r="K42" s="1"/>
      <c r="L42" s="1">
        <f t="shared" si="18"/>
        <v>0.26000000000000512</v>
      </c>
      <c r="M42" s="1"/>
      <c r="N42" s="5">
        <f t="shared" si="19"/>
        <v>2.8571428571429135E-3</v>
      </c>
      <c r="O42" s="14"/>
      <c r="P42" s="1">
        <f>SUM(OSRRefP22_3x_0)</f>
        <v>456.3</v>
      </c>
      <c r="Q42" s="1"/>
      <c r="R42" s="5">
        <f t="shared" si="20"/>
        <v>0</v>
      </c>
      <c r="S42" s="1"/>
      <c r="T42" s="1">
        <f>SUM(OSRRefT22_3x_0)</f>
        <v>455</v>
      </c>
      <c r="U42" s="1"/>
      <c r="V42" s="5">
        <f t="shared" si="21"/>
        <v>0</v>
      </c>
      <c r="W42" s="1"/>
      <c r="X42" s="1">
        <f t="shared" si="22"/>
        <v>1.3000000000000114</v>
      </c>
      <c r="Y42" s="1"/>
      <c r="Z42" s="5">
        <f t="shared" si="23"/>
        <v>2.8571428571428823E-3</v>
      </c>
    </row>
    <row r="43" spans="1:26" s="24" customFormat="1" hidden="1" outlineLevel="2" x14ac:dyDescent="0.3">
      <c r="A43" s="27"/>
      <c r="B43" s="11" t="str">
        <f>CONCATENATE("          ", "6351", " - ", "EQUIPMENT RENTAL")</f>
        <v xml:space="preserve">          6351 - EQUIPMENT RENTAL</v>
      </c>
      <c r="C43" s="11"/>
      <c r="D43" s="6">
        <v>91.26</v>
      </c>
      <c r="E43" s="2"/>
      <c r="F43" s="7">
        <f t="shared" si="16"/>
        <v>0</v>
      </c>
      <c r="G43" s="2"/>
      <c r="H43" s="6">
        <v>91</v>
      </c>
      <c r="I43" s="2"/>
      <c r="J43" s="7">
        <f t="shared" si="17"/>
        <v>0</v>
      </c>
      <c r="K43" s="2"/>
      <c r="L43" s="6">
        <f t="shared" si="18"/>
        <v>0.26000000000000512</v>
      </c>
      <c r="M43" s="2"/>
      <c r="N43" s="7">
        <f t="shared" si="19"/>
        <v>2.8571428571429135E-3</v>
      </c>
      <c r="O43" s="11"/>
      <c r="P43" s="6">
        <v>456.3</v>
      </c>
      <c r="Q43" s="2"/>
      <c r="R43" s="7">
        <f t="shared" si="20"/>
        <v>0</v>
      </c>
      <c r="S43" s="2"/>
      <c r="T43" s="6">
        <v>455</v>
      </c>
      <c r="U43" s="2"/>
      <c r="V43" s="7">
        <f t="shared" si="21"/>
        <v>0</v>
      </c>
      <c r="W43" s="2"/>
      <c r="X43" s="6">
        <f t="shared" si="22"/>
        <v>1.3000000000000114</v>
      </c>
      <c r="Y43" s="2"/>
      <c r="Z43" s="7">
        <f t="shared" si="23"/>
        <v>2.8571428571428823E-3</v>
      </c>
    </row>
    <row r="44" spans="1:26" s="29" customFormat="1" outlineLevel="1" collapsed="1" x14ac:dyDescent="0.3">
      <c r="A44" s="28"/>
      <c r="B44" s="14" t="str">
        <f>CONCATENATE("     ","Freight out/Postage                               ")</f>
        <v xml:space="preserve">     Freight out/Postage                               </v>
      </c>
      <c r="C44" s="14"/>
      <c r="D44" s="1">
        <f>SUM(OSRRefD22_4x_0)</f>
        <v>123.49</v>
      </c>
      <c r="E44" s="1"/>
      <c r="F44" s="5">
        <f t="shared" si="16"/>
        <v>0</v>
      </c>
      <c r="G44" s="1"/>
      <c r="H44" s="1">
        <f>SUM(OSRRefH22_4x_0)</f>
        <v>100</v>
      </c>
      <c r="I44" s="1"/>
      <c r="J44" s="5">
        <f t="shared" si="17"/>
        <v>0</v>
      </c>
      <c r="K44" s="1"/>
      <c r="L44" s="1">
        <f t="shared" si="18"/>
        <v>23.489999999999995</v>
      </c>
      <c r="M44" s="1"/>
      <c r="N44" s="5">
        <f t="shared" si="19"/>
        <v>0.23489999999999994</v>
      </c>
      <c r="O44" s="14"/>
      <c r="P44" s="1">
        <f>SUM(OSRRefP22_4x_0)</f>
        <v>662.82</v>
      </c>
      <c r="Q44" s="1"/>
      <c r="R44" s="5">
        <f t="shared" si="20"/>
        <v>0</v>
      </c>
      <c r="S44" s="1"/>
      <c r="T44" s="1">
        <f>SUM(OSRRefT22_4x_0)</f>
        <v>500</v>
      </c>
      <c r="U44" s="1"/>
      <c r="V44" s="5">
        <f t="shared" si="21"/>
        <v>0</v>
      </c>
      <c r="W44" s="1"/>
      <c r="X44" s="1">
        <f t="shared" si="22"/>
        <v>162.82000000000005</v>
      </c>
      <c r="Y44" s="1"/>
      <c r="Z44" s="5">
        <f t="shared" si="23"/>
        <v>0.3256400000000001</v>
      </c>
    </row>
    <row r="45" spans="1:26" s="24" customFormat="1" hidden="1" outlineLevel="2" x14ac:dyDescent="0.3">
      <c r="A45" s="27"/>
      <c r="B45" s="11" t="str">
        <f>CONCATENATE("          ", "6307", " - ", "POSTAGE")</f>
        <v xml:space="preserve">          6307 - POSTAGE</v>
      </c>
      <c r="C45" s="11"/>
      <c r="D45" s="6">
        <v>123.49</v>
      </c>
      <c r="E45" s="2"/>
      <c r="F45" s="7">
        <f t="shared" si="16"/>
        <v>0</v>
      </c>
      <c r="G45" s="2"/>
      <c r="H45" s="6">
        <v>100</v>
      </c>
      <c r="I45" s="2"/>
      <c r="J45" s="7">
        <f t="shared" si="17"/>
        <v>0</v>
      </c>
      <c r="K45" s="2"/>
      <c r="L45" s="6">
        <f t="shared" si="18"/>
        <v>23.489999999999995</v>
      </c>
      <c r="M45" s="2"/>
      <c r="N45" s="7">
        <f t="shared" si="19"/>
        <v>0.23489999999999994</v>
      </c>
      <c r="O45" s="11"/>
      <c r="P45" s="6">
        <v>662.82</v>
      </c>
      <c r="Q45" s="2"/>
      <c r="R45" s="7">
        <f t="shared" si="20"/>
        <v>0</v>
      </c>
      <c r="S45" s="2"/>
      <c r="T45" s="6">
        <v>500</v>
      </c>
      <c r="U45" s="2"/>
      <c r="V45" s="7">
        <f t="shared" si="21"/>
        <v>0</v>
      </c>
      <c r="W45" s="2"/>
      <c r="X45" s="6">
        <f t="shared" si="22"/>
        <v>162.82000000000005</v>
      </c>
      <c r="Y45" s="2"/>
      <c r="Z45" s="7">
        <f t="shared" si="23"/>
        <v>0.3256400000000001</v>
      </c>
    </row>
    <row r="46" spans="1:26" s="29" customFormat="1" outlineLevel="1" collapsed="1" x14ac:dyDescent="0.3">
      <c r="A46" s="28"/>
      <c r="B46" s="14" t="str">
        <f>CONCATENATE("     ","Insurance                                         ")</f>
        <v xml:space="preserve">     Insurance                                         </v>
      </c>
      <c r="C46" s="14"/>
      <c r="D46" s="1">
        <f>SUM(OSRRefD22_5x_0)</f>
        <v>179.64</v>
      </c>
      <c r="E46" s="1"/>
      <c r="F46" s="5">
        <f t="shared" si="16"/>
        <v>0</v>
      </c>
      <c r="G46" s="1"/>
      <c r="H46" s="1">
        <f>SUM(OSRRefH22_5x_0)</f>
        <v>180</v>
      </c>
      <c r="I46" s="1"/>
      <c r="J46" s="5">
        <f t="shared" si="17"/>
        <v>0</v>
      </c>
      <c r="K46" s="1"/>
      <c r="L46" s="1">
        <f t="shared" si="18"/>
        <v>-0.36000000000001364</v>
      </c>
      <c r="M46" s="1"/>
      <c r="N46" s="5">
        <f t="shared" si="19"/>
        <v>-2.0000000000000759E-3</v>
      </c>
      <c r="O46" s="14"/>
      <c r="P46" s="1">
        <f>SUM(OSRRefP22_5x_0)</f>
        <v>898.2</v>
      </c>
      <c r="Q46" s="1"/>
      <c r="R46" s="5">
        <f t="shared" si="20"/>
        <v>0</v>
      </c>
      <c r="S46" s="1"/>
      <c r="T46" s="1">
        <f>SUM(OSRRefT22_5x_0)</f>
        <v>900</v>
      </c>
      <c r="U46" s="1"/>
      <c r="V46" s="5">
        <f t="shared" si="21"/>
        <v>0</v>
      </c>
      <c r="W46" s="1"/>
      <c r="X46" s="1">
        <f t="shared" si="22"/>
        <v>-1.7999999999999545</v>
      </c>
      <c r="Y46" s="1"/>
      <c r="Z46" s="5">
        <f t="shared" si="23"/>
        <v>-1.9999999999999493E-3</v>
      </c>
    </row>
    <row r="47" spans="1:26" s="24" customFormat="1" hidden="1" outlineLevel="2" x14ac:dyDescent="0.3">
      <c r="A47" s="27"/>
      <c r="B47" s="11" t="str">
        <f>CONCATENATE("          ", "6314", " - ", "LIABILITY INSURANCE")</f>
        <v xml:space="preserve">          6314 - LIABILITY INSURANCE</v>
      </c>
      <c r="C47" s="11"/>
      <c r="D47" s="6">
        <v>179.64</v>
      </c>
      <c r="E47" s="2"/>
      <c r="F47" s="7">
        <f t="shared" si="16"/>
        <v>0</v>
      </c>
      <c r="G47" s="2"/>
      <c r="H47" s="6">
        <v>180</v>
      </c>
      <c r="I47" s="2"/>
      <c r="J47" s="7">
        <f t="shared" si="17"/>
        <v>0</v>
      </c>
      <c r="K47" s="2"/>
      <c r="L47" s="6">
        <f t="shared" si="18"/>
        <v>-0.36000000000001364</v>
      </c>
      <c r="M47" s="2"/>
      <c r="N47" s="7">
        <f t="shared" si="19"/>
        <v>-2.0000000000000759E-3</v>
      </c>
      <c r="O47" s="11"/>
      <c r="P47" s="6">
        <v>898.2</v>
      </c>
      <c r="Q47" s="2"/>
      <c r="R47" s="7">
        <f t="shared" si="20"/>
        <v>0</v>
      </c>
      <c r="S47" s="2"/>
      <c r="T47" s="6">
        <v>900</v>
      </c>
      <c r="U47" s="2"/>
      <c r="V47" s="7">
        <f t="shared" si="21"/>
        <v>0</v>
      </c>
      <c r="W47" s="2"/>
      <c r="X47" s="6">
        <f t="shared" si="22"/>
        <v>-1.7999999999999545</v>
      </c>
      <c r="Y47" s="2"/>
      <c r="Z47" s="7">
        <f t="shared" si="23"/>
        <v>-1.9999999999999493E-3</v>
      </c>
    </row>
    <row r="48" spans="1:26" s="29" customFormat="1" outlineLevel="1" collapsed="1" x14ac:dyDescent="0.3">
      <c r="A48" s="28"/>
      <c r="B48" s="14" t="str">
        <f>CONCATENATE("     ","Repair and Maintenance                            ")</f>
        <v xml:space="preserve">     Repair and Maintenance                            </v>
      </c>
      <c r="C48" s="14"/>
      <c r="D48" s="1">
        <f>SUM(OSRRefD22_6x_0)</f>
        <v>70.510000000000005</v>
      </c>
      <c r="E48" s="1"/>
      <c r="F48" s="5">
        <f t="shared" si="16"/>
        <v>0</v>
      </c>
      <c r="G48" s="1"/>
      <c r="H48" s="1">
        <f>SUM(OSRRefH22_6x_0)</f>
        <v>210</v>
      </c>
      <c r="I48" s="1"/>
      <c r="J48" s="5">
        <f t="shared" si="17"/>
        <v>0</v>
      </c>
      <c r="K48" s="1"/>
      <c r="L48" s="1">
        <f t="shared" si="18"/>
        <v>-139.49</v>
      </c>
      <c r="M48" s="1"/>
      <c r="N48" s="5">
        <f t="shared" si="19"/>
        <v>-0.66423809523809529</v>
      </c>
      <c r="O48" s="14"/>
      <c r="P48" s="1">
        <f>SUM(OSRRefP22_6x_0)</f>
        <v>1900.86</v>
      </c>
      <c r="Q48" s="1"/>
      <c r="R48" s="5">
        <f t="shared" si="20"/>
        <v>0</v>
      </c>
      <c r="S48" s="1"/>
      <c r="T48" s="1">
        <f>SUM(OSRRefT22_6x_0)</f>
        <v>1050</v>
      </c>
      <c r="U48" s="1"/>
      <c r="V48" s="5">
        <f t="shared" si="21"/>
        <v>0</v>
      </c>
      <c r="W48" s="1"/>
      <c r="X48" s="1">
        <f t="shared" si="22"/>
        <v>850.8599999999999</v>
      </c>
      <c r="Y48" s="1"/>
      <c r="Z48" s="5">
        <f t="shared" si="23"/>
        <v>0.81034285714285703</v>
      </c>
    </row>
    <row r="49" spans="1:26" s="24" customFormat="1" hidden="1" outlineLevel="2" x14ac:dyDescent="0.3">
      <c r="A49" s="27"/>
      <c r="B49" s="11" t="str">
        <f>CONCATENATE("          ", "6371", " - ", "COMPUTER SOFTWARE MAINTENANCE")</f>
        <v xml:space="preserve">          6371 - COMPUTER SOFTWARE MAINTENANCE</v>
      </c>
      <c r="C49" s="11"/>
      <c r="D49" s="6">
        <v>59.95</v>
      </c>
      <c r="E49" s="2"/>
      <c r="F49" s="7">
        <f t="shared" si="16"/>
        <v>0</v>
      </c>
      <c r="G49" s="2"/>
      <c r="H49" s="6"/>
      <c r="I49" s="2"/>
      <c r="J49" s="7">
        <f t="shared" si="17"/>
        <v>0</v>
      </c>
      <c r="K49" s="2"/>
      <c r="L49" s="6">
        <f t="shared" si="18"/>
        <v>59.95</v>
      </c>
      <c r="M49" s="2"/>
      <c r="N49" s="7">
        <f t="shared" si="19"/>
        <v>0</v>
      </c>
      <c r="O49" s="11"/>
      <c r="P49" s="6">
        <v>299.75</v>
      </c>
      <c r="Q49" s="2"/>
      <c r="R49" s="7">
        <f t="shared" si="20"/>
        <v>0</v>
      </c>
      <c r="S49" s="2"/>
      <c r="T49" s="6"/>
      <c r="U49" s="2"/>
      <c r="V49" s="7">
        <f t="shared" si="21"/>
        <v>0</v>
      </c>
      <c r="W49" s="2"/>
      <c r="X49" s="6">
        <f t="shared" si="22"/>
        <v>299.75</v>
      </c>
      <c r="Y49" s="2"/>
      <c r="Z49" s="7">
        <f t="shared" si="23"/>
        <v>0</v>
      </c>
    </row>
    <row r="50" spans="1:26" s="24" customFormat="1" hidden="1" outlineLevel="2" x14ac:dyDescent="0.3">
      <c r="A50" s="27"/>
      <c r="B50" s="11" t="str">
        <f>CONCATENATE("          ", "6373", " - ", "MAINTENANCE CONTRACTS")</f>
        <v xml:space="preserve">          6373 - MAINTENANCE CONTRACTS</v>
      </c>
      <c r="C50" s="11"/>
      <c r="D50" s="6">
        <v>10.56</v>
      </c>
      <c r="E50" s="2"/>
      <c r="F50" s="7">
        <f t="shared" si="16"/>
        <v>0</v>
      </c>
      <c r="G50" s="2"/>
      <c r="H50" s="6">
        <v>60</v>
      </c>
      <c r="I50" s="2"/>
      <c r="J50" s="7">
        <f t="shared" si="17"/>
        <v>0</v>
      </c>
      <c r="K50" s="2"/>
      <c r="L50" s="6">
        <f t="shared" si="18"/>
        <v>-49.44</v>
      </c>
      <c r="M50" s="2"/>
      <c r="N50" s="7">
        <f t="shared" si="19"/>
        <v>-0.82399999999999995</v>
      </c>
      <c r="O50" s="11"/>
      <c r="P50" s="6">
        <v>43.55</v>
      </c>
      <c r="Q50" s="2"/>
      <c r="R50" s="7">
        <f t="shared" si="20"/>
        <v>0</v>
      </c>
      <c r="S50" s="2"/>
      <c r="T50" s="6">
        <v>300</v>
      </c>
      <c r="U50" s="2"/>
      <c r="V50" s="7">
        <f t="shared" si="21"/>
        <v>0</v>
      </c>
      <c r="W50" s="2"/>
      <c r="X50" s="6">
        <f t="shared" si="22"/>
        <v>-256.45</v>
      </c>
      <c r="Y50" s="2"/>
      <c r="Z50" s="7">
        <f t="shared" si="23"/>
        <v>-0.85483333333333333</v>
      </c>
    </row>
    <row r="51" spans="1:26" s="24" customFormat="1" hidden="1" outlineLevel="2" x14ac:dyDescent="0.3">
      <c r="A51" s="27"/>
      <c r="B51" s="11" t="str">
        <f>CONCATENATE("          ", "6375", " - ", "OUTSIDE REPAIRS &amp; MAINTENANCE")</f>
        <v xml:space="preserve">          6375 - OUTSIDE REPAIRS &amp; MAINTENANCE</v>
      </c>
      <c r="C51" s="11"/>
      <c r="D51" s="6"/>
      <c r="E51" s="2"/>
      <c r="F51" s="7">
        <f t="shared" si="16"/>
        <v>0</v>
      </c>
      <c r="G51" s="2"/>
      <c r="H51" s="6">
        <v>150</v>
      </c>
      <c r="I51" s="2"/>
      <c r="J51" s="7">
        <f t="shared" si="17"/>
        <v>0</v>
      </c>
      <c r="K51" s="2"/>
      <c r="L51" s="6">
        <f t="shared" si="18"/>
        <v>-150</v>
      </c>
      <c r="M51" s="2"/>
      <c r="N51" s="7">
        <f t="shared" si="19"/>
        <v>-1</v>
      </c>
      <c r="O51" s="11"/>
      <c r="P51" s="6">
        <v>1557.56</v>
      </c>
      <c r="Q51" s="2"/>
      <c r="R51" s="7">
        <f t="shared" si="20"/>
        <v>0</v>
      </c>
      <c r="S51" s="2"/>
      <c r="T51" s="6">
        <v>750</v>
      </c>
      <c r="U51" s="2"/>
      <c r="V51" s="7">
        <f t="shared" si="21"/>
        <v>0</v>
      </c>
      <c r="W51" s="2"/>
      <c r="X51" s="6">
        <f t="shared" si="22"/>
        <v>807.56</v>
      </c>
      <c r="Y51" s="2"/>
      <c r="Z51" s="7">
        <f t="shared" si="23"/>
        <v>1.0767466666666665</v>
      </c>
    </row>
    <row r="52" spans="1:26" s="29" customFormat="1" outlineLevel="1" collapsed="1" x14ac:dyDescent="0.3">
      <c r="A52" s="28"/>
      <c r="B52" s="14" t="str">
        <f>CONCATENATE("     ","Services                                          ")</f>
        <v xml:space="preserve">     Services                                          </v>
      </c>
      <c r="C52" s="14"/>
      <c r="D52" s="1">
        <f>SUM(OSRRefD22_7x_0)</f>
        <v>657.38</v>
      </c>
      <c r="E52" s="1"/>
      <c r="F52" s="5">
        <f t="shared" ref="F52:F61" si="24">IF(D$12=0,0,D52/D$12)</f>
        <v>0</v>
      </c>
      <c r="G52" s="1"/>
      <c r="H52" s="1">
        <f>SUM(OSRRefH22_7x_0)</f>
        <v>625</v>
      </c>
      <c r="I52" s="1"/>
      <c r="J52" s="5">
        <f t="shared" ref="J52:J61" si="25">IF(H$12=0,0,H52/H$12)</f>
        <v>0</v>
      </c>
      <c r="K52" s="1"/>
      <c r="L52" s="1">
        <f t="shared" ref="L52:L61" si="26">+D52-H52</f>
        <v>32.379999999999995</v>
      </c>
      <c r="M52" s="1"/>
      <c r="N52" s="5">
        <f t="shared" ref="N52:N61" si="27">IF(H52=0,0,L52/H52)</f>
        <v>5.1807999999999993E-2</v>
      </c>
      <c r="O52" s="14"/>
      <c r="P52" s="1">
        <f>SUM(OSRRefP22_7x_0)</f>
        <v>3340.03</v>
      </c>
      <c r="Q52" s="1"/>
      <c r="R52" s="5">
        <f t="shared" ref="R52:R61" si="28">IF(P$12=0,0,P52/P$12)</f>
        <v>0</v>
      </c>
      <c r="S52" s="1"/>
      <c r="T52" s="1">
        <f>SUM(OSRRefT22_7x_0)</f>
        <v>3125</v>
      </c>
      <c r="U52" s="1"/>
      <c r="V52" s="5">
        <f t="shared" ref="V52:V61" si="29">IF(T$12=0,0,T52/T$12)</f>
        <v>0</v>
      </c>
      <c r="W52" s="1"/>
      <c r="X52" s="1">
        <f t="shared" ref="X52:X61" si="30">+P52-T52</f>
        <v>215.0300000000002</v>
      </c>
      <c r="Y52" s="1"/>
      <c r="Z52" s="5">
        <f t="shared" ref="Z52:Z61" si="31">IF(T52=0,0,X52/T52)</f>
        <v>6.8809600000000068E-2</v>
      </c>
    </row>
    <row r="53" spans="1:26" s="24" customFormat="1" hidden="1" outlineLevel="2" x14ac:dyDescent="0.3">
      <c r="A53" s="27"/>
      <c r="B53" s="11" t="str">
        <f>CONCATENATE("          ", "6281", " - ", "STORAGE FEE")</f>
        <v xml:space="preserve">          6281 - STORAGE FEE</v>
      </c>
      <c r="C53" s="11"/>
      <c r="D53" s="6">
        <v>657.38</v>
      </c>
      <c r="E53" s="2"/>
      <c r="F53" s="7">
        <f t="shared" si="24"/>
        <v>0</v>
      </c>
      <c r="G53" s="2"/>
      <c r="H53" s="6">
        <v>625</v>
      </c>
      <c r="I53" s="2"/>
      <c r="J53" s="7">
        <f t="shared" si="25"/>
        <v>0</v>
      </c>
      <c r="K53" s="2"/>
      <c r="L53" s="6">
        <f t="shared" si="26"/>
        <v>32.379999999999995</v>
      </c>
      <c r="M53" s="2"/>
      <c r="N53" s="7">
        <f t="shared" si="27"/>
        <v>5.1807999999999993E-2</v>
      </c>
      <c r="O53" s="11"/>
      <c r="P53" s="6">
        <v>3340.03</v>
      </c>
      <c r="Q53" s="2"/>
      <c r="R53" s="7">
        <f t="shared" si="28"/>
        <v>0</v>
      </c>
      <c r="S53" s="2"/>
      <c r="T53" s="6">
        <v>3125</v>
      </c>
      <c r="U53" s="2"/>
      <c r="V53" s="7">
        <f t="shared" si="29"/>
        <v>0</v>
      </c>
      <c r="W53" s="2"/>
      <c r="X53" s="6">
        <f t="shared" si="30"/>
        <v>215.0300000000002</v>
      </c>
      <c r="Y53" s="2"/>
      <c r="Z53" s="7">
        <f t="shared" si="31"/>
        <v>6.8809600000000068E-2</v>
      </c>
    </row>
    <row r="54" spans="1:26" s="29" customFormat="1" outlineLevel="1" collapsed="1" x14ac:dyDescent="0.3">
      <c r="A54" s="28"/>
      <c r="B54" s="14" t="str">
        <f>CONCATENATE("     ","Supplies                                          ")</f>
        <v xml:space="preserve">     Supplies                                          </v>
      </c>
      <c r="C54" s="14"/>
      <c r="D54" s="1">
        <f>SUM(OSRRefD22_8x_0)</f>
        <v>0</v>
      </c>
      <c r="E54" s="1"/>
      <c r="F54" s="5">
        <f t="shared" si="24"/>
        <v>0</v>
      </c>
      <c r="G54" s="1"/>
      <c r="H54" s="1">
        <f>SUM(OSRRefH22_8x_0)</f>
        <v>100</v>
      </c>
      <c r="I54" s="1"/>
      <c r="J54" s="5">
        <f t="shared" si="25"/>
        <v>0</v>
      </c>
      <c r="K54" s="1"/>
      <c r="L54" s="1">
        <f t="shared" si="26"/>
        <v>-100</v>
      </c>
      <c r="M54" s="1"/>
      <c r="N54" s="5">
        <f t="shared" si="27"/>
        <v>-1</v>
      </c>
      <c r="O54" s="14"/>
      <c r="P54" s="1">
        <f>SUM(OSRRefP22_8x_0)</f>
        <v>1540.82</v>
      </c>
      <c r="Q54" s="1"/>
      <c r="R54" s="5">
        <f t="shared" si="28"/>
        <v>0</v>
      </c>
      <c r="S54" s="1"/>
      <c r="T54" s="1">
        <f>SUM(OSRRefT22_8x_0)</f>
        <v>500</v>
      </c>
      <c r="U54" s="1"/>
      <c r="V54" s="5">
        <f t="shared" si="29"/>
        <v>0</v>
      </c>
      <c r="W54" s="1"/>
      <c r="X54" s="1">
        <f t="shared" si="30"/>
        <v>1040.82</v>
      </c>
      <c r="Y54" s="1"/>
      <c r="Z54" s="5">
        <f t="shared" si="31"/>
        <v>2.0816399999999997</v>
      </c>
    </row>
    <row r="55" spans="1:26" s="24" customFormat="1" hidden="1" outlineLevel="2" x14ac:dyDescent="0.3">
      <c r="A55" s="27"/>
      <c r="B55" s="11" t="str">
        <f>CONCATENATE("          ", "6241", " - ", "OFFICE EXPENSE")</f>
        <v xml:space="preserve">          6241 - OFFICE EXPENSE</v>
      </c>
      <c r="C55" s="11"/>
      <c r="D55" s="6"/>
      <c r="E55" s="2"/>
      <c r="F55" s="7">
        <f t="shared" si="24"/>
        <v>0</v>
      </c>
      <c r="G55" s="2"/>
      <c r="H55" s="6">
        <v>100</v>
      </c>
      <c r="I55" s="2"/>
      <c r="J55" s="7">
        <f t="shared" si="25"/>
        <v>0</v>
      </c>
      <c r="K55" s="2"/>
      <c r="L55" s="6">
        <f t="shared" si="26"/>
        <v>-100</v>
      </c>
      <c r="M55" s="2"/>
      <c r="N55" s="7">
        <f t="shared" si="27"/>
        <v>-1</v>
      </c>
      <c r="O55" s="11"/>
      <c r="P55" s="6">
        <v>1540.82</v>
      </c>
      <c r="Q55" s="2"/>
      <c r="R55" s="7">
        <f t="shared" si="28"/>
        <v>0</v>
      </c>
      <c r="S55" s="2"/>
      <c r="T55" s="6">
        <v>500</v>
      </c>
      <c r="U55" s="2"/>
      <c r="V55" s="7">
        <f t="shared" si="29"/>
        <v>0</v>
      </c>
      <c r="W55" s="2"/>
      <c r="X55" s="6">
        <f t="shared" si="30"/>
        <v>1040.82</v>
      </c>
      <c r="Y55" s="2"/>
      <c r="Z55" s="7">
        <f t="shared" si="31"/>
        <v>2.0816399999999997</v>
      </c>
    </row>
    <row r="56" spans="1:26" s="29" customFormat="1" outlineLevel="1" collapsed="1" x14ac:dyDescent="0.3">
      <c r="A56" s="28"/>
      <c r="B56" s="14" t="str">
        <f>CONCATENATE("     ","Telephone/Data Lines                              ")</f>
        <v xml:space="preserve">     Telephone/Data Lines                              </v>
      </c>
      <c r="C56" s="14"/>
      <c r="D56" s="1">
        <f>SUM(OSRRefD22_9x_0)</f>
        <v>421.9</v>
      </c>
      <c r="E56" s="1"/>
      <c r="F56" s="5">
        <f t="shared" si="24"/>
        <v>0</v>
      </c>
      <c r="G56" s="1"/>
      <c r="H56" s="1">
        <f>SUM(OSRRefH22_9x_0)</f>
        <v>400</v>
      </c>
      <c r="I56" s="1"/>
      <c r="J56" s="5">
        <f t="shared" si="25"/>
        <v>0</v>
      </c>
      <c r="K56" s="1"/>
      <c r="L56" s="1">
        <f t="shared" si="26"/>
        <v>21.899999999999977</v>
      </c>
      <c r="M56" s="1"/>
      <c r="N56" s="5">
        <f t="shared" si="27"/>
        <v>5.4749999999999945E-2</v>
      </c>
      <c r="O56" s="14"/>
      <c r="P56" s="1">
        <f>SUM(OSRRefP22_9x_0)</f>
        <v>2212.5</v>
      </c>
      <c r="Q56" s="1"/>
      <c r="R56" s="5">
        <f t="shared" si="28"/>
        <v>0</v>
      </c>
      <c r="S56" s="1"/>
      <c r="T56" s="1">
        <f>SUM(OSRRefT22_9x_0)</f>
        <v>2000</v>
      </c>
      <c r="U56" s="1"/>
      <c r="V56" s="5">
        <f t="shared" si="29"/>
        <v>0</v>
      </c>
      <c r="W56" s="1"/>
      <c r="X56" s="1">
        <f t="shared" si="30"/>
        <v>212.5</v>
      </c>
      <c r="Y56" s="1"/>
      <c r="Z56" s="5">
        <f t="shared" si="31"/>
        <v>0.10625</v>
      </c>
    </row>
    <row r="57" spans="1:26" s="24" customFormat="1" hidden="1" outlineLevel="2" x14ac:dyDescent="0.3">
      <c r="A57" s="27"/>
      <c r="B57" s="11" t="str">
        <f>CONCATENATE("          ", "6309", " - ", "TELEPHONE")</f>
        <v xml:space="preserve">          6309 - TELEPHONE</v>
      </c>
      <c r="C57" s="11"/>
      <c r="D57" s="6">
        <v>421.9</v>
      </c>
      <c r="E57" s="2"/>
      <c r="F57" s="7">
        <f t="shared" si="24"/>
        <v>0</v>
      </c>
      <c r="G57" s="2"/>
      <c r="H57" s="6">
        <v>400</v>
      </c>
      <c r="I57" s="2"/>
      <c r="J57" s="7">
        <f t="shared" si="25"/>
        <v>0</v>
      </c>
      <c r="K57" s="2"/>
      <c r="L57" s="6">
        <f t="shared" si="26"/>
        <v>21.899999999999977</v>
      </c>
      <c r="M57" s="2"/>
      <c r="N57" s="7">
        <f t="shared" si="27"/>
        <v>5.4749999999999945E-2</v>
      </c>
      <c r="O57" s="11"/>
      <c r="P57" s="6">
        <v>2212.5</v>
      </c>
      <c r="Q57" s="2"/>
      <c r="R57" s="7">
        <f t="shared" si="28"/>
        <v>0</v>
      </c>
      <c r="S57" s="2"/>
      <c r="T57" s="6">
        <v>2000</v>
      </c>
      <c r="U57" s="2"/>
      <c r="V57" s="7">
        <f t="shared" si="29"/>
        <v>0</v>
      </c>
      <c r="W57" s="2"/>
      <c r="X57" s="6">
        <f t="shared" si="30"/>
        <v>212.5</v>
      </c>
      <c r="Y57" s="2"/>
      <c r="Z57" s="7">
        <f t="shared" si="31"/>
        <v>0.10625</v>
      </c>
    </row>
    <row r="58" spans="1:26" s="29" customFormat="1" outlineLevel="1" collapsed="1" x14ac:dyDescent="0.3">
      <c r="A58" s="28"/>
      <c r="B58" s="14" t="str">
        <f>CONCATENATE("     ","Training                                          ")</f>
        <v xml:space="preserve">     Training                                          </v>
      </c>
      <c r="C58" s="14"/>
      <c r="D58" s="1">
        <f>SUM(OSRRefD22_10x_0)</f>
        <v>0</v>
      </c>
      <c r="E58" s="1"/>
      <c r="F58" s="5">
        <f t="shared" si="24"/>
        <v>0</v>
      </c>
      <c r="G58" s="1"/>
      <c r="H58" s="1">
        <f>SUM(OSRRefH22_10x_0)</f>
        <v>0</v>
      </c>
      <c r="I58" s="1"/>
      <c r="J58" s="5">
        <f t="shared" si="25"/>
        <v>0</v>
      </c>
      <c r="K58" s="1"/>
      <c r="L58" s="1">
        <f t="shared" si="26"/>
        <v>0</v>
      </c>
      <c r="M58" s="1"/>
      <c r="N58" s="5">
        <f t="shared" si="27"/>
        <v>0</v>
      </c>
      <c r="O58" s="14"/>
      <c r="P58" s="1">
        <f>SUM(OSRRefP22_10x_0)</f>
        <v>595</v>
      </c>
      <c r="Q58" s="1"/>
      <c r="R58" s="5">
        <f t="shared" si="28"/>
        <v>0</v>
      </c>
      <c r="S58" s="1"/>
      <c r="T58" s="1">
        <f>SUM(OSRRefT22_10x_0)</f>
        <v>0</v>
      </c>
      <c r="U58" s="1"/>
      <c r="V58" s="5">
        <f t="shared" si="29"/>
        <v>0</v>
      </c>
      <c r="W58" s="1"/>
      <c r="X58" s="1">
        <f t="shared" si="30"/>
        <v>595</v>
      </c>
      <c r="Y58" s="1"/>
      <c r="Z58" s="5">
        <f t="shared" si="31"/>
        <v>0</v>
      </c>
    </row>
    <row r="59" spans="1:26" s="24" customFormat="1" hidden="1" outlineLevel="2" x14ac:dyDescent="0.3">
      <c r="A59" s="27"/>
      <c r="B59" s="11" t="str">
        <f>CONCATENATE("          ", "6376", " - ", "TRAINING")</f>
        <v xml:space="preserve">          6376 - TRAINING</v>
      </c>
      <c r="C59" s="11"/>
      <c r="D59" s="6"/>
      <c r="E59" s="2"/>
      <c r="F59" s="7">
        <f t="shared" si="24"/>
        <v>0</v>
      </c>
      <c r="G59" s="2"/>
      <c r="H59" s="6">
        <v>0</v>
      </c>
      <c r="I59" s="2"/>
      <c r="J59" s="7">
        <f t="shared" si="25"/>
        <v>0</v>
      </c>
      <c r="K59" s="2"/>
      <c r="L59" s="6">
        <f t="shared" si="26"/>
        <v>0</v>
      </c>
      <c r="M59" s="2"/>
      <c r="N59" s="7">
        <f t="shared" si="27"/>
        <v>0</v>
      </c>
      <c r="O59" s="11"/>
      <c r="P59" s="6">
        <v>595</v>
      </c>
      <c r="Q59" s="2"/>
      <c r="R59" s="7">
        <f t="shared" si="28"/>
        <v>0</v>
      </c>
      <c r="S59" s="2"/>
      <c r="T59" s="6">
        <v>0</v>
      </c>
      <c r="U59" s="2"/>
      <c r="V59" s="7">
        <f t="shared" si="29"/>
        <v>0</v>
      </c>
      <c r="W59" s="2"/>
      <c r="X59" s="6">
        <f t="shared" si="30"/>
        <v>595</v>
      </c>
      <c r="Y59" s="2"/>
      <c r="Z59" s="7">
        <f t="shared" si="31"/>
        <v>0</v>
      </c>
    </row>
    <row r="60" spans="1:26" s="29" customFormat="1" outlineLevel="1" collapsed="1" x14ac:dyDescent="0.3">
      <c r="A60" s="28"/>
      <c r="B60" s="14" t="str">
        <f>CONCATENATE("     ","Travel                                            ")</f>
        <v xml:space="preserve">     Travel                                            </v>
      </c>
      <c r="C60" s="14"/>
      <c r="D60" s="1">
        <f>SUM(OSRRefD22_11x_0)</f>
        <v>0</v>
      </c>
      <c r="E60" s="1"/>
      <c r="F60" s="5">
        <f t="shared" si="24"/>
        <v>0</v>
      </c>
      <c r="G60" s="1"/>
      <c r="H60" s="1">
        <f>SUM(OSRRefH22_11x_0)</f>
        <v>0</v>
      </c>
      <c r="I60" s="1"/>
      <c r="J60" s="5">
        <f t="shared" si="25"/>
        <v>0</v>
      </c>
      <c r="K60" s="1"/>
      <c r="L60" s="1">
        <f t="shared" si="26"/>
        <v>0</v>
      </c>
      <c r="M60" s="1"/>
      <c r="N60" s="5">
        <f t="shared" si="27"/>
        <v>0</v>
      </c>
      <c r="O60" s="14"/>
      <c r="P60" s="1">
        <f>SUM(OSRRefP22_11x_0)</f>
        <v>30.4</v>
      </c>
      <c r="Q60" s="1"/>
      <c r="R60" s="5">
        <f t="shared" si="28"/>
        <v>0</v>
      </c>
      <c r="S60" s="1"/>
      <c r="T60" s="1">
        <f>SUM(OSRRefT22_11x_0)</f>
        <v>0</v>
      </c>
      <c r="U60" s="1"/>
      <c r="V60" s="5">
        <f t="shared" si="29"/>
        <v>0</v>
      </c>
      <c r="W60" s="1"/>
      <c r="X60" s="1">
        <f t="shared" si="30"/>
        <v>30.4</v>
      </c>
      <c r="Y60" s="1"/>
      <c r="Z60" s="5">
        <f t="shared" si="31"/>
        <v>0</v>
      </c>
    </row>
    <row r="61" spans="1:26" s="24" customFormat="1" hidden="1" outlineLevel="2" x14ac:dyDescent="0.3">
      <c r="A61" s="27"/>
      <c r="B61" s="11" t="str">
        <f>CONCATENATE("          ", "6294", " - ", "TRAVEL OPERATIONAL")</f>
        <v xml:space="preserve">          6294 - TRAVEL OPERATIONAL</v>
      </c>
      <c r="C61" s="11"/>
      <c r="D61" s="6"/>
      <c r="E61" s="2"/>
      <c r="F61" s="7">
        <f t="shared" si="24"/>
        <v>0</v>
      </c>
      <c r="G61" s="2"/>
      <c r="H61" s="6"/>
      <c r="I61" s="2"/>
      <c r="J61" s="7">
        <f t="shared" si="25"/>
        <v>0</v>
      </c>
      <c r="K61" s="2"/>
      <c r="L61" s="6">
        <f t="shared" si="26"/>
        <v>0</v>
      </c>
      <c r="M61" s="2"/>
      <c r="N61" s="7">
        <f t="shared" si="27"/>
        <v>0</v>
      </c>
      <c r="O61" s="11"/>
      <c r="P61" s="6">
        <v>30.4</v>
      </c>
      <c r="Q61" s="2"/>
      <c r="R61" s="7">
        <f t="shared" si="28"/>
        <v>0</v>
      </c>
      <c r="S61" s="2"/>
      <c r="T61" s="6"/>
      <c r="U61" s="2"/>
      <c r="V61" s="7">
        <f t="shared" si="29"/>
        <v>0</v>
      </c>
      <c r="W61" s="2"/>
      <c r="X61" s="6">
        <f t="shared" si="30"/>
        <v>30.4</v>
      </c>
      <c r="Y61" s="2"/>
      <c r="Z61" s="7">
        <f t="shared" si="31"/>
        <v>0</v>
      </c>
    </row>
    <row r="62" spans="1:26" s="63" customFormat="1" x14ac:dyDescent="0.3">
      <c r="A62" s="36"/>
      <c r="B62" s="36"/>
      <c r="C62" s="36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6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x14ac:dyDescent="0.3">
      <c r="A63" s="10"/>
      <c r="B63" s="25" t="s">
        <v>293</v>
      </c>
      <c r="C63" s="10"/>
      <c r="D63" s="4">
        <f>SUM(0)</f>
        <v>0</v>
      </c>
      <c r="E63" s="4"/>
      <c r="F63" s="12">
        <f>IF(D$12=0,0,D63/D$12)</f>
        <v>0</v>
      </c>
      <c r="G63" s="4"/>
      <c r="H63" s="4">
        <f>SUM(0)</f>
        <v>0</v>
      </c>
      <c r="I63" s="4"/>
      <c r="J63" s="12">
        <f>IF(H$12=0,0,H63/H$12)</f>
        <v>0</v>
      </c>
      <c r="K63" s="4"/>
      <c r="L63" s="4">
        <f>+D63-H63</f>
        <v>0</v>
      </c>
      <c r="M63" s="4"/>
      <c r="N63" s="12">
        <f>IF(H63=0,0,L63/H63)</f>
        <v>0</v>
      </c>
      <c r="O63" s="10"/>
      <c r="P63" s="4">
        <f>SUM(0)</f>
        <v>0</v>
      </c>
      <c r="Q63" s="4"/>
      <c r="R63" s="12">
        <f>IF(P$12=0,0,P63/P$12)</f>
        <v>0</v>
      </c>
      <c r="S63" s="4"/>
      <c r="T63" s="4">
        <f>SUM(0)</f>
        <v>0</v>
      </c>
      <c r="U63" s="4"/>
      <c r="V63" s="12">
        <f>IF(T$12=0,0,T63/T$12)</f>
        <v>0</v>
      </c>
      <c r="W63" s="4"/>
      <c r="X63" s="4">
        <f>+P63-T63</f>
        <v>0</v>
      </c>
      <c r="Y63" s="4"/>
      <c r="Z63" s="12">
        <f>IF(T63=0,0,X63/T63)</f>
        <v>0</v>
      </c>
    </row>
    <row r="64" spans="1:26" x14ac:dyDescent="0.3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3">
      <c r="A65" s="10"/>
      <c r="B65" s="26" t="s">
        <v>277</v>
      </c>
      <c r="C65" s="26"/>
      <c r="D65" s="20">
        <f>+D16-D18+D63</f>
        <v>-38788.509999999995</v>
      </c>
      <c r="E65" s="13"/>
      <c r="F65" s="22">
        <f>IF(D$12=0,0,D65/D$12)</f>
        <v>0</v>
      </c>
      <c r="G65" s="13"/>
      <c r="H65" s="20">
        <f>+H16-H18+H63</f>
        <v>-37946.109144307673</v>
      </c>
      <c r="I65" s="13"/>
      <c r="J65" s="22">
        <f>IF(H$12=0,0,H65/H$12)</f>
        <v>0</v>
      </c>
      <c r="K65" s="15"/>
      <c r="L65" s="20">
        <f>+D65-H65</f>
        <v>-842.40085569232178</v>
      </c>
      <c r="M65" s="15"/>
      <c r="N65" s="22">
        <f>IF(H65=0,0,L65/H65)</f>
        <v>2.2199927072593977E-2</v>
      </c>
      <c r="O65" s="25"/>
      <c r="P65" s="20">
        <f>+P16-P18+P63</f>
        <v>-204878.15999999997</v>
      </c>
      <c r="Q65" s="13"/>
      <c r="R65" s="22">
        <f>IF(P$12=0,0,P65/P$12)</f>
        <v>0</v>
      </c>
      <c r="S65" s="13"/>
      <c r="T65" s="20">
        <f>+T16-T18+T63</f>
        <v>-198442.19229369223</v>
      </c>
      <c r="U65" s="13"/>
      <c r="V65" s="22">
        <f>IF(T$12=0,0,T65/T$12)</f>
        <v>0</v>
      </c>
      <c r="W65" s="15"/>
      <c r="X65" s="20">
        <f>+P65-T65</f>
        <v>-6435.9677063077397</v>
      </c>
      <c r="Y65" s="15"/>
      <c r="Z65" s="22">
        <f>IF(T65=0,0,X65/T65)</f>
        <v>3.2432456182415983E-2</v>
      </c>
    </row>
    <row r="66" spans="1:26" x14ac:dyDescent="0.3">
      <c r="A66" s="9"/>
      <c r="B66" s="10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3">
      <c r="A67" s="52"/>
      <c r="B67" s="10" t="s">
        <v>128</v>
      </c>
      <c r="C67" s="10"/>
      <c r="D67" s="4"/>
      <c r="E67" s="4"/>
      <c r="F67" s="12">
        <f>IF(D$12=0,0,D67/D$12)</f>
        <v>0</v>
      </c>
      <c r="G67" s="4"/>
      <c r="H67" s="4"/>
      <c r="I67" s="4"/>
      <c r="J67" s="12">
        <f>IF(H$12=0,0,H67/H$12)</f>
        <v>0</v>
      </c>
      <c r="K67" s="4"/>
      <c r="L67" s="4">
        <f>+D67-H67</f>
        <v>0</v>
      </c>
      <c r="M67" s="4"/>
      <c r="N67" s="12">
        <f>IF(H67=0,0,L67/H67)</f>
        <v>0</v>
      </c>
      <c r="O67" s="10"/>
      <c r="P67" s="4"/>
      <c r="Q67" s="4"/>
      <c r="R67" s="12">
        <f>IF(P$12=0,0,P67/P$12)</f>
        <v>0</v>
      </c>
      <c r="S67" s="4"/>
      <c r="T67" s="4"/>
      <c r="U67" s="4"/>
      <c r="V67" s="12">
        <f>IF(T$12=0,0,T67/T$12)</f>
        <v>0</v>
      </c>
      <c r="W67" s="4"/>
      <c r="X67" s="4">
        <f>+P67-T67</f>
        <v>0</v>
      </c>
      <c r="Y67" s="4"/>
      <c r="Z67" s="12">
        <f>IF(T67=0,0,X67/T67)</f>
        <v>0</v>
      </c>
    </row>
    <row r="68" spans="1:26" x14ac:dyDescent="0.3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" thickBot="1" x14ac:dyDescent="0.35">
      <c r="A69" s="10"/>
      <c r="B69" s="26" t="s">
        <v>126</v>
      </c>
      <c r="C69" s="26"/>
      <c r="D69" s="33">
        <f>+D65-D67</f>
        <v>-38788.509999999995</v>
      </c>
      <c r="E69" s="13"/>
      <c r="F69" s="34">
        <f>IF(D$12=0,0,D69/D$12)</f>
        <v>0</v>
      </c>
      <c r="G69" s="13"/>
      <c r="H69" s="33">
        <f>+H65-H67</f>
        <v>-37946.109144307673</v>
      </c>
      <c r="I69" s="13"/>
      <c r="J69" s="34">
        <f>IF(H$12=0,0,H69/H$12)</f>
        <v>0</v>
      </c>
      <c r="K69" s="15"/>
      <c r="L69" s="33">
        <f>D69-H69</f>
        <v>-842.40085569232178</v>
      </c>
      <c r="M69" s="15"/>
      <c r="N69" s="34">
        <f>IF(H69=0,0,L69/H69)</f>
        <v>2.2199927072593977E-2</v>
      </c>
      <c r="O69" s="25"/>
      <c r="P69" s="33">
        <f>+P65-P67</f>
        <v>-204878.15999999997</v>
      </c>
      <c r="Q69" s="13"/>
      <c r="R69" s="34">
        <f>IF(P$12=0,0,P69/P$12)</f>
        <v>0</v>
      </c>
      <c r="S69" s="13"/>
      <c r="T69" s="33">
        <f>+T65-T67</f>
        <v>-198442.19229369223</v>
      </c>
      <c r="U69" s="13"/>
      <c r="V69" s="34">
        <f>IF(T$12=0,0,T69/T$12)</f>
        <v>0</v>
      </c>
      <c r="W69" s="15"/>
      <c r="X69" s="33">
        <f>P69-T69</f>
        <v>-6435.9677063077397</v>
      </c>
      <c r="Y69" s="15"/>
      <c r="Z69" s="34">
        <f>IF(T69=0,0,X69/T69)</f>
        <v>3.2432456182415983E-2</v>
      </c>
    </row>
    <row r="70" spans="1:26" ht="15" thickTop="1" x14ac:dyDescent="0.3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x14ac:dyDescent="0.3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" thickBot="1" x14ac:dyDescent="0.35">
      <c r="A72" s="10"/>
      <c r="B72" s="26" t="s">
        <v>294</v>
      </c>
      <c r="C72" s="26"/>
      <c r="D72" s="35">
        <f>SUM(D69:D71)</f>
        <v>-38788.509999999995</v>
      </c>
      <c r="E72" s="13"/>
      <c r="F72" s="32">
        <f>IF(D$12=0,0,D72/D$12)</f>
        <v>0</v>
      </c>
      <c r="G72" s="13"/>
      <c r="H72" s="35">
        <f>SUM(H69:H71)</f>
        <v>-37946.109144307673</v>
      </c>
      <c r="I72" s="13"/>
      <c r="J72" s="32">
        <f>IF(H$12=0,0,H72/H$12)</f>
        <v>0</v>
      </c>
      <c r="K72" s="15"/>
      <c r="L72" s="35">
        <f>+D72-H72</f>
        <v>-842.40085569232178</v>
      </c>
      <c r="M72" s="15"/>
      <c r="N72" s="32">
        <f>IF(H72=0,0,L72/H72)</f>
        <v>2.2199927072593977E-2</v>
      </c>
      <c r="O72" s="25"/>
      <c r="P72" s="35">
        <f>SUM(P69:P71)</f>
        <v>-204878.15999999997</v>
      </c>
      <c r="Q72" s="13"/>
      <c r="R72" s="32">
        <f>IF(P$12=0,0,P72/P$12)</f>
        <v>0</v>
      </c>
      <c r="S72" s="13"/>
      <c r="T72" s="35">
        <f>SUM(T69:T71)</f>
        <v>-198442.19229369223</v>
      </c>
      <c r="U72" s="13"/>
      <c r="V72" s="32">
        <f>IF(T$12=0,0,T72/T$12)</f>
        <v>0</v>
      </c>
      <c r="W72" s="15"/>
      <c r="X72" s="35">
        <f>+P72-T72</f>
        <v>-6435.9677063077397</v>
      </c>
      <c r="Y72" s="15"/>
      <c r="Z72" s="32">
        <f>IF(T72=0,0,X72/T72)</f>
        <v>3.2432456182415983E-2</v>
      </c>
    </row>
    <row r="73" spans="1:26" ht="15" thickTop="1" x14ac:dyDescent="0.3">
      <c r="A73" s="9"/>
      <c r="C73" s="9"/>
      <c r="D73" s="17"/>
      <c r="E73" s="17"/>
      <c r="G73" s="17"/>
      <c r="H73" s="17"/>
      <c r="I73" s="17"/>
      <c r="J73" s="42"/>
      <c r="K73" s="17"/>
      <c r="L73" s="17"/>
      <c r="M73" s="17"/>
      <c r="P73" s="17"/>
      <c r="Q73" s="17"/>
      <c r="R73" s="42"/>
      <c r="S73" s="17"/>
      <c r="T73" s="17"/>
      <c r="U73" s="17"/>
      <c r="V73" s="42"/>
      <c r="W73" s="17"/>
      <c r="X73" s="17"/>
    </row>
    <row r="74" spans="1:26" x14ac:dyDescent="0.3">
      <c r="A74" s="9"/>
      <c r="B74" s="60">
        <v>44543.753113078703</v>
      </c>
      <c r="D74" s="17"/>
      <c r="E74" s="17"/>
      <c r="G74" s="17"/>
      <c r="H74" s="17"/>
      <c r="I74" s="17"/>
      <c r="J74" s="42"/>
      <c r="K74" s="17"/>
      <c r="L74" s="17"/>
      <c r="M74" s="17"/>
      <c r="P74" s="17"/>
      <c r="Q74" s="17"/>
      <c r="R74" s="42"/>
      <c r="S74" s="17"/>
      <c r="T74" s="17"/>
      <c r="U74" s="17"/>
      <c r="V74" s="42"/>
      <c r="W74" s="17"/>
      <c r="X74" s="17"/>
    </row>
    <row r="75" spans="1:26" x14ac:dyDescent="0.3">
      <c r="A75" s="9"/>
      <c r="B75" s="58" t="s">
        <v>56</v>
      </c>
      <c r="D75" s="17"/>
      <c r="E75" s="17"/>
      <c r="G75" s="17"/>
      <c r="H75" s="17"/>
      <c r="I75" s="17"/>
      <c r="J75" s="42"/>
      <c r="K75" s="17"/>
      <c r="L75" s="17"/>
      <c r="M75" s="17"/>
      <c r="P75" s="17"/>
      <c r="Q75" s="17"/>
      <c r="R75" s="42"/>
      <c r="S75" s="17"/>
      <c r="T75" s="17"/>
      <c r="U75" s="17"/>
      <c r="V75" s="42"/>
      <c r="W75" s="17"/>
      <c r="X75" s="17"/>
    </row>
    <row r="76" spans="1:26" x14ac:dyDescent="0.3">
      <c r="A76" s="9"/>
      <c r="B76" s="55"/>
      <c r="D76" s="17"/>
      <c r="E76" s="17"/>
      <c r="G76" s="17"/>
      <c r="H76" s="17"/>
      <c r="I76" s="17"/>
      <c r="J76" s="42"/>
      <c r="K76" s="17"/>
      <c r="L76" s="17"/>
      <c r="M76" s="17"/>
      <c r="P76" s="17"/>
      <c r="Q76" s="17"/>
      <c r="R76" s="42"/>
      <c r="S76" s="17"/>
      <c r="T76" s="17"/>
      <c r="U76" s="17"/>
      <c r="V76" s="42"/>
      <c r="W76" s="17"/>
      <c r="X76" s="17"/>
    </row>
    <row r="77" spans="1:26" x14ac:dyDescent="0.3">
      <c r="D77" s="17"/>
      <c r="E77" s="17"/>
      <c r="G77" s="17"/>
      <c r="H77" s="17"/>
      <c r="I77" s="17"/>
      <c r="J77" s="42"/>
      <c r="K77" s="17"/>
      <c r="L77" s="17"/>
      <c r="M77" s="17"/>
      <c r="P77" s="17"/>
      <c r="Q77" s="17"/>
      <c r="R77" s="42"/>
      <c r="S77" s="17"/>
      <c r="T77" s="17"/>
      <c r="U77" s="17"/>
      <c r="V77" s="42"/>
      <c r="W77" s="17"/>
      <c r="X77" s="17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92D050"/>
    <outlinePr summaryBelow="0" summaryRight="0"/>
  </sheetPr>
  <dimension ref="A2:Z8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","203", " - ", "Human Resources")</f>
        <v>Department 203 - Human Resources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5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1">
        <f>SUM(OSRRefD22x_0)</f>
        <v>46633.59</v>
      </c>
      <c r="E18" s="21"/>
      <c r="F18" s="30">
        <f t="shared" ref="F18:F29" si="0">IF(D$12=0,0,D18/D$12)</f>
        <v>0</v>
      </c>
      <c r="G18" s="21"/>
      <c r="H18" s="21">
        <f>SUM(OSRRefH22x_0)</f>
        <v>47154.26516968615</v>
      </c>
      <c r="I18" s="21"/>
      <c r="J18" s="30">
        <f t="shared" ref="J18:J29" si="1">IF(H$12=0,0,H18/H$12)</f>
        <v>0</v>
      </c>
      <c r="K18" s="4"/>
      <c r="L18" s="21">
        <f t="shared" ref="L18:L29" si="2">+D18-H18</f>
        <v>-520.67516968615382</v>
      </c>
      <c r="M18" s="4"/>
      <c r="N18" s="30">
        <f t="shared" ref="N18:N29" si="3">IF(H18=0,0,L18/H18)</f>
        <v>-1.1041952786508016E-2</v>
      </c>
      <c r="O18" s="10"/>
      <c r="P18" s="21">
        <f>SUM(OSRRefP22x_0)</f>
        <v>263845.96000000002</v>
      </c>
      <c r="Q18" s="21"/>
      <c r="R18" s="30">
        <f t="shared" ref="R18:R29" si="4">IF(P$12=0,0,P18/P$12)</f>
        <v>0</v>
      </c>
      <c r="S18" s="21"/>
      <c r="T18" s="21">
        <f>SUM(OSRRefT22x_0)</f>
        <v>249338.4584332738</v>
      </c>
      <c r="U18" s="21"/>
      <c r="V18" s="30">
        <f t="shared" ref="V18:V29" si="5">IF(T$12=0,0,T18/T$12)</f>
        <v>0</v>
      </c>
      <c r="W18" s="4"/>
      <c r="X18" s="21">
        <f t="shared" ref="X18:X29" si="6">+P18-T18</f>
        <v>14507.50156672622</v>
      </c>
      <c r="Y18" s="4"/>
      <c r="Z18" s="30">
        <f t="shared" ref="Z18:Z29" si="7">IF(T18=0,0,X18/T18)</f>
        <v>5.8183970727518616E-2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13930.62</v>
      </c>
      <c r="E19" s="1"/>
      <c r="F19" s="5">
        <f t="shared" si="0"/>
        <v>0</v>
      </c>
      <c r="G19" s="1"/>
      <c r="H19" s="1">
        <f>SUM(OSRRefH22_0x_0)</f>
        <v>11218.47940968615</v>
      </c>
      <c r="I19" s="1"/>
      <c r="J19" s="5">
        <f t="shared" si="1"/>
        <v>0</v>
      </c>
      <c r="K19" s="1"/>
      <c r="L19" s="1">
        <f t="shared" si="2"/>
        <v>2712.1405903138511</v>
      </c>
      <c r="M19" s="1"/>
      <c r="N19" s="5">
        <f t="shared" si="3"/>
        <v>0.24175652432647524</v>
      </c>
      <c r="O19" s="14"/>
      <c r="P19" s="1">
        <f>SUM(OSRRefP22_0x_0)</f>
        <v>71173.69</v>
      </c>
      <c r="Q19" s="1"/>
      <c r="R19" s="5">
        <f t="shared" si="4"/>
        <v>0</v>
      </c>
      <c r="S19" s="1"/>
      <c r="T19" s="1">
        <f>SUM(OSRRefT22_0x_0)</f>
        <v>60154.6367532738</v>
      </c>
      <c r="U19" s="1"/>
      <c r="V19" s="5">
        <f t="shared" si="5"/>
        <v>0</v>
      </c>
      <c r="W19" s="1"/>
      <c r="X19" s="1">
        <f t="shared" si="6"/>
        <v>11019.053246726202</v>
      </c>
      <c r="Y19" s="1"/>
      <c r="Z19" s="5">
        <f t="shared" si="7"/>
        <v>0.18317878457019376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6">
        <v>2233.5300000000002</v>
      </c>
      <c r="E20" s="2"/>
      <c r="F20" s="7">
        <f t="shared" si="0"/>
        <v>0</v>
      </c>
      <c r="G20" s="2"/>
      <c r="H20" s="6">
        <v>1560.2483342400001</v>
      </c>
      <c r="I20" s="2"/>
      <c r="J20" s="7">
        <f t="shared" si="1"/>
        <v>0</v>
      </c>
      <c r="K20" s="2"/>
      <c r="L20" s="6">
        <f t="shared" si="2"/>
        <v>673.28166576000012</v>
      </c>
      <c r="M20" s="2"/>
      <c r="N20" s="7">
        <f t="shared" si="3"/>
        <v>0.43152211797614698</v>
      </c>
      <c r="O20" s="11"/>
      <c r="P20" s="6">
        <v>11781.35</v>
      </c>
      <c r="Q20" s="2"/>
      <c r="R20" s="7">
        <f t="shared" si="4"/>
        <v>0</v>
      </c>
      <c r="S20" s="2"/>
      <c r="T20" s="6">
        <v>8581.36583832</v>
      </c>
      <c r="U20" s="2"/>
      <c r="V20" s="7">
        <f t="shared" si="5"/>
        <v>0</v>
      </c>
      <c r="W20" s="2"/>
      <c r="X20" s="6">
        <f t="shared" si="6"/>
        <v>3199.9841616800004</v>
      </c>
      <c r="Y20" s="2"/>
      <c r="Z20" s="7">
        <f t="shared" si="7"/>
        <v>0.37289916570046511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374.33</v>
      </c>
      <c r="E21" s="2"/>
      <c r="F21" s="7">
        <f t="shared" si="0"/>
        <v>0</v>
      </c>
      <c r="G21" s="2"/>
      <c r="H21" s="6">
        <v>81.800964800000003</v>
      </c>
      <c r="I21" s="2"/>
      <c r="J21" s="7">
        <f t="shared" si="1"/>
        <v>0</v>
      </c>
      <c r="K21" s="2"/>
      <c r="L21" s="6">
        <f t="shared" si="2"/>
        <v>292.52903519999995</v>
      </c>
      <c r="M21" s="2"/>
      <c r="N21" s="7">
        <f t="shared" si="3"/>
        <v>3.5761073957406424</v>
      </c>
      <c r="O21" s="11"/>
      <c r="P21" s="6">
        <v>1975.42</v>
      </c>
      <c r="Q21" s="2"/>
      <c r="R21" s="7">
        <f t="shared" si="4"/>
        <v>0</v>
      </c>
      <c r="S21" s="2"/>
      <c r="T21" s="6">
        <v>449.90530639999997</v>
      </c>
      <c r="U21" s="2"/>
      <c r="V21" s="7">
        <f t="shared" si="5"/>
        <v>0</v>
      </c>
      <c r="W21" s="2"/>
      <c r="X21" s="6">
        <f t="shared" si="6"/>
        <v>1525.5146936000001</v>
      </c>
      <c r="Y21" s="2"/>
      <c r="Z21" s="7">
        <f t="shared" si="7"/>
        <v>3.3907461679140583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6">
        <v>6048.94</v>
      </c>
      <c r="E22" s="2"/>
      <c r="F22" s="7">
        <f t="shared" si="0"/>
        <v>0</v>
      </c>
      <c r="G22" s="2"/>
      <c r="H22" s="6">
        <v>6238.8461538461497</v>
      </c>
      <c r="I22" s="2"/>
      <c r="J22" s="7">
        <f t="shared" si="1"/>
        <v>0</v>
      </c>
      <c r="K22" s="2"/>
      <c r="L22" s="6">
        <f t="shared" si="2"/>
        <v>-189.90615384615012</v>
      </c>
      <c r="M22" s="2"/>
      <c r="N22" s="7">
        <f t="shared" si="3"/>
        <v>-3.043930707108012E-2</v>
      </c>
      <c r="O22" s="11"/>
      <c r="P22" s="6">
        <v>30278.45</v>
      </c>
      <c r="Q22" s="2"/>
      <c r="R22" s="7">
        <f t="shared" si="4"/>
        <v>0</v>
      </c>
      <c r="S22" s="2"/>
      <c r="T22" s="6">
        <v>33325.1538461538</v>
      </c>
      <c r="U22" s="2"/>
      <c r="V22" s="7">
        <f t="shared" si="5"/>
        <v>0</v>
      </c>
      <c r="W22" s="2"/>
      <c r="X22" s="6">
        <f t="shared" si="6"/>
        <v>-3046.7038461537995</v>
      </c>
      <c r="Y22" s="2"/>
      <c r="Z22" s="7">
        <f t="shared" si="7"/>
        <v>-9.142354931710038E-2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75.45</v>
      </c>
      <c r="E23" s="2"/>
      <c r="F23" s="7">
        <f t="shared" si="0"/>
        <v>0</v>
      </c>
      <c r="G23" s="2"/>
      <c r="H23" s="6">
        <v>55.413556800000002</v>
      </c>
      <c r="I23" s="2"/>
      <c r="J23" s="7">
        <f t="shared" si="1"/>
        <v>0</v>
      </c>
      <c r="K23" s="2"/>
      <c r="L23" s="6">
        <f t="shared" si="2"/>
        <v>20.036443200000001</v>
      </c>
      <c r="M23" s="2"/>
      <c r="N23" s="7">
        <f t="shared" si="3"/>
        <v>0.36158016841106289</v>
      </c>
      <c r="O23" s="11"/>
      <c r="P23" s="6">
        <v>398.15</v>
      </c>
      <c r="Q23" s="2"/>
      <c r="R23" s="7">
        <f t="shared" si="4"/>
        <v>0</v>
      </c>
      <c r="S23" s="2"/>
      <c r="T23" s="6">
        <v>304.77456239999998</v>
      </c>
      <c r="U23" s="2"/>
      <c r="V23" s="7">
        <f t="shared" si="5"/>
        <v>0</v>
      </c>
      <c r="W23" s="2"/>
      <c r="X23" s="6">
        <f t="shared" si="6"/>
        <v>93.375437599999998</v>
      </c>
      <c r="Y23" s="2"/>
      <c r="Z23" s="7">
        <f t="shared" si="7"/>
        <v>0.3063754299725639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6">
        <v>1287.54</v>
      </c>
      <c r="E24" s="2"/>
      <c r="F24" s="7">
        <f t="shared" si="0"/>
        <v>0</v>
      </c>
      <c r="G24" s="2"/>
      <c r="H24" s="6">
        <v>885.8</v>
      </c>
      <c r="I24" s="2"/>
      <c r="J24" s="7">
        <f t="shared" si="1"/>
        <v>0</v>
      </c>
      <c r="K24" s="2"/>
      <c r="L24" s="6">
        <f t="shared" si="2"/>
        <v>401.74</v>
      </c>
      <c r="M24" s="2"/>
      <c r="N24" s="7">
        <f t="shared" si="3"/>
        <v>0.45353352901332133</v>
      </c>
      <c r="O24" s="11"/>
      <c r="P24" s="6">
        <v>6858.63</v>
      </c>
      <c r="Q24" s="2"/>
      <c r="R24" s="7">
        <f t="shared" si="4"/>
        <v>0</v>
      </c>
      <c r="S24" s="2"/>
      <c r="T24" s="6">
        <v>4871.8999999999996</v>
      </c>
      <c r="U24" s="2"/>
      <c r="V24" s="7">
        <f t="shared" si="5"/>
        <v>0</v>
      </c>
      <c r="W24" s="2"/>
      <c r="X24" s="6">
        <f t="shared" si="6"/>
        <v>1986.7300000000005</v>
      </c>
      <c r="Y24" s="2"/>
      <c r="Z24" s="7">
        <f t="shared" si="7"/>
        <v>0.40779367392598381</v>
      </c>
    </row>
    <row r="25" spans="1:26" s="24" customFormat="1" hidden="1" outlineLevel="2" x14ac:dyDescent="0.3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417</v>
      </c>
      <c r="I25" s="2"/>
      <c r="J25" s="7">
        <f t="shared" si="1"/>
        <v>0</v>
      </c>
      <c r="K25" s="2"/>
      <c r="L25" s="6">
        <f t="shared" si="2"/>
        <v>-417</v>
      </c>
      <c r="M25" s="2"/>
      <c r="N25" s="7">
        <f t="shared" si="3"/>
        <v>-1</v>
      </c>
      <c r="O25" s="11"/>
      <c r="P25" s="6"/>
      <c r="Q25" s="2"/>
      <c r="R25" s="7">
        <f t="shared" si="4"/>
        <v>0</v>
      </c>
      <c r="S25" s="2"/>
      <c r="T25" s="6">
        <v>2085</v>
      </c>
      <c r="U25" s="2"/>
      <c r="V25" s="7">
        <f t="shared" si="5"/>
        <v>0</v>
      </c>
      <c r="W25" s="2"/>
      <c r="X25" s="6">
        <f t="shared" si="6"/>
        <v>-2085</v>
      </c>
      <c r="Y25" s="2"/>
      <c r="Z25" s="7">
        <f t="shared" si="7"/>
        <v>-1</v>
      </c>
    </row>
    <row r="26" spans="1:26" s="24" customFormat="1" hidden="1" outlineLevel="2" x14ac:dyDescent="0.3">
      <c r="A26" s="27"/>
      <c r="B26" s="11" t="str">
        <f>CONCATENATE("          ", "6117", " - ", "RETIREMENT STAFF HOURLY")</f>
        <v xml:space="preserve">          6117 - RETIREMENT STAFF HOURLY</v>
      </c>
      <c r="C26" s="11"/>
      <c r="D26" s="6">
        <v>644.66999999999996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644.66999999999996</v>
      </c>
      <c r="M26" s="2"/>
      <c r="N26" s="7">
        <f t="shared" si="3"/>
        <v>0</v>
      </c>
      <c r="O26" s="11"/>
      <c r="P26" s="6">
        <v>3127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3127</v>
      </c>
      <c r="Y26" s="2"/>
      <c r="Z26" s="7">
        <f t="shared" si="7"/>
        <v>0</v>
      </c>
    </row>
    <row r="27" spans="1:26" s="24" customFormat="1" hidden="1" outlineLevel="2" x14ac:dyDescent="0.3">
      <c r="A27" s="27"/>
      <c r="B27" s="11" t="str">
        <f>CONCATENATE("          ", "6118", " - ", "VACATION")</f>
        <v xml:space="preserve">          6118 - VACATION</v>
      </c>
      <c r="C27" s="11"/>
      <c r="D27" s="6">
        <v>1840.24</v>
      </c>
      <c r="E27" s="2"/>
      <c r="F27" s="7">
        <f t="shared" si="0"/>
        <v>0</v>
      </c>
      <c r="G27" s="2"/>
      <c r="H27" s="6">
        <v>731.62224000000003</v>
      </c>
      <c r="I27" s="2"/>
      <c r="J27" s="7">
        <f t="shared" si="1"/>
        <v>0</v>
      </c>
      <c r="K27" s="2"/>
      <c r="L27" s="6">
        <f t="shared" si="2"/>
        <v>1108.6177600000001</v>
      </c>
      <c r="M27" s="2"/>
      <c r="N27" s="7">
        <f t="shared" si="3"/>
        <v>1.5152871241311636</v>
      </c>
      <c r="O27" s="11"/>
      <c r="P27" s="6">
        <v>9315.74</v>
      </c>
      <c r="Q27" s="2"/>
      <c r="R27" s="7">
        <f t="shared" si="4"/>
        <v>0</v>
      </c>
      <c r="S27" s="2"/>
      <c r="T27" s="6">
        <v>4023.9223200000001</v>
      </c>
      <c r="U27" s="2"/>
      <c r="V27" s="7">
        <f t="shared" si="5"/>
        <v>0</v>
      </c>
      <c r="W27" s="2"/>
      <c r="X27" s="6">
        <f t="shared" si="6"/>
        <v>5291.8176800000001</v>
      </c>
      <c r="Y27" s="2"/>
      <c r="Z27" s="7">
        <f t="shared" si="7"/>
        <v>1.3150894225015755</v>
      </c>
    </row>
    <row r="28" spans="1:26" s="24" customFormat="1" hidden="1" outlineLevel="2" x14ac:dyDescent="0.3">
      <c r="A28" s="27"/>
      <c r="B28" s="11" t="str">
        <f>CONCATENATE("          ", "6119", " - ", "SICK LEAVE")</f>
        <v xml:space="preserve">          6119 - SICK LEAVE</v>
      </c>
      <c r="C28" s="11"/>
      <c r="D28" s="6">
        <v>1207.52</v>
      </c>
      <c r="E28" s="2"/>
      <c r="F28" s="7">
        <f t="shared" si="0"/>
        <v>0</v>
      </c>
      <c r="G28" s="2"/>
      <c r="H28" s="6">
        <v>547.74815999999998</v>
      </c>
      <c r="I28" s="2"/>
      <c r="J28" s="7">
        <f t="shared" si="1"/>
        <v>0</v>
      </c>
      <c r="K28" s="2"/>
      <c r="L28" s="6">
        <f t="shared" si="2"/>
        <v>659.77184</v>
      </c>
      <c r="M28" s="2"/>
      <c r="N28" s="7">
        <f t="shared" si="3"/>
        <v>1.2045167618637003</v>
      </c>
      <c r="O28" s="11"/>
      <c r="P28" s="6">
        <v>6432.38</v>
      </c>
      <c r="Q28" s="2"/>
      <c r="R28" s="7">
        <f t="shared" si="4"/>
        <v>0</v>
      </c>
      <c r="S28" s="2"/>
      <c r="T28" s="6">
        <v>3012.6148800000001</v>
      </c>
      <c r="U28" s="2"/>
      <c r="V28" s="7">
        <f t="shared" si="5"/>
        <v>0</v>
      </c>
      <c r="W28" s="2"/>
      <c r="X28" s="6">
        <f t="shared" si="6"/>
        <v>3419.76512</v>
      </c>
      <c r="Y28" s="2"/>
      <c r="Z28" s="7">
        <f t="shared" si="7"/>
        <v>1.135148452828461</v>
      </c>
    </row>
    <row r="29" spans="1:26" s="24" customFormat="1" hidden="1" outlineLevel="2" x14ac:dyDescent="0.3">
      <c r="A29" s="27"/>
      <c r="B29" s="11" t="str">
        <f>CONCATENATE("          ", "6156", " - ", "EMPLOYEE MEALS")</f>
        <v xml:space="preserve">          6156 - EMPLOYEE MEALS</v>
      </c>
      <c r="C29" s="11"/>
      <c r="D29" s="6">
        <v>218.4</v>
      </c>
      <c r="E29" s="2"/>
      <c r="F29" s="7">
        <f t="shared" si="0"/>
        <v>0</v>
      </c>
      <c r="G29" s="2"/>
      <c r="H29" s="6">
        <v>700</v>
      </c>
      <c r="I29" s="2"/>
      <c r="J29" s="7">
        <f t="shared" si="1"/>
        <v>0</v>
      </c>
      <c r="K29" s="2"/>
      <c r="L29" s="6">
        <f t="shared" si="2"/>
        <v>-481.6</v>
      </c>
      <c r="M29" s="2"/>
      <c r="N29" s="7">
        <f t="shared" si="3"/>
        <v>-0.68800000000000006</v>
      </c>
      <c r="O29" s="11"/>
      <c r="P29" s="6">
        <v>1006.57</v>
      </c>
      <c r="Q29" s="2"/>
      <c r="R29" s="7">
        <f t="shared" si="4"/>
        <v>0</v>
      </c>
      <c r="S29" s="2"/>
      <c r="T29" s="6">
        <v>3500</v>
      </c>
      <c r="U29" s="2"/>
      <c r="V29" s="7">
        <f t="shared" si="5"/>
        <v>0</v>
      </c>
      <c r="W29" s="2"/>
      <c r="X29" s="6">
        <f t="shared" si="6"/>
        <v>-2493.4299999999998</v>
      </c>
      <c r="Y29" s="2"/>
      <c r="Z29" s="7">
        <f t="shared" si="7"/>
        <v>-0.71240857142857139</v>
      </c>
    </row>
    <row r="30" spans="1:26" s="29" customFormat="1" outlineLevel="1" collapsed="1" x14ac:dyDescent="0.3">
      <c r="A30" s="28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24484.95</v>
      </c>
      <c r="E30" s="1"/>
      <c r="F30" s="5">
        <f t="shared" ref="F30:F40" si="8">IF(D$12=0,0,D30/D$12)</f>
        <v>0</v>
      </c>
      <c r="G30" s="1"/>
      <c r="H30" s="1">
        <f>SUM(OSRRefH22_1x_0)</f>
        <v>23449.785759999999</v>
      </c>
      <c r="I30" s="1"/>
      <c r="J30" s="5">
        <f t="shared" ref="J30:J40" si="9">IF(H$12=0,0,H30/H$12)</f>
        <v>0</v>
      </c>
      <c r="K30" s="1"/>
      <c r="L30" s="1">
        <f t="shared" ref="L30:L40" si="10">+D30-H30</f>
        <v>1035.1642400000019</v>
      </c>
      <c r="M30" s="1"/>
      <c r="N30" s="5">
        <f t="shared" ref="N30:N40" si="11">IF(H30=0,0,L30/H30)</f>
        <v>4.4143867692205387E-2</v>
      </c>
      <c r="O30" s="14"/>
      <c r="P30" s="1">
        <f>SUM(OSRRefP22_1x_0)</f>
        <v>142334.27000000002</v>
      </c>
      <c r="Q30" s="1"/>
      <c r="R30" s="5">
        <f t="shared" ref="R30:R40" si="12">IF(P$12=0,0,P30/P$12)</f>
        <v>0</v>
      </c>
      <c r="S30" s="1"/>
      <c r="T30" s="1">
        <f>SUM(OSRRefT22_1x_0)</f>
        <v>128973.82167999999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13360.448320000025</v>
      </c>
      <c r="Y30" s="1"/>
      <c r="Z30" s="5">
        <f t="shared" ref="Z30:Z40" si="15">IF(T30=0,0,X30/T30)</f>
        <v>0.10359038870034377</v>
      </c>
    </row>
    <row r="31" spans="1:26" s="24" customFormat="1" hidden="1" outlineLevel="2" x14ac:dyDescent="0.3">
      <c r="A31" s="27"/>
      <c r="B31" s="11" t="str">
        <f>CONCATENATE("          ", "6001", " - ", "ADMINISTRATIVE SALARIES")</f>
        <v xml:space="preserve">          6001 - ADMINISTRATIVE SALARIES</v>
      </c>
      <c r="C31" s="11"/>
      <c r="D31" s="6">
        <v>7692.12</v>
      </c>
      <c r="E31" s="2"/>
      <c r="F31" s="7">
        <f t="shared" si="8"/>
        <v>0</v>
      </c>
      <c r="G31" s="2"/>
      <c r="H31" s="6">
        <v>9785</v>
      </c>
      <c r="I31" s="2"/>
      <c r="J31" s="7">
        <f t="shared" si="9"/>
        <v>0</v>
      </c>
      <c r="K31" s="2"/>
      <c r="L31" s="6">
        <f t="shared" si="10"/>
        <v>-2092.88</v>
      </c>
      <c r="M31" s="2"/>
      <c r="N31" s="7">
        <f t="shared" si="11"/>
        <v>-0.21388656106285131</v>
      </c>
      <c r="O31" s="11"/>
      <c r="P31" s="6">
        <v>55483.42</v>
      </c>
      <c r="Q31" s="2"/>
      <c r="R31" s="7">
        <f t="shared" si="12"/>
        <v>0</v>
      </c>
      <c r="S31" s="2"/>
      <c r="T31" s="6">
        <v>53817.5</v>
      </c>
      <c r="U31" s="2"/>
      <c r="V31" s="7">
        <f t="shared" si="13"/>
        <v>0</v>
      </c>
      <c r="W31" s="2"/>
      <c r="X31" s="6">
        <f t="shared" si="14"/>
        <v>1665.9199999999983</v>
      </c>
      <c r="Y31" s="2"/>
      <c r="Z31" s="7">
        <f t="shared" si="15"/>
        <v>3.0954986760811973E-2</v>
      </c>
    </row>
    <row r="32" spans="1:26" s="24" customFormat="1" hidden="1" outlineLevel="2" x14ac:dyDescent="0.3">
      <c r="A32" s="27"/>
      <c r="B32" s="11" t="str">
        <f>CONCATENATE("          ", "6002", " - ", "STAFF SALARIES")</f>
        <v xml:space="preserve">          6002 - STAFF SALARIES</v>
      </c>
      <c r="C32" s="11"/>
      <c r="D32" s="6">
        <v>18.5</v>
      </c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18.5</v>
      </c>
      <c r="M32" s="2"/>
      <c r="N32" s="7">
        <f t="shared" si="11"/>
        <v>0</v>
      </c>
      <c r="O32" s="11"/>
      <c r="P32" s="6">
        <v>18.5</v>
      </c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18.5</v>
      </c>
      <c r="Y32" s="2"/>
      <c r="Z32" s="7">
        <f t="shared" si="15"/>
        <v>0</v>
      </c>
    </row>
    <row r="33" spans="1:26" s="24" customFormat="1" hidden="1" outlineLevel="2" x14ac:dyDescent="0.3">
      <c r="A33" s="27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3">
      <c r="A34" s="27"/>
      <c r="B34" s="11" t="str">
        <f>CONCATENATE("          ", "6004", " - ", "STAFF HOURLY")</f>
        <v xml:space="preserve">          6004 - STAFF HOURLY</v>
      </c>
      <c r="C34" s="11"/>
      <c r="D34" s="6">
        <v>14748.94</v>
      </c>
      <c r="E34" s="2"/>
      <c r="F34" s="7">
        <f t="shared" si="8"/>
        <v>0</v>
      </c>
      <c r="G34" s="2"/>
      <c r="H34" s="6">
        <v>9784.7857600000007</v>
      </c>
      <c r="I34" s="2"/>
      <c r="J34" s="7">
        <f t="shared" si="9"/>
        <v>0</v>
      </c>
      <c r="K34" s="2"/>
      <c r="L34" s="6">
        <f t="shared" si="10"/>
        <v>4964.1542399999998</v>
      </c>
      <c r="M34" s="2"/>
      <c r="N34" s="7">
        <f t="shared" si="11"/>
        <v>0.50733397355447052</v>
      </c>
      <c r="O34" s="11"/>
      <c r="P34" s="6">
        <v>76925.210000000006</v>
      </c>
      <c r="Q34" s="2"/>
      <c r="R34" s="7">
        <f t="shared" si="12"/>
        <v>0</v>
      </c>
      <c r="S34" s="2"/>
      <c r="T34" s="6">
        <v>53816.321680000001</v>
      </c>
      <c r="U34" s="2"/>
      <c r="V34" s="7">
        <f t="shared" si="13"/>
        <v>0</v>
      </c>
      <c r="W34" s="2"/>
      <c r="X34" s="6">
        <f t="shared" si="14"/>
        <v>23108.888320000005</v>
      </c>
      <c r="Y34" s="2"/>
      <c r="Z34" s="7">
        <f t="shared" si="15"/>
        <v>0.42940296918486842</v>
      </c>
    </row>
    <row r="35" spans="1:26" s="24" customFormat="1" hidden="1" outlineLevel="2" x14ac:dyDescent="0.3">
      <c r="A35" s="27"/>
      <c r="B35" s="11" t="str">
        <f>CONCATENATE("          ", "6005", " - ", "TEMPORARY WAGES-HOURLY")</f>
        <v xml:space="preserve">          6005 - TEMPORARY WAGES-HOURLY</v>
      </c>
      <c r="C35" s="11"/>
      <c r="D35" s="6">
        <v>2025.39</v>
      </c>
      <c r="E35" s="2"/>
      <c r="F35" s="7">
        <f t="shared" si="8"/>
        <v>0</v>
      </c>
      <c r="G35" s="2"/>
      <c r="H35" s="6">
        <v>3880</v>
      </c>
      <c r="I35" s="2"/>
      <c r="J35" s="7">
        <f t="shared" si="9"/>
        <v>0</v>
      </c>
      <c r="K35" s="2"/>
      <c r="L35" s="6">
        <f t="shared" si="10"/>
        <v>-1854.61</v>
      </c>
      <c r="M35" s="2"/>
      <c r="N35" s="7">
        <f t="shared" si="11"/>
        <v>-0.47799226804123707</v>
      </c>
      <c r="O35" s="11"/>
      <c r="P35" s="6">
        <v>9907.14</v>
      </c>
      <c r="Q35" s="2"/>
      <c r="R35" s="7">
        <f t="shared" si="12"/>
        <v>0</v>
      </c>
      <c r="S35" s="2"/>
      <c r="T35" s="6">
        <v>21340</v>
      </c>
      <c r="U35" s="2"/>
      <c r="V35" s="7">
        <f t="shared" si="13"/>
        <v>0</v>
      </c>
      <c r="W35" s="2"/>
      <c r="X35" s="6">
        <f t="shared" si="14"/>
        <v>-11432.86</v>
      </c>
      <c r="Y35" s="2"/>
      <c r="Z35" s="7">
        <f t="shared" si="15"/>
        <v>-0.53574789128397382</v>
      </c>
    </row>
    <row r="36" spans="1:26" s="24" customFormat="1" hidden="1" outlineLevel="2" x14ac:dyDescent="0.3">
      <c r="A36" s="27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3">
      <c r="A37" s="27"/>
      <c r="B37" s="11" t="str">
        <f>CONCATENATE("          ", "6007", " - ", "STUDENT HOURLY")</f>
        <v xml:space="preserve">          6007 - STUDENT HOURLY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>
        <v>0</v>
      </c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3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3">
      <c r="A39" s="27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4" customFormat="1" hidden="1" outlineLevel="2" x14ac:dyDescent="0.3">
      <c r="A40" s="27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8"/>
        <v>0</v>
      </c>
      <c r="G40" s="2"/>
      <c r="H40" s="6">
        <v>0</v>
      </c>
      <c r="I40" s="2"/>
      <c r="J40" s="7">
        <f t="shared" si="9"/>
        <v>0</v>
      </c>
      <c r="K40" s="2"/>
      <c r="L40" s="6">
        <f t="shared" si="10"/>
        <v>0</v>
      </c>
      <c r="M40" s="2"/>
      <c r="N40" s="7">
        <f t="shared" si="11"/>
        <v>0</v>
      </c>
      <c r="O40" s="11"/>
      <c r="P40" s="6"/>
      <c r="Q40" s="2"/>
      <c r="R40" s="7">
        <f t="shared" si="12"/>
        <v>0</v>
      </c>
      <c r="S40" s="2"/>
      <c r="T40" s="6">
        <v>0</v>
      </c>
      <c r="U40" s="2"/>
      <c r="V40" s="7">
        <f t="shared" si="13"/>
        <v>0</v>
      </c>
      <c r="W40" s="2"/>
      <c r="X40" s="6">
        <f t="shared" si="14"/>
        <v>0</v>
      </c>
      <c r="Y40" s="2"/>
      <c r="Z40" s="7">
        <f t="shared" si="15"/>
        <v>0</v>
      </c>
    </row>
    <row r="41" spans="1:26" s="29" customFormat="1" outlineLevel="1" collapsed="1" x14ac:dyDescent="0.3">
      <c r="A41" s="28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255.5</v>
      </c>
      <c r="E41" s="1"/>
      <c r="F41" s="5">
        <f t="shared" ref="F41:F56" si="16">IF(D$12=0,0,D41/D$12)</f>
        <v>0</v>
      </c>
      <c r="G41" s="1"/>
      <c r="H41" s="1">
        <f>SUM(OSRRefH22_2x_0)</f>
        <v>150</v>
      </c>
      <c r="I41" s="1"/>
      <c r="J41" s="5">
        <f t="shared" ref="J41:J56" si="17">IF(H$12=0,0,H41/H$12)</f>
        <v>0</v>
      </c>
      <c r="K41" s="1"/>
      <c r="L41" s="1">
        <f t="shared" ref="L41:L56" si="18">+D41-H41</f>
        <v>105.5</v>
      </c>
      <c r="M41" s="1"/>
      <c r="N41" s="5">
        <f t="shared" ref="N41:N56" si="19">IF(H41=0,0,L41/H41)</f>
        <v>0.70333333333333337</v>
      </c>
      <c r="O41" s="14"/>
      <c r="P41" s="1">
        <f>SUM(OSRRefP22_2x_0)</f>
        <v>343.26</v>
      </c>
      <c r="Q41" s="1"/>
      <c r="R41" s="5">
        <f t="shared" ref="R41:R56" si="20">IF(P$12=0,0,P41/P$12)</f>
        <v>0</v>
      </c>
      <c r="S41" s="1"/>
      <c r="T41" s="1">
        <f>SUM(OSRRefT22_2x_0)</f>
        <v>750</v>
      </c>
      <c r="U41" s="1"/>
      <c r="V41" s="5">
        <f t="shared" ref="V41:V56" si="21">IF(T$12=0,0,T41/T$12)</f>
        <v>0</v>
      </c>
      <c r="W41" s="1"/>
      <c r="X41" s="1">
        <f t="shared" ref="X41:X56" si="22">+P41-T41</f>
        <v>-406.74</v>
      </c>
      <c r="Y41" s="1"/>
      <c r="Z41" s="5">
        <f t="shared" ref="Z41:Z56" si="23">IF(T41=0,0,X41/T41)</f>
        <v>-0.54232000000000002</v>
      </c>
    </row>
    <row r="42" spans="1:26" s="24" customFormat="1" hidden="1" outlineLevel="2" x14ac:dyDescent="0.3">
      <c r="A42" s="27"/>
      <c r="B42" s="11" t="str">
        <f>CONCATENATE("          ", "6362", " - ", "ADVERTISING EXPENSE")</f>
        <v xml:space="preserve">          6362 - ADVERTISING EXPENSE</v>
      </c>
      <c r="C42" s="11"/>
      <c r="D42" s="6">
        <v>255.5</v>
      </c>
      <c r="E42" s="2"/>
      <c r="F42" s="7">
        <f t="shared" si="16"/>
        <v>0</v>
      </c>
      <c r="G42" s="2"/>
      <c r="H42" s="6">
        <v>150</v>
      </c>
      <c r="I42" s="2"/>
      <c r="J42" s="7">
        <f t="shared" si="17"/>
        <v>0</v>
      </c>
      <c r="K42" s="2"/>
      <c r="L42" s="6">
        <f t="shared" si="18"/>
        <v>105.5</v>
      </c>
      <c r="M42" s="2"/>
      <c r="N42" s="7">
        <f t="shared" si="19"/>
        <v>0.70333333333333337</v>
      </c>
      <c r="O42" s="11"/>
      <c r="P42" s="6">
        <v>343.26</v>
      </c>
      <c r="Q42" s="2"/>
      <c r="R42" s="7">
        <f t="shared" si="20"/>
        <v>0</v>
      </c>
      <c r="S42" s="2"/>
      <c r="T42" s="6">
        <v>750</v>
      </c>
      <c r="U42" s="2"/>
      <c r="V42" s="7">
        <f t="shared" si="21"/>
        <v>0</v>
      </c>
      <c r="W42" s="2"/>
      <c r="X42" s="6">
        <f t="shared" si="22"/>
        <v>-406.74</v>
      </c>
      <c r="Y42" s="2"/>
      <c r="Z42" s="7">
        <f t="shared" si="23"/>
        <v>-0.54232000000000002</v>
      </c>
    </row>
    <row r="43" spans="1:26" s="29" customFormat="1" outlineLevel="1" collapsed="1" x14ac:dyDescent="0.3">
      <c r="A43" s="28"/>
      <c r="B43" s="14" t="str">
        <f>CONCATENATE("     ","Employees' Appreciation                           ")</f>
        <v xml:space="preserve">     Employees' Appreciation                           </v>
      </c>
      <c r="C43" s="14"/>
      <c r="D43" s="1">
        <f>SUM(OSRRefD22_3x_0)</f>
        <v>0</v>
      </c>
      <c r="E43" s="1"/>
      <c r="F43" s="5">
        <f t="shared" si="16"/>
        <v>0</v>
      </c>
      <c r="G43" s="1"/>
      <c r="H43" s="1">
        <f>SUM(OSRRefH22_3x_0)</f>
        <v>250</v>
      </c>
      <c r="I43" s="1"/>
      <c r="J43" s="5">
        <f t="shared" si="17"/>
        <v>0</v>
      </c>
      <c r="K43" s="1"/>
      <c r="L43" s="1">
        <f t="shared" si="18"/>
        <v>-250</v>
      </c>
      <c r="M43" s="1"/>
      <c r="N43" s="5">
        <f t="shared" si="19"/>
        <v>-1</v>
      </c>
      <c r="O43" s="14"/>
      <c r="P43" s="1">
        <f>SUM(OSRRefP22_3x_0)</f>
        <v>0</v>
      </c>
      <c r="Q43" s="1"/>
      <c r="R43" s="5">
        <f t="shared" si="20"/>
        <v>0</v>
      </c>
      <c r="S43" s="1"/>
      <c r="T43" s="1">
        <f>SUM(OSRRefT22_3x_0)</f>
        <v>1250</v>
      </c>
      <c r="U43" s="1"/>
      <c r="V43" s="5">
        <f t="shared" si="21"/>
        <v>0</v>
      </c>
      <c r="W43" s="1"/>
      <c r="X43" s="1">
        <f t="shared" si="22"/>
        <v>-1250</v>
      </c>
      <c r="Y43" s="1"/>
      <c r="Z43" s="5">
        <f t="shared" si="23"/>
        <v>-1</v>
      </c>
    </row>
    <row r="44" spans="1:26" s="24" customFormat="1" hidden="1" outlineLevel="2" x14ac:dyDescent="0.3">
      <c r="A44" s="27"/>
      <c r="B44" s="11" t="str">
        <f>CONCATENATE("          ", "6277", " - ", "EMPLOYEE APPRECIATION")</f>
        <v xml:space="preserve">          6277 - EMPLOYEE APPRECIATION</v>
      </c>
      <c r="C44" s="11"/>
      <c r="D44" s="6"/>
      <c r="E44" s="2"/>
      <c r="F44" s="7">
        <f t="shared" si="16"/>
        <v>0</v>
      </c>
      <c r="G44" s="2"/>
      <c r="H44" s="6">
        <v>250</v>
      </c>
      <c r="I44" s="2"/>
      <c r="J44" s="7">
        <f t="shared" si="17"/>
        <v>0</v>
      </c>
      <c r="K44" s="2"/>
      <c r="L44" s="6">
        <f t="shared" si="18"/>
        <v>-250</v>
      </c>
      <c r="M44" s="2"/>
      <c r="N44" s="7">
        <f t="shared" si="19"/>
        <v>-1</v>
      </c>
      <c r="O44" s="11"/>
      <c r="P44" s="6"/>
      <c r="Q44" s="2"/>
      <c r="R44" s="7">
        <f t="shared" si="20"/>
        <v>0</v>
      </c>
      <c r="S44" s="2"/>
      <c r="T44" s="6">
        <v>1250</v>
      </c>
      <c r="U44" s="2"/>
      <c r="V44" s="7">
        <f t="shared" si="21"/>
        <v>0</v>
      </c>
      <c r="W44" s="2"/>
      <c r="X44" s="6">
        <f t="shared" si="22"/>
        <v>-1250</v>
      </c>
      <c r="Y44" s="2"/>
      <c r="Z44" s="7">
        <f t="shared" si="23"/>
        <v>-1</v>
      </c>
    </row>
    <row r="45" spans="1:26" s="29" customFormat="1" outlineLevel="1" collapsed="1" x14ac:dyDescent="0.3">
      <c r="A45" s="28"/>
      <c r="B45" s="14" t="str">
        <f>CONCATENATE("     ","Equipment Rental                                  ")</f>
        <v xml:space="preserve">     Equipment Rental                                  </v>
      </c>
      <c r="C45" s="14"/>
      <c r="D45" s="1">
        <f>SUM(OSRRefD22_4x_0)</f>
        <v>0</v>
      </c>
      <c r="E45" s="1"/>
      <c r="F45" s="5">
        <f t="shared" si="16"/>
        <v>0</v>
      </c>
      <c r="G45" s="1"/>
      <c r="H45" s="1">
        <f>SUM(OSRRefH22_4x_0)</f>
        <v>75</v>
      </c>
      <c r="I45" s="1"/>
      <c r="J45" s="5">
        <f t="shared" si="17"/>
        <v>0</v>
      </c>
      <c r="K45" s="1"/>
      <c r="L45" s="1">
        <f t="shared" si="18"/>
        <v>-75</v>
      </c>
      <c r="M45" s="1"/>
      <c r="N45" s="5">
        <f t="shared" si="19"/>
        <v>-1</v>
      </c>
      <c r="O45" s="14"/>
      <c r="P45" s="1">
        <f>SUM(OSRRefP22_4x_0)</f>
        <v>0</v>
      </c>
      <c r="Q45" s="1"/>
      <c r="R45" s="5">
        <f t="shared" si="20"/>
        <v>0</v>
      </c>
      <c r="S45" s="1"/>
      <c r="T45" s="1">
        <f>SUM(OSRRefT22_4x_0)</f>
        <v>375</v>
      </c>
      <c r="U45" s="1"/>
      <c r="V45" s="5">
        <f t="shared" si="21"/>
        <v>0</v>
      </c>
      <c r="W45" s="1"/>
      <c r="X45" s="1">
        <f t="shared" si="22"/>
        <v>-375</v>
      </c>
      <c r="Y45" s="1"/>
      <c r="Z45" s="5">
        <f t="shared" si="23"/>
        <v>-1</v>
      </c>
    </row>
    <row r="46" spans="1:26" s="24" customFormat="1" hidden="1" outlineLevel="2" x14ac:dyDescent="0.3">
      <c r="A46" s="27"/>
      <c r="B46" s="11" t="str">
        <f>CONCATENATE("          ", "6351", " - ", "EQUIPMENT RENTAL")</f>
        <v xml:space="preserve">          6351 - EQUIPMENT RENTAL</v>
      </c>
      <c r="C46" s="11"/>
      <c r="D46" s="6"/>
      <c r="E46" s="2"/>
      <c r="F46" s="7">
        <f t="shared" si="16"/>
        <v>0</v>
      </c>
      <c r="G46" s="2"/>
      <c r="H46" s="6">
        <v>75</v>
      </c>
      <c r="I46" s="2"/>
      <c r="J46" s="7">
        <f t="shared" si="17"/>
        <v>0</v>
      </c>
      <c r="K46" s="2"/>
      <c r="L46" s="6">
        <f t="shared" si="18"/>
        <v>-75</v>
      </c>
      <c r="M46" s="2"/>
      <c r="N46" s="7">
        <f t="shared" si="19"/>
        <v>-1</v>
      </c>
      <c r="O46" s="11"/>
      <c r="P46" s="6"/>
      <c r="Q46" s="2"/>
      <c r="R46" s="7">
        <f t="shared" si="20"/>
        <v>0</v>
      </c>
      <c r="S46" s="2"/>
      <c r="T46" s="6">
        <v>375</v>
      </c>
      <c r="U46" s="2"/>
      <c r="V46" s="7">
        <f t="shared" si="21"/>
        <v>0</v>
      </c>
      <c r="W46" s="2"/>
      <c r="X46" s="6">
        <f t="shared" si="22"/>
        <v>-375</v>
      </c>
      <c r="Y46" s="2"/>
      <c r="Z46" s="7">
        <f t="shared" si="23"/>
        <v>-1</v>
      </c>
    </row>
    <row r="47" spans="1:26" s="29" customFormat="1" outlineLevel="1" collapsed="1" x14ac:dyDescent="0.3">
      <c r="A47" s="28"/>
      <c r="B47" s="14" t="str">
        <f>CONCATENATE("     ","Freight out/Postage                               ")</f>
        <v xml:space="preserve">     Freight out/Postage                               </v>
      </c>
      <c r="C47" s="14"/>
      <c r="D47" s="1">
        <f>SUM(OSRRefD22_5x_0)</f>
        <v>1.06</v>
      </c>
      <c r="E47" s="1"/>
      <c r="F47" s="5">
        <f t="shared" si="16"/>
        <v>0</v>
      </c>
      <c r="G47" s="1"/>
      <c r="H47" s="1">
        <f>SUM(OSRRefH22_5x_0)</f>
        <v>85</v>
      </c>
      <c r="I47" s="1"/>
      <c r="J47" s="5">
        <f t="shared" si="17"/>
        <v>0</v>
      </c>
      <c r="K47" s="1"/>
      <c r="L47" s="1">
        <f t="shared" si="18"/>
        <v>-83.94</v>
      </c>
      <c r="M47" s="1"/>
      <c r="N47" s="5">
        <f t="shared" si="19"/>
        <v>-0.98752941176470588</v>
      </c>
      <c r="O47" s="14"/>
      <c r="P47" s="1">
        <f>SUM(OSRRefP22_5x_0)</f>
        <v>170.78</v>
      </c>
      <c r="Q47" s="1"/>
      <c r="R47" s="5">
        <f t="shared" si="20"/>
        <v>0</v>
      </c>
      <c r="S47" s="1"/>
      <c r="T47" s="1">
        <f>SUM(OSRRefT22_5x_0)</f>
        <v>85</v>
      </c>
      <c r="U47" s="1"/>
      <c r="V47" s="5">
        <f t="shared" si="21"/>
        <v>0</v>
      </c>
      <c r="W47" s="1"/>
      <c r="X47" s="1">
        <f t="shared" si="22"/>
        <v>85.78</v>
      </c>
      <c r="Y47" s="1"/>
      <c r="Z47" s="5">
        <f t="shared" si="23"/>
        <v>1.0091764705882353</v>
      </c>
    </row>
    <row r="48" spans="1:26" s="24" customFormat="1" hidden="1" outlineLevel="2" x14ac:dyDescent="0.3">
      <c r="A48" s="27"/>
      <c r="B48" s="11" t="str">
        <f>CONCATENATE("          ", "6307", " - ", "POSTAGE")</f>
        <v xml:space="preserve">          6307 - POSTAGE</v>
      </c>
      <c r="C48" s="11"/>
      <c r="D48" s="6">
        <v>1.06</v>
      </c>
      <c r="E48" s="2"/>
      <c r="F48" s="7">
        <f t="shared" si="16"/>
        <v>0</v>
      </c>
      <c r="G48" s="2"/>
      <c r="H48" s="6">
        <v>85</v>
      </c>
      <c r="I48" s="2"/>
      <c r="J48" s="7">
        <f t="shared" si="17"/>
        <v>0</v>
      </c>
      <c r="K48" s="2"/>
      <c r="L48" s="6">
        <f t="shared" si="18"/>
        <v>-83.94</v>
      </c>
      <c r="M48" s="2"/>
      <c r="N48" s="7">
        <f t="shared" si="19"/>
        <v>-0.98752941176470588</v>
      </c>
      <c r="O48" s="11"/>
      <c r="P48" s="6">
        <v>170.78</v>
      </c>
      <c r="Q48" s="2"/>
      <c r="R48" s="7">
        <f t="shared" si="20"/>
        <v>0</v>
      </c>
      <c r="S48" s="2"/>
      <c r="T48" s="6">
        <v>85</v>
      </c>
      <c r="U48" s="2"/>
      <c r="V48" s="7">
        <f t="shared" si="21"/>
        <v>0</v>
      </c>
      <c r="W48" s="2"/>
      <c r="X48" s="6">
        <f t="shared" si="22"/>
        <v>85.78</v>
      </c>
      <c r="Y48" s="2"/>
      <c r="Z48" s="7">
        <f t="shared" si="23"/>
        <v>1.0091764705882353</v>
      </c>
    </row>
    <row r="49" spans="1:26" s="29" customFormat="1" outlineLevel="1" collapsed="1" x14ac:dyDescent="0.3">
      <c r="A49" s="28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SUM(OSRRefD22_6x_0)</f>
        <v>182</v>
      </c>
      <c r="E49" s="1"/>
      <c r="F49" s="5">
        <f t="shared" si="16"/>
        <v>0</v>
      </c>
      <c r="G49" s="1"/>
      <c r="H49" s="1">
        <f>SUM(OSRRefH22_6x_0)</f>
        <v>0</v>
      </c>
      <c r="I49" s="1"/>
      <c r="J49" s="5">
        <f t="shared" si="17"/>
        <v>0</v>
      </c>
      <c r="K49" s="1"/>
      <c r="L49" s="1">
        <f t="shared" si="18"/>
        <v>182</v>
      </c>
      <c r="M49" s="1"/>
      <c r="N49" s="5">
        <f t="shared" si="19"/>
        <v>0</v>
      </c>
      <c r="O49" s="14"/>
      <c r="P49" s="1">
        <f>SUM(OSRRefP22_6x_0)</f>
        <v>2490.75</v>
      </c>
      <c r="Q49" s="1"/>
      <c r="R49" s="5">
        <f t="shared" si="20"/>
        <v>0</v>
      </c>
      <c r="S49" s="1"/>
      <c r="T49" s="1">
        <f>SUM(OSRRefT22_6x_0)</f>
        <v>0</v>
      </c>
      <c r="U49" s="1"/>
      <c r="V49" s="5">
        <f t="shared" si="21"/>
        <v>0</v>
      </c>
      <c r="W49" s="1"/>
      <c r="X49" s="1">
        <f t="shared" si="22"/>
        <v>2490.75</v>
      </c>
      <c r="Y49" s="1"/>
      <c r="Z49" s="5">
        <f t="shared" si="23"/>
        <v>0</v>
      </c>
    </row>
    <row r="50" spans="1:26" s="24" customFormat="1" hidden="1" outlineLevel="2" x14ac:dyDescent="0.3">
      <c r="A50" s="27"/>
      <c r="B50" s="11" t="str">
        <f>CONCATENATE("          ", "6279", " - ", "GENERAL EXPENSE")</f>
        <v xml:space="preserve">          6279 - GENERAL EXPENSE</v>
      </c>
      <c r="C50" s="11"/>
      <c r="D50" s="6">
        <v>182</v>
      </c>
      <c r="E50" s="2"/>
      <c r="F50" s="7">
        <f t="shared" si="16"/>
        <v>0</v>
      </c>
      <c r="G50" s="2"/>
      <c r="H50" s="6"/>
      <c r="I50" s="2"/>
      <c r="J50" s="7">
        <f t="shared" si="17"/>
        <v>0</v>
      </c>
      <c r="K50" s="2"/>
      <c r="L50" s="6">
        <f t="shared" si="18"/>
        <v>182</v>
      </c>
      <c r="M50" s="2"/>
      <c r="N50" s="7">
        <f t="shared" si="19"/>
        <v>0</v>
      </c>
      <c r="O50" s="11"/>
      <c r="P50" s="6">
        <v>2490.75</v>
      </c>
      <c r="Q50" s="2"/>
      <c r="R50" s="7">
        <f t="shared" si="20"/>
        <v>0</v>
      </c>
      <c r="S50" s="2"/>
      <c r="T50" s="6"/>
      <c r="U50" s="2"/>
      <c r="V50" s="7">
        <f t="shared" si="21"/>
        <v>0</v>
      </c>
      <c r="W50" s="2"/>
      <c r="X50" s="6">
        <f t="shared" si="22"/>
        <v>2490.75</v>
      </c>
      <c r="Y50" s="2"/>
      <c r="Z50" s="7">
        <f t="shared" si="23"/>
        <v>0</v>
      </c>
    </row>
    <row r="51" spans="1:26" s="29" customFormat="1" outlineLevel="1" collapsed="1" x14ac:dyDescent="0.3">
      <c r="A51" s="28"/>
      <c r="B51" s="14" t="str">
        <f>CONCATENATE("     ","Insurance                                         ")</f>
        <v xml:space="preserve">     Insurance                                         </v>
      </c>
      <c r="C51" s="14"/>
      <c r="D51" s="1">
        <f>SUM(OSRRefD22_7x_0)</f>
        <v>88.99</v>
      </c>
      <c r="E51" s="1"/>
      <c r="F51" s="5">
        <f t="shared" si="16"/>
        <v>0</v>
      </c>
      <c r="G51" s="1"/>
      <c r="H51" s="1">
        <f>SUM(OSRRefH22_7x_0)</f>
        <v>90</v>
      </c>
      <c r="I51" s="1"/>
      <c r="J51" s="5">
        <f t="shared" si="17"/>
        <v>0</v>
      </c>
      <c r="K51" s="1"/>
      <c r="L51" s="1">
        <f t="shared" si="18"/>
        <v>-1.0100000000000051</v>
      </c>
      <c r="M51" s="1"/>
      <c r="N51" s="5">
        <f t="shared" si="19"/>
        <v>-1.1222222222222279E-2</v>
      </c>
      <c r="O51" s="14"/>
      <c r="P51" s="1">
        <f>SUM(OSRRefP22_7x_0)</f>
        <v>444.95</v>
      </c>
      <c r="Q51" s="1"/>
      <c r="R51" s="5">
        <f t="shared" si="20"/>
        <v>0</v>
      </c>
      <c r="S51" s="1"/>
      <c r="T51" s="1">
        <f>SUM(OSRRefT22_7x_0)</f>
        <v>450</v>
      </c>
      <c r="U51" s="1"/>
      <c r="V51" s="5">
        <f t="shared" si="21"/>
        <v>0</v>
      </c>
      <c r="W51" s="1"/>
      <c r="X51" s="1">
        <f t="shared" si="22"/>
        <v>-5.0500000000000114</v>
      </c>
      <c r="Y51" s="1"/>
      <c r="Z51" s="5">
        <f t="shared" si="23"/>
        <v>-1.1222222222222248E-2</v>
      </c>
    </row>
    <row r="52" spans="1:26" s="24" customFormat="1" hidden="1" outlineLevel="2" x14ac:dyDescent="0.3">
      <c r="A52" s="27"/>
      <c r="B52" s="11" t="str">
        <f>CONCATENATE("          ", "6314", " - ", "LIABILITY INSURANCE")</f>
        <v xml:space="preserve">          6314 - LIABILITY INSURANCE</v>
      </c>
      <c r="C52" s="11"/>
      <c r="D52" s="6">
        <v>88.99</v>
      </c>
      <c r="E52" s="2"/>
      <c r="F52" s="7">
        <f t="shared" si="16"/>
        <v>0</v>
      </c>
      <c r="G52" s="2"/>
      <c r="H52" s="6">
        <v>90</v>
      </c>
      <c r="I52" s="2"/>
      <c r="J52" s="7">
        <f t="shared" si="17"/>
        <v>0</v>
      </c>
      <c r="K52" s="2"/>
      <c r="L52" s="6">
        <f t="shared" si="18"/>
        <v>-1.0100000000000051</v>
      </c>
      <c r="M52" s="2"/>
      <c r="N52" s="7">
        <f t="shared" si="19"/>
        <v>-1.1222222222222279E-2</v>
      </c>
      <c r="O52" s="11"/>
      <c r="P52" s="6">
        <v>444.95</v>
      </c>
      <c r="Q52" s="2"/>
      <c r="R52" s="7">
        <f t="shared" si="20"/>
        <v>0</v>
      </c>
      <c r="S52" s="2"/>
      <c r="T52" s="6">
        <v>450</v>
      </c>
      <c r="U52" s="2"/>
      <c r="V52" s="7">
        <f t="shared" si="21"/>
        <v>0</v>
      </c>
      <c r="W52" s="2"/>
      <c r="X52" s="6">
        <f t="shared" si="22"/>
        <v>-5.0500000000000114</v>
      </c>
      <c r="Y52" s="2"/>
      <c r="Z52" s="7">
        <f t="shared" si="23"/>
        <v>-1.1222222222222248E-2</v>
      </c>
    </row>
    <row r="53" spans="1:26" s="29" customFormat="1" outlineLevel="1" collapsed="1" x14ac:dyDescent="0.3">
      <c r="A53" s="28"/>
      <c r="B53" s="14" t="str">
        <f>CONCATENATE("     ","Professional Services                             ")</f>
        <v xml:space="preserve">     Professional Services                             </v>
      </c>
      <c r="C53" s="14"/>
      <c r="D53" s="1">
        <f>SUM(OSRRefD22_8x_0)</f>
        <v>0</v>
      </c>
      <c r="E53" s="1"/>
      <c r="F53" s="5">
        <f t="shared" si="16"/>
        <v>0</v>
      </c>
      <c r="G53" s="1"/>
      <c r="H53" s="1">
        <f>SUM(OSRRefH22_8x_0)</f>
        <v>1666</v>
      </c>
      <c r="I53" s="1"/>
      <c r="J53" s="5">
        <f t="shared" si="17"/>
        <v>0</v>
      </c>
      <c r="K53" s="1"/>
      <c r="L53" s="1">
        <f t="shared" si="18"/>
        <v>-1666</v>
      </c>
      <c r="M53" s="1"/>
      <c r="N53" s="5">
        <f t="shared" si="19"/>
        <v>-1</v>
      </c>
      <c r="O53" s="14"/>
      <c r="P53" s="1">
        <f>SUM(OSRRefP22_8x_0)</f>
        <v>9614.369999999999</v>
      </c>
      <c r="Q53" s="1"/>
      <c r="R53" s="5">
        <f t="shared" si="20"/>
        <v>0</v>
      </c>
      <c r="S53" s="1"/>
      <c r="T53" s="1">
        <f>SUM(OSRRefT22_8x_0)</f>
        <v>8330</v>
      </c>
      <c r="U53" s="1"/>
      <c r="V53" s="5">
        <f t="shared" si="21"/>
        <v>0</v>
      </c>
      <c r="W53" s="1"/>
      <c r="X53" s="1">
        <f t="shared" si="22"/>
        <v>1284.369999999999</v>
      </c>
      <c r="Y53" s="1"/>
      <c r="Z53" s="5">
        <f t="shared" si="23"/>
        <v>0.15418607442977178</v>
      </c>
    </row>
    <row r="54" spans="1:26" s="24" customFormat="1" hidden="1" outlineLevel="2" x14ac:dyDescent="0.3">
      <c r="A54" s="27"/>
      <c r="B54" s="11" t="str">
        <f>CONCATENATE("          ", "6332", " - ", "CONSULTANT FEES")</f>
        <v xml:space="preserve">          6332 - CONSULTANT FEES</v>
      </c>
      <c r="C54" s="11"/>
      <c r="D54" s="6"/>
      <c r="E54" s="2"/>
      <c r="F54" s="7">
        <f t="shared" si="16"/>
        <v>0</v>
      </c>
      <c r="G54" s="2"/>
      <c r="H54" s="6">
        <v>0</v>
      </c>
      <c r="I54" s="2"/>
      <c r="J54" s="7">
        <f t="shared" si="17"/>
        <v>0</v>
      </c>
      <c r="K54" s="2"/>
      <c r="L54" s="6">
        <f t="shared" si="18"/>
        <v>0</v>
      </c>
      <c r="M54" s="2"/>
      <c r="N54" s="7">
        <f t="shared" si="19"/>
        <v>0</v>
      </c>
      <c r="O54" s="11"/>
      <c r="P54" s="6"/>
      <c r="Q54" s="2"/>
      <c r="R54" s="7">
        <f t="shared" si="20"/>
        <v>0</v>
      </c>
      <c r="S54" s="2"/>
      <c r="T54" s="6">
        <v>0</v>
      </c>
      <c r="U54" s="2"/>
      <c r="V54" s="7">
        <f t="shared" si="21"/>
        <v>0</v>
      </c>
      <c r="W54" s="2"/>
      <c r="X54" s="6">
        <f t="shared" si="22"/>
        <v>0</v>
      </c>
      <c r="Y54" s="2"/>
      <c r="Z54" s="7">
        <f t="shared" si="23"/>
        <v>0</v>
      </c>
    </row>
    <row r="55" spans="1:26" s="24" customFormat="1" hidden="1" outlineLevel="2" x14ac:dyDescent="0.3">
      <c r="A55" s="27"/>
      <c r="B55" s="11" t="str">
        <f>CONCATENATE("          ", "6334", " - ", "LEGAL COUNCIL EXPENSE")</f>
        <v xml:space="preserve">          6334 - LEGAL COUNCIL EXPENSE</v>
      </c>
      <c r="C55" s="11"/>
      <c r="D55" s="6"/>
      <c r="E55" s="2"/>
      <c r="F55" s="7">
        <f t="shared" si="16"/>
        <v>0</v>
      </c>
      <c r="G55" s="2"/>
      <c r="H55" s="6">
        <v>833</v>
      </c>
      <c r="I55" s="2"/>
      <c r="J55" s="7">
        <f t="shared" si="17"/>
        <v>0</v>
      </c>
      <c r="K55" s="2"/>
      <c r="L55" s="6">
        <f t="shared" si="18"/>
        <v>-833</v>
      </c>
      <c r="M55" s="2"/>
      <c r="N55" s="7">
        <f t="shared" si="19"/>
        <v>-1</v>
      </c>
      <c r="O55" s="11"/>
      <c r="P55" s="6">
        <v>3255</v>
      </c>
      <c r="Q55" s="2"/>
      <c r="R55" s="7">
        <f t="shared" si="20"/>
        <v>0</v>
      </c>
      <c r="S55" s="2"/>
      <c r="T55" s="6">
        <v>4165</v>
      </c>
      <c r="U55" s="2"/>
      <c r="V55" s="7">
        <f t="shared" si="21"/>
        <v>0</v>
      </c>
      <c r="W55" s="2"/>
      <c r="X55" s="6">
        <f t="shared" si="22"/>
        <v>-910</v>
      </c>
      <c r="Y55" s="2"/>
      <c r="Z55" s="7">
        <f t="shared" si="23"/>
        <v>-0.21848739495798319</v>
      </c>
    </row>
    <row r="56" spans="1:26" s="24" customFormat="1" hidden="1" outlineLevel="2" x14ac:dyDescent="0.3">
      <c r="A56" s="27"/>
      <c r="B56" s="11" t="str">
        <f>CONCATENATE("          ", "6336", " - ", "PROFESSIONAL SERVICES")</f>
        <v xml:space="preserve">          6336 - PROFESSIONAL SERVICES</v>
      </c>
      <c r="C56" s="11"/>
      <c r="D56" s="6"/>
      <c r="E56" s="2"/>
      <c r="F56" s="7">
        <f t="shared" si="16"/>
        <v>0</v>
      </c>
      <c r="G56" s="2"/>
      <c r="H56" s="6">
        <v>833</v>
      </c>
      <c r="I56" s="2"/>
      <c r="J56" s="7">
        <f t="shared" si="17"/>
        <v>0</v>
      </c>
      <c r="K56" s="2"/>
      <c r="L56" s="6">
        <f t="shared" si="18"/>
        <v>-833</v>
      </c>
      <c r="M56" s="2"/>
      <c r="N56" s="7">
        <f t="shared" si="19"/>
        <v>-1</v>
      </c>
      <c r="O56" s="11"/>
      <c r="P56" s="6">
        <v>6359.37</v>
      </c>
      <c r="Q56" s="2"/>
      <c r="R56" s="7">
        <f t="shared" si="20"/>
        <v>0</v>
      </c>
      <c r="S56" s="2"/>
      <c r="T56" s="6">
        <v>4165</v>
      </c>
      <c r="U56" s="2"/>
      <c r="V56" s="7">
        <f t="shared" si="21"/>
        <v>0</v>
      </c>
      <c r="W56" s="2"/>
      <c r="X56" s="6">
        <f t="shared" si="22"/>
        <v>2194.37</v>
      </c>
      <c r="Y56" s="2"/>
      <c r="Z56" s="7">
        <f t="shared" si="23"/>
        <v>0.52685954381752698</v>
      </c>
    </row>
    <row r="57" spans="1:26" s="29" customFormat="1" outlineLevel="1" collapsed="1" x14ac:dyDescent="0.3">
      <c r="A57" s="28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SUM(OSRRefD22_9x_0)</f>
        <v>6605.92</v>
      </c>
      <c r="E57" s="1"/>
      <c r="F57" s="5">
        <f t="shared" ref="F57:F59" si="24">IF(D$12=0,0,D57/D$12)</f>
        <v>0</v>
      </c>
      <c r="G57" s="1"/>
      <c r="H57" s="1">
        <f>SUM(OSRRefH22_9x_0)</f>
        <v>7000</v>
      </c>
      <c r="I57" s="1"/>
      <c r="J57" s="5">
        <f t="shared" ref="J57:J59" si="25">IF(H$12=0,0,H57/H$12)</f>
        <v>0</v>
      </c>
      <c r="K57" s="1"/>
      <c r="L57" s="1">
        <f t="shared" ref="L57:L59" si="26">+D57-H57</f>
        <v>-394.07999999999993</v>
      </c>
      <c r="M57" s="1"/>
      <c r="N57" s="5">
        <f t="shared" ref="N57:N59" si="27">IF(H57=0,0,L57/H57)</f>
        <v>-5.6297142857142844E-2</v>
      </c>
      <c r="O57" s="14"/>
      <c r="P57" s="1">
        <f>SUM(OSRRefP22_9x_0)</f>
        <v>26362</v>
      </c>
      <c r="Q57" s="1"/>
      <c r="R57" s="5">
        <f t="shared" ref="R57:R59" si="28">IF(P$12=0,0,P57/P$12)</f>
        <v>0</v>
      </c>
      <c r="S57" s="1"/>
      <c r="T57" s="1">
        <f>SUM(OSRRefT22_9x_0)</f>
        <v>35000</v>
      </c>
      <c r="U57" s="1"/>
      <c r="V57" s="5">
        <f t="shared" ref="V57:V59" si="29">IF(T$12=0,0,T57/T$12)</f>
        <v>0</v>
      </c>
      <c r="W57" s="1"/>
      <c r="X57" s="1">
        <f t="shared" ref="X57:X59" si="30">+P57-T57</f>
        <v>-8638</v>
      </c>
      <c r="Y57" s="1"/>
      <c r="Z57" s="5">
        <f t="shared" ref="Z57:Z59" si="31">IF(T57=0,0,X57/T57)</f>
        <v>-0.24679999999999999</v>
      </c>
    </row>
    <row r="58" spans="1:26" s="24" customFormat="1" hidden="1" outlineLevel="2" x14ac:dyDescent="0.3">
      <c r="A58" s="27"/>
      <c r="B58" s="11" t="str">
        <f>CONCATENATE("          ", "6371", " - ", "COMPUTER SOFTWARE MAINTENANCE")</f>
        <v xml:space="preserve">          6371 - COMPUTER SOFTWARE MAINTENANCE</v>
      </c>
      <c r="C58" s="11"/>
      <c r="D58" s="6">
        <v>6406.17</v>
      </c>
      <c r="E58" s="2"/>
      <c r="F58" s="7">
        <f t="shared" si="24"/>
        <v>0</v>
      </c>
      <c r="G58" s="2"/>
      <c r="H58" s="6">
        <v>7000</v>
      </c>
      <c r="I58" s="2"/>
      <c r="J58" s="7">
        <f t="shared" si="25"/>
        <v>0</v>
      </c>
      <c r="K58" s="2"/>
      <c r="L58" s="6">
        <f t="shared" si="26"/>
        <v>-593.82999999999993</v>
      </c>
      <c r="M58" s="2"/>
      <c r="N58" s="7">
        <f t="shared" si="27"/>
        <v>-8.4832857142857127E-2</v>
      </c>
      <c r="O58" s="11"/>
      <c r="P58" s="6">
        <v>26063.66</v>
      </c>
      <c r="Q58" s="2"/>
      <c r="R58" s="7">
        <f t="shared" si="28"/>
        <v>0</v>
      </c>
      <c r="S58" s="2"/>
      <c r="T58" s="6">
        <v>35000</v>
      </c>
      <c r="U58" s="2"/>
      <c r="V58" s="7">
        <f t="shared" si="29"/>
        <v>0</v>
      </c>
      <c r="W58" s="2"/>
      <c r="X58" s="6">
        <f t="shared" si="30"/>
        <v>-8936.34</v>
      </c>
      <c r="Y58" s="2"/>
      <c r="Z58" s="7">
        <f t="shared" si="31"/>
        <v>-0.255324</v>
      </c>
    </row>
    <row r="59" spans="1:26" s="24" customFormat="1" hidden="1" outlineLevel="2" x14ac:dyDescent="0.3">
      <c r="A59" s="27"/>
      <c r="B59" s="11" t="str">
        <f>CONCATENATE("          ", "6373", " - ", "MAINTENANCE CONTRACTS")</f>
        <v xml:space="preserve">          6373 - MAINTENANCE CONTRACTS</v>
      </c>
      <c r="C59" s="11"/>
      <c r="D59" s="6">
        <v>199.75</v>
      </c>
      <c r="E59" s="2"/>
      <c r="F59" s="7">
        <f t="shared" si="24"/>
        <v>0</v>
      </c>
      <c r="G59" s="2"/>
      <c r="H59" s="6"/>
      <c r="I59" s="2"/>
      <c r="J59" s="7">
        <f t="shared" si="25"/>
        <v>0</v>
      </c>
      <c r="K59" s="2"/>
      <c r="L59" s="6">
        <f t="shared" si="26"/>
        <v>199.75</v>
      </c>
      <c r="M59" s="2"/>
      <c r="N59" s="7">
        <f t="shared" si="27"/>
        <v>0</v>
      </c>
      <c r="O59" s="11"/>
      <c r="P59" s="6">
        <v>298.33999999999997</v>
      </c>
      <c r="Q59" s="2"/>
      <c r="R59" s="7">
        <f t="shared" si="28"/>
        <v>0</v>
      </c>
      <c r="S59" s="2"/>
      <c r="T59" s="6"/>
      <c r="U59" s="2"/>
      <c r="V59" s="7">
        <f t="shared" si="29"/>
        <v>0</v>
      </c>
      <c r="W59" s="2"/>
      <c r="X59" s="6">
        <f t="shared" si="30"/>
        <v>298.33999999999997</v>
      </c>
      <c r="Y59" s="2"/>
      <c r="Z59" s="7">
        <f t="shared" si="31"/>
        <v>0</v>
      </c>
    </row>
    <row r="60" spans="1:26" s="29" customFormat="1" outlineLevel="1" collapsed="1" x14ac:dyDescent="0.3">
      <c r="A60" s="28"/>
      <c r="B60" s="14" t="str">
        <f>CONCATENATE("     ","Subscriptions &amp; Dues                              ")</f>
        <v xml:space="preserve">     Subscriptions &amp; Dues                              </v>
      </c>
      <c r="C60" s="14"/>
      <c r="D60" s="1">
        <f>SUM(OSRRefD22_10x_0)</f>
        <v>0</v>
      </c>
      <c r="E60" s="1"/>
      <c r="F60" s="5">
        <f t="shared" ref="F60:F66" si="32">IF(D$12=0,0,D60/D$12)</f>
        <v>0</v>
      </c>
      <c r="G60" s="1"/>
      <c r="H60" s="1">
        <f>SUM(OSRRefH22_10x_0)</f>
        <v>0</v>
      </c>
      <c r="I60" s="1"/>
      <c r="J60" s="5">
        <f t="shared" ref="J60:J66" si="33">IF(H$12=0,0,H60/H$12)</f>
        <v>0</v>
      </c>
      <c r="K60" s="1"/>
      <c r="L60" s="1">
        <f t="shared" ref="L60:L66" si="34">+D60-H60</f>
        <v>0</v>
      </c>
      <c r="M60" s="1"/>
      <c r="N60" s="5">
        <f t="shared" ref="N60:N66" si="35">IF(H60=0,0,L60/H60)</f>
        <v>0</v>
      </c>
      <c r="O60" s="14"/>
      <c r="P60" s="1">
        <f>SUM(OSRRefP22_10x_0)</f>
        <v>657</v>
      </c>
      <c r="Q60" s="1"/>
      <c r="R60" s="5">
        <f t="shared" ref="R60:R66" si="36">IF(P$12=0,0,P60/P$12)</f>
        <v>0</v>
      </c>
      <c r="S60" s="1"/>
      <c r="T60" s="1">
        <f>SUM(OSRRefT22_10x_0)</f>
        <v>1000</v>
      </c>
      <c r="U60" s="1"/>
      <c r="V60" s="5">
        <f t="shared" ref="V60:V66" si="37">IF(T$12=0,0,T60/T$12)</f>
        <v>0</v>
      </c>
      <c r="W60" s="1"/>
      <c r="X60" s="1">
        <f t="shared" ref="X60:X66" si="38">+P60-T60</f>
        <v>-343</v>
      </c>
      <c r="Y60" s="1"/>
      <c r="Z60" s="5">
        <f t="shared" ref="Z60:Z66" si="39">IF(T60=0,0,X60/T60)</f>
        <v>-0.34300000000000003</v>
      </c>
    </row>
    <row r="61" spans="1:26" s="24" customFormat="1" hidden="1" outlineLevel="2" x14ac:dyDescent="0.3">
      <c r="A61" s="27"/>
      <c r="B61" s="11" t="str">
        <f>CONCATENATE("          ", "6258", " - ", "MEMBERSHIP DUES")</f>
        <v xml:space="preserve">          6258 - MEMBERSHIP DUES</v>
      </c>
      <c r="C61" s="11"/>
      <c r="D61" s="6"/>
      <c r="E61" s="2"/>
      <c r="F61" s="7">
        <f t="shared" si="32"/>
        <v>0</v>
      </c>
      <c r="G61" s="2"/>
      <c r="H61" s="6"/>
      <c r="I61" s="2"/>
      <c r="J61" s="7">
        <f t="shared" si="33"/>
        <v>0</v>
      </c>
      <c r="K61" s="2"/>
      <c r="L61" s="6">
        <f t="shared" si="34"/>
        <v>0</v>
      </c>
      <c r="M61" s="2"/>
      <c r="N61" s="7">
        <f t="shared" si="35"/>
        <v>0</v>
      </c>
      <c r="O61" s="11"/>
      <c r="P61" s="6">
        <v>657</v>
      </c>
      <c r="Q61" s="2"/>
      <c r="R61" s="7">
        <f t="shared" si="36"/>
        <v>0</v>
      </c>
      <c r="S61" s="2"/>
      <c r="T61" s="6">
        <v>1000</v>
      </c>
      <c r="U61" s="2"/>
      <c r="V61" s="7">
        <f t="shared" si="37"/>
        <v>0</v>
      </c>
      <c r="W61" s="2"/>
      <c r="X61" s="6">
        <f t="shared" si="38"/>
        <v>-343</v>
      </c>
      <c r="Y61" s="2"/>
      <c r="Z61" s="7">
        <f t="shared" si="39"/>
        <v>-0.34300000000000003</v>
      </c>
    </row>
    <row r="62" spans="1:26" s="29" customFormat="1" outlineLevel="1" collapsed="1" x14ac:dyDescent="0.3">
      <c r="A62" s="28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SUM(OSRRefD22_11x_0)</f>
        <v>505.25</v>
      </c>
      <c r="E62" s="1"/>
      <c r="F62" s="5">
        <f t="shared" si="32"/>
        <v>0</v>
      </c>
      <c r="G62" s="1"/>
      <c r="H62" s="1">
        <f>SUM(OSRRefH22_11x_0)</f>
        <v>1834</v>
      </c>
      <c r="I62" s="1"/>
      <c r="J62" s="5">
        <f t="shared" si="33"/>
        <v>0</v>
      </c>
      <c r="K62" s="1"/>
      <c r="L62" s="1">
        <f t="shared" si="34"/>
        <v>-1328.75</v>
      </c>
      <c r="M62" s="1"/>
      <c r="N62" s="5">
        <f t="shared" si="35"/>
        <v>-0.72450926935659765</v>
      </c>
      <c r="O62" s="14"/>
      <c r="P62" s="1">
        <f>SUM(OSRRefP22_11x_0)</f>
        <v>7240.5400000000009</v>
      </c>
      <c r="Q62" s="1"/>
      <c r="R62" s="5">
        <f t="shared" si="36"/>
        <v>0</v>
      </c>
      <c r="S62" s="1"/>
      <c r="T62" s="1">
        <f>SUM(OSRRefT22_11x_0)</f>
        <v>9170</v>
      </c>
      <c r="U62" s="1"/>
      <c r="V62" s="5">
        <f t="shared" si="37"/>
        <v>0</v>
      </c>
      <c r="W62" s="1"/>
      <c r="X62" s="1">
        <f t="shared" si="38"/>
        <v>-1929.4599999999991</v>
      </c>
      <c r="Y62" s="1"/>
      <c r="Z62" s="5">
        <f t="shared" si="39"/>
        <v>-0.21041003271537614</v>
      </c>
    </row>
    <row r="63" spans="1:26" s="24" customFormat="1" hidden="1" outlineLevel="2" x14ac:dyDescent="0.3">
      <c r="A63" s="27"/>
      <c r="B63" s="11" t="str">
        <f>CONCATENATE("          ", "6235", " - ", "COVID-19 EXPENSES")</f>
        <v xml:space="preserve">          6235 - COVID-19 EXPENSES</v>
      </c>
      <c r="C63" s="11"/>
      <c r="D63" s="6"/>
      <c r="E63" s="2"/>
      <c r="F63" s="7">
        <f t="shared" si="32"/>
        <v>0</v>
      </c>
      <c r="G63" s="2"/>
      <c r="H63" s="6"/>
      <c r="I63" s="2"/>
      <c r="J63" s="7">
        <f t="shared" si="33"/>
        <v>0</v>
      </c>
      <c r="K63" s="2"/>
      <c r="L63" s="6">
        <f t="shared" si="34"/>
        <v>0</v>
      </c>
      <c r="M63" s="2"/>
      <c r="N63" s="7">
        <f t="shared" si="35"/>
        <v>0</v>
      </c>
      <c r="O63" s="11"/>
      <c r="P63" s="6">
        <v>2447.77</v>
      </c>
      <c r="Q63" s="2"/>
      <c r="R63" s="7">
        <f t="shared" si="36"/>
        <v>0</v>
      </c>
      <c r="S63" s="2"/>
      <c r="T63" s="6"/>
      <c r="U63" s="2"/>
      <c r="V63" s="7">
        <f t="shared" si="37"/>
        <v>0</v>
      </c>
      <c r="W63" s="2"/>
      <c r="X63" s="6">
        <f t="shared" si="38"/>
        <v>2447.77</v>
      </c>
      <c r="Y63" s="2"/>
      <c r="Z63" s="7">
        <f t="shared" si="39"/>
        <v>0</v>
      </c>
    </row>
    <row r="64" spans="1:26" s="24" customFormat="1" hidden="1" outlineLevel="2" x14ac:dyDescent="0.3">
      <c r="A64" s="27"/>
      <c r="B64" s="11" t="str">
        <f>CONCATENATE("          ", "6241", " - ", "OFFICE EXPENSE")</f>
        <v xml:space="preserve">          6241 - OFFICE EXPENSE</v>
      </c>
      <c r="C64" s="11"/>
      <c r="D64" s="6">
        <v>455.25</v>
      </c>
      <c r="E64" s="2"/>
      <c r="F64" s="7">
        <f t="shared" si="32"/>
        <v>0</v>
      </c>
      <c r="G64" s="2"/>
      <c r="H64" s="6">
        <v>1417</v>
      </c>
      <c r="I64" s="2"/>
      <c r="J64" s="7">
        <f t="shared" si="33"/>
        <v>0</v>
      </c>
      <c r="K64" s="2"/>
      <c r="L64" s="6">
        <f t="shared" si="34"/>
        <v>-961.75</v>
      </c>
      <c r="M64" s="2"/>
      <c r="N64" s="7">
        <f t="shared" si="35"/>
        <v>-0.67872265349329575</v>
      </c>
      <c r="O64" s="11"/>
      <c r="P64" s="6">
        <v>1408.08</v>
      </c>
      <c r="Q64" s="2"/>
      <c r="R64" s="7">
        <f t="shared" si="36"/>
        <v>0</v>
      </c>
      <c r="S64" s="2"/>
      <c r="T64" s="6">
        <v>7085</v>
      </c>
      <c r="U64" s="2"/>
      <c r="V64" s="7">
        <f t="shared" si="37"/>
        <v>0</v>
      </c>
      <c r="W64" s="2"/>
      <c r="X64" s="6">
        <f t="shared" si="38"/>
        <v>-5676.92</v>
      </c>
      <c r="Y64" s="2"/>
      <c r="Z64" s="7">
        <f t="shared" si="39"/>
        <v>-0.80125899788285115</v>
      </c>
    </row>
    <row r="65" spans="1:26" s="24" customFormat="1" hidden="1" outlineLevel="2" x14ac:dyDescent="0.3">
      <c r="A65" s="27"/>
      <c r="B65" s="11" t="str">
        <f>CONCATENATE("          ", "6244", " - ", "SAFETY SUPPLY EXPENSE")</f>
        <v xml:space="preserve">          6244 - SAFETY SUPPLY EXPENSE</v>
      </c>
      <c r="C65" s="11"/>
      <c r="D65" s="6">
        <v>50</v>
      </c>
      <c r="E65" s="2"/>
      <c r="F65" s="7">
        <f t="shared" si="32"/>
        <v>0</v>
      </c>
      <c r="G65" s="2"/>
      <c r="H65" s="6">
        <v>417</v>
      </c>
      <c r="I65" s="2"/>
      <c r="J65" s="7">
        <f t="shared" si="33"/>
        <v>0</v>
      </c>
      <c r="K65" s="2"/>
      <c r="L65" s="6">
        <f t="shared" si="34"/>
        <v>-367</v>
      </c>
      <c r="M65" s="2"/>
      <c r="N65" s="7">
        <f t="shared" si="35"/>
        <v>-0.88009592326139086</v>
      </c>
      <c r="O65" s="11"/>
      <c r="P65" s="6">
        <v>600</v>
      </c>
      <c r="Q65" s="2"/>
      <c r="R65" s="7">
        <f t="shared" si="36"/>
        <v>0</v>
      </c>
      <c r="S65" s="2"/>
      <c r="T65" s="6">
        <v>2085</v>
      </c>
      <c r="U65" s="2"/>
      <c r="V65" s="7">
        <f t="shared" si="37"/>
        <v>0</v>
      </c>
      <c r="W65" s="2"/>
      <c r="X65" s="6">
        <f t="shared" si="38"/>
        <v>-1485</v>
      </c>
      <c r="Y65" s="2"/>
      <c r="Z65" s="7">
        <f t="shared" si="39"/>
        <v>-0.71223021582733814</v>
      </c>
    </row>
    <row r="66" spans="1:26" s="24" customFormat="1" hidden="1" outlineLevel="2" x14ac:dyDescent="0.3">
      <c r="A66" s="27"/>
      <c r="B66" s="11" t="str">
        <f>CONCATENATE("          ", "6248", " - ", "UNIFORMS")</f>
        <v xml:space="preserve">          6248 - UNIFORMS</v>
      </c>
      <c r="C66" s="11"/>
      <c r="D66" s="6"/>
      <c r="E66" s="2"/>
      <c r="F66" s="7">
        <f t="shared" si="32"/>
        <v>0</v>
      </c>
      <c r="G66" s="2"/>
      <c r="H66" s="6"/>
      <c r="I66" s="2"/>
      <c r="J66" s="7">
        <f t="shared" si="33"/>
        <v>0</v>
      </c>
      <c r="K66" s="2"/>
      <c r="L66" s="6">
        <f t="shared" si="34"/>
        <v>0</v>
      </c>
      <c r="M66" s="2"/>
      <c r="N66" s="7">
        <f t="shared" si="35"/>
        <v>0</v>
      </c>
      <c r="O66" s="11"/>
      <c r="P66" s="6">
        <v>2784.69</v>
      </c>
      <c r="Q66" s="2"/>
      <c r="R66" s="7">
        <f t="shared" si="36"/>
        <v>0</v>
      </c>
      <c r="S66" s="2"/>
      <c r="T66" s="6"/>
      <c r="U66" s="2"/>
      <c r="V66" s="7">
        <f t="shared" si="37"/>
        <v>0</v>
      </c>
      <c r="W66" s="2"/>
      <c r="X66" s="6">
        <f t="shared" si="38"/>
        <v>2784.69</v>
      </c>
      <c r="Y66" s="2"/>
      <c r="Z66" s="7">
        <f t="shared" si="39"/>
        <v>0</v>
      </c>
    </row>
    <row r="67" spans="1:26" s="29" customFormat="1" outlineLevel="1" collapsed="1" x14ac:dyDescent="0.3">
      <c r="A67" s="28"/>
      <c r="B67" s="14" t="str">
        <f>CONCATENATE("     ","Telephone/Data Lines                              ")</f>
        <v xml:space="preserve">     Telephone/Data Lines                              </v>
      </c>
      <c r="C67" s="14"/>
      <c r="D67" s="1">
        <f>SUM(OSRRefD22_12x_0)</f>
        <v>579.29999999999995</v>
      </c>
      <c r="E67" s="1"/>
      <c r="F67" s="5">
        <f t="shared" ref="F67:F72" si="40">IF(D$12=0,0,D67/D$12)</f>
        <v>0</v>
      </c>
      <c r="G67" s="1"/>
      <c r="H67" s="1">
        <f>SUM(OSRRefH22_12x_0)</f>
        <v>283</v>
      </c>
      <c r="I67" s="1"/>
      <c r="J67" s="5">
        <f t="shared" ref="J67:J72" si="41">IF(H$12=0,0,H67/H$12)</f>
        <v>0</v>
      </c>
      <c r="K67" s="1"/>
      <c r="L67" s="1">
        <f t="shared" ref="L67:L72" si="42">+D67-H67</f>
        <v>296.29999999999995</v>
      </c>
      <c r="M67" s="1"/>
      <c r="N67" s="5">
        <f t="shared" ref="N67:N72" si="43">IF(H67=0,0,L67/H67)</f>
        <v>1.0469964664310953</v>
      </c>
      <c r="O67" s="14"/>
      <c r="P67" s="1">
        <f>SUM(OSRRefP22_12x_0)</f>
        <v>2539.35</v>
      </c>
      <c r="Q67" s="1"/>
      <c r="R67" s="5">
        <f t="shared" ref="R67:R72" si="44">IF(P$12=0,0,P67/P$12)</f>
        <v>0</v>
      </c>
      <c r="S67" s="1"/>
      <c r="T67" s="1">
        <f>SUM(OSRRefT22_12x_0)</f>
        <v>1415</v>
      </c>
      <c r="U67" s="1"/>
      <c r="V67" s="5">
        <f t="shared" ref="V67:V72" si="45">IF(T$12=0,0,T67/T$12)</f>
        <v>0</v>
      </c>
      <c r="W67" s="1"/>
      <c r="X67" s="1">
        <f t="shared" ref="X67:X72" si="46">+P67-T67</f>
        <v>1124.3499999999999</v>
      </c>
      <c r="Y67" s="1"/>
      <c r="Z67" s="5">
        <f t="shared" ref="Z67:Z72" si="47">IF(T67=0,0,X67/T67)</f>
        <v>0.79459363957597162</v>
      </c>
    </row>
    <row r="68" spans="1:26" s="24" customFormat="1" hidden="1" outlineLevel="2" x14ac:dyDescent="0.3">
      <c r="A68" s="27"/>
      <c r="B68" s="11" t="str">
        <f>CONCATENATE("          ", "6309", " - ", "TELEPHONE")</f>
        <v xml:space="preserve">          6309 - TELEPHONE</v>
      </c>
      <c r="C68" s="11"/>
      <c r="D68" s="6">
        <v>579.29999999999995</v>
      </c>
      <c r="E68" s="2"/>
      <c r="F68" s="7">
        <f t="shared" si="40"/>
        <v>0</v>
      </c>
      <c r="G68" s="2"/>
      <c r="H68" s="6">
        <v>283</v>
      </c>
      <c r="I68" s="2"/>
      <c r="J68" s="7">
        <f t="shared" si="41"/>
        <v>0</v>
      </c>
      <c r="K68" s="2"/>
      <c r="L68" s="6">
        <f t="shared" si="42"/>
        <v>296.29999999999995</v>
      </c>
      <c r="M68" s="2"/>
      <c r="N68" s="7">
        <f t="shared" si="43"/>
        <v>1.0469964664310953</v>
      </c>
      <c r="O68" s="11"/>
      <c r="P68" s="6">
        <v>2539.35</v>
      </c>
      <c r="Q68" s="2"/>
      <c r="R68" s="7">
        <f t="shared" si="44"/>
        <v>0</v>
      </c>
      <c r="S68" s="2"/>
      <c r="T68" s="6">
        <v>1415</v>
      </c>
      <c r="U68" s="2"/>
      <c r="V68" s="7">
        <f t="shared" si="45"/>
        <v>0</v>
      </c>
      <c r="W68" s="2"/>
      <c r="X68" s="6">
        <f t="shared" si="46"/>
        <v>1124.3499999999999</v>
      </c>
      <c r="Y68" s="2"/>
      <c r="Z68" s="7">
        <f t="shared" si="47"/>
        <v>0.79459363957597162</v>
      </c>
    </row>
    <row r="69" spans="1:26" s="29" customFormat="1" outlineLevel="1" collapsed="1" x14ac:dyDescent="0.3">
      <c r="A69" s="28"/>
      <c r="B69" s="14" t="str">
        <f>CONCATENATE("     ","Training                                          ")</f>
        <v xml:space="preserve">     Training                                          </v>
      </c>
      <c r="C69" s="14"/>
      <c r="D69" s="1">
        <f>SUM(OSRRefD22_13x_0)</f>
        <v>0</v>
      </c>
      <c r="E69" s="1"/>
      <c r="F69" s="5">
        <f t="shared" si="40"/>
        <v>0</v>
      </c>
      <c r="G69" s="1"/>
      <c r="H69" s="1">
        <f>SUM(OSRRefH22_13x_0)</f>
        <v>333</v>
      </c>
      <c r="I69" s="1"/>
      <c r="J69" s="5">
        <f t="shared" si="41"/>
        <v>0</v>
      </c>
      <c r="K69" s="1"/>
      <c r="L69" s="1">
        <f t="shared" si="42"/>
        <v>-333</v>
      </c>
      <c r="M69" s="1"/>
      <c r="N69" s="5">
        <f t="shared" si="43"/>
        <v>-1</v>
      </c>
      <c r="O69" s="14"/>
      <c r="P69" s="1">
        <f>SUM(OSRRefP22_13x_0)</f>
        <v>475</v>
      </c>
      <c r="Q69" s="1"/>
      <c r="R69" s="5">
        <f t="shared" si="44"/>
        <v>0</v>
      </c>
      <c r="S69" s="1"/>
      <c r="T69" s="1">
        <f>SUM(OSRRefT22_13x_0)</f>
        <v>1665</v>
      </c>
      <c r="U69" s="1"/>
      <c r="V69" s="5">
        <f t="shared" si="45"/>
        <v>0</v>
      </c>
      <c r="W69" s="1"/>
      <c r="X69" s="1">
        <f t="shared" si="46"/>
        <v>-1190</v>
      </c>
      <c r="Y69" s="1"/>
      <c r="Z69" s="5">
        <f t="shared" si="47"/>
        <v>-0.71471471471471471</v>
      </c>
    </row>
    <row r="70" spans="1:26" s="24" customFormat="1" hidden="1" outlineLevel="2" x14ac:dyDescent="0.3">
      <c r="A70" s="27"/>
      <c r="B70" s="11" t="str">
        <f>CONCATENATE("          ", "6376", " - ", "TRAINING")</f>
        <v xml:space="preserve">          6376 - TRAINING</v>
      </c>
      <c r="C70" s="11"/>
      <c r="D70" s="6"/>
      <c r="E70" s="2"/>
      <c r="F70" s="7">
        <f t="shared" si="40"/>
        <v>0</v>
      </c>
      <c r="G70" s="2"/>
      <c r="H70" s="6">
        <v>333</v>
      </c>
      <c r="I70" s="2"/>
      <c r="J70" s="7">
        <f t="shared" si="41"/>
        <v>0</v>
      </c>
      <c r="K70" s="2"/>
      <c r="L70" s="6">
        <f t="shared" si="42"/>
        <v>-333</v>
      </c>
      <c r="M70" s="2"/>
      <c r="N70" s="7">
        <f t="shared" si="43"/>
        <v>-1</v>
      </c>
      <c r="O70" s="11"/>
      <c r="P70" s="6">
        <v>475</v>
      </c>
      <c r="Q70" s="2"/>
      <c r="R70" s="7">
        <f t="shared" si="44"/>
        <v>0</v>
      </c>
      <c r="S70" s="2"/>
      <c r="T70" s="6">
        <v>1665</v>
      </c>
      <c r="U70" s="2"/>
      <c r="V70" s="7">
        <f t="shared" si="45"/>
        <v>0</v>
      </c>
      <c r="W70" s="2"/>
      <c r="X70" s="6">
        <f t="shared" si="46"/>
        <v>-1190</v>
      </c>
      <c r="Y70" s="2"/>
      <c r="Z70" s="7">
        <f t="shared" si="47"/>
        <v>-0.71471471471471471</v>
      </c>
    </row>
    <row r="71" spans="1:26" s="29" customFormat="1" outlineLevel="1" collapsed="1" x14ac:dyDescent="0.3">
      <c r="A71" s="28"/>
      <c r="B71" s="14" t="str">
        <f>CONCATENATE("     ","Travel                                            ")</f>
        <v xml:space="preserve">     Travel                                            </v>
      </c>
      <c r="C71" s="14"/>
      <c r="D71" s="1">
        <f>SUM(OSRRefD22_14x_0)</f>
        <v>0</v>
      </c>
      <c r="E71" s="1"/>
      <c r="F71" s="5">
        <f t="shared" si="40"/>
        <v>0</v>
      </c>
      <c r="G71" s="1"/>
      <c r="H71" s="1">
        <f>SUM(OSRRefH22_14x_0)</f>
        <v>720</v>
      </c>
      <c r="I71" s="1"/>
      <c r="J71" s="5">
        <f t="shared" si="41"/>
        <v>0</v>
      </c>
      <c r="K71" s="1"/>
      <c r="L71" s="1">
        <f t="shared" si="42"/>
        <v>-720</v>
      </c>
      <c r="M71" s="1"/>
      <c r="N71" s="5">
        <f t="shared" si="43"/>
        <v>-1</v>
      </c>
      <c r="O71" s="14"/>
      <c r="P71" s="1">
        <f>SUM(OSRRefP22_14x_0)</f>
        <v>0</v>
      </c>
      <c r="Q71" s="1"/>
      <c r="R71" s="5">
        <f t="shared" si="44"/>
        <v>0</v>
      </c>
      <c r="S71" s="1"/>
      <c r="T71" s="1">
        <f>SUM(OSRRefT22_14x_0)</f>
        <v>720</v>
      </c>
      <c r="U71" s="1"/>
      <c r="V71" s="5">
        <f t="shared" si="45"/>
        <v>0</v>
      </c>
      <c r="W71" s="1"/>
      <c r="X71" s="1">
        <f t="shared" si="46"/>
        <v>-720</v>
      </c>
      <c r="Y71" s="1"/>
      <c r="Z71" s="5">
        <f t="shared" si="47"/>
        <v>-1</v>
      </c>
    </row>
    <row r="72" spans="1:26" s="24" customFormat="1" hidden="1" outlineLevel="2" x14ac:dyDescent="0.3">
      <c r="A72" s="27"/>
      <c r="B72" s="11" t="str">
        <f>CONCATENATE("          ", "6292", " - ", "TRAVEL/CONFERENCE")</f>
        <v xml:space="preserve">          6292 - TRAVEL/CONFERENCE</v>
      </c>
      <c r="C72" s="11"/>
      <c r="D72" s="6"/>
      <c r="E72" s="2"/>
      <c r="F72" s="7">
        <f t="shared" si="40"/>
        <v>0</v>
      </c>
      <c r="G72" s="2"/>
      <c r="H72" s="6">
        <v>720</v>
      </c>
      <c r="I72" s="2"/>
      <c r="J72" s="7">
        <f t="shared" si="41"/>
        <v>0</v>
      </c>
      <c r="K72" s="2"/>
      <c r="L72" s="6">
        <f t="shared" si="42"/>
        <v>-720</v>
      </c>
      <c r="M72" s="2"/>
      <c r="N72" s="7">
        <f t="shared" si="43"/>
        <v>-1</v>
      </c>
      <c r="O72" s="11"/>
      <c r="P72" s="6"/>
      <c r="Q72" s="2"/>
      <c r="R72" s="7">
        <f t="shared" si="44"/>
        <v>0</v>
      </c>
      <c r="S72" s="2"/>
      <c r="T72" s="6">
        <v>720</v>
      </c>
      <c r="U72" s="2"/>
      <c r="V72" s="7">
        <f t="shared" si="45"/>
        <v>0</v>
      </c>
      <c r="W72" s="2"/>
      <c r="X72" s="6">
        <f t="shared" si="46"/>
        <v>-720</v>
      </c>
      <c r="Y72" s="2"/>
      <c r="Z72" s="7">
        <f t="shared" si="47"/>
        <v>-1</v>
      </c>
    </row>
    <row r="73" spans="1:26" s="63" customFormat="1" x14ac:dyDescent="0.3">
      <c r="A73" s="36"/>
      <c r="B73" s="36"/>
      <c r="C73" s="36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6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x14ac:dyDescent="0.3">
      <c r="A74" s="10"/>
      <c r="B74" s="25" t="s">
        <v>293</v>
      </c>
      <c r="C74" s="10"/>
      <c r="D74" s="4">
        <f>SUM(0)</f>
        <v>0</v>
      </c>
      <c r="E74" s="4"/>
      <c r="F74" s="12">
        <f>IF(D$12=0,0,D74/D$12)</f>
        <v>0</v>
      </c>
      <c r="G74" s="4"/>
      <c r="H74" s="4">
        <f>SUM(0)</f>
        <v>0</v>
      </c>
      <c r="I74" s="4"/>
      <c r="J74" s="12">
        <f>IF(H$12=0,0,H74/H$12)</f>
        <v>0</v>
      </c>
      <c r="K74" s="4"/>
      <c r="L74" s="4">
        <f>+D74-H74</f>
        <v>0</v>
      </c>
      <c r="M74" s="4"/>
      <c r="N74" s="12">
        <f>IF(H74=0,0,L74/H74)</f>
        <v>0</v>
      </c>
      <c r="O74" s="10"/>
      <c r="P74" s="4">
        <f>SUM(0)</f>
        <v>0</v>
      </c>
      <c r="Q74" s="4"/>
      <c r="R74" s="12">
        <f>IF(P$12=0,0,P74/P$12)</f>
        <v>0</v>
      </c>
      <c r="S74" s="4"/>
      <c r="T74" s="4">
        <f>SUM(0)</f>
        <v>0</v>
      </c>
      <c r="U74" s="4"/>
      <c r="V74" s="12">
        <f>IF(T$12=0,0,T74/T$12)</f>
        <v>0</v>
      </c>
      <c r="W74" s="4"/>
      <c r="X74" s="4">
        <f>+P74-T74</f>
        <v>0</v>
      </c>
      <c r="Y74" s="4"/>
      <c r="Z74" s="12">
        <f>IF(T74=0,0,X74/T74)</f>
        <v>0</v>
      </c>
    </row>
    <row r="75" spans="1:26" x14ac:dyDescent="0.3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3">
      <c r="A76" s="10"/>
      <c r="B76" s="26" t="s">
        <v>277</v>
      </c>
      <c r="C76" s="26"/>
      <c r="D76" s="20">
        <f>+D16-D18+D74</f>
        <v>-46633.59</v>
      </c>
      <c r="E76" s="13"/>
      <c r="F76" s="22">
        <f>IF(D$12=0,0,D76/D$12)</f>
        <v>0</v>
      </c>
      <c r="G76" s="13"/>
      <c r="H76" s="20">
        <f>+H16-H18+H74</f>
        <v>-47154.26516968615</v>
      </c>
      <c r="I76" s="13"/>
      <c r="J76" s="22">
        <f>IF(H$12=0,0,H76/H$12)</f>
        <v>0</v>
      </c>
      <c r="K76" s="15"/>
      <c r="L76" s="20">
        <f>+D76-H76</f>
        <v>520.67516968615382</v>
      </c>
      <c r="M76" s="15"/>
      <c r="N76" s="22">
        <f>IF(H76=0,0,L76/H76)</f>
        <v>-1.1041952786508016E-2</v>
      </c>
      <c r="O76" s="25"/>
      <c r="P76" s="20">
        <f>+P16-P18+P74</f>
        <v>-263845.96000000002</v>
      </c>
      <c r="Q76" s="13"/>
      <c r="R76" s="22">
        <f>IF(P$12=0,0,P76/P$12)</f>
        <v>0</v>
      </c>
      <c r="S76" s="13"/>
      <c r="T76" s="20">
        <f>+T16-T18+T74</f>
        <v>-249338.4584332738</v>
      </c>
      <c r="U76" s="13"/>
      <c r="V76" s="22">
        <f>IF(T$12=0,0,T76/T$12)</f>
        <v>0</v>
      </c>
      <c r="W76" s="15"/>
      <c r="X76" s="20">
        <f>+P76-T76</f>
        <v>-14507.50156672622</v>
      </c>
      <c r="Y76" s="15"/>
      <c r="Z76" s="22">
        <f>IF(T76=0,0,X76/T76)</f>
        <v>5.8183970727518616E-2</v>
      </c>
    </row>
    <row r="77" spans="1:26" x14ac:dyDescent="0.3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3">
      <c r="A78" s="52"/>
      <c r="B78" s="10" t="s">
        <v>128</v>
      </c>
      <c r="C78" s="10"/>
      <c r="D78" s="4"/>
      <c r="E78" s="4"/>
      <c r="F78" s="12">
        <f>IF(D$12=0,0,D78/D$12)</f>
        <v>0</v>
      </c>
      <c r="G78" s="4"/>
      <c r="H78" s="4"/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/>
      <c r="Q78" s="4"/>
      <c r="R78" s="12">
        <f>IF(P$12=0,0,P78/P$12)</f>
        <v>0</v>
      </c>
      <c r="S78" s="4"/>
      <c r="T78" s="4"/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3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" thickBot="1" x14ac:dyDescent="0.35">
      <c r="A80" s="10"/>
      <c r="B80" s="26" t="s">
        <v>126</v>
      </c>
      <c r="C80" s="26"/>
      <c r="D80" s="33">
        <f>+D76-D78</f>
        <v>-46633.59</v>
      </c>
      <c r="E80" s="13"/>
      <c r="F80" s="34">
        <f>IF(D$12=0,0,D80/D$12)</f>
        <v>0</v>
      </c>
      <c r="G80" s="13"/>
      <c r="H80" s="33">
        <f>+H76-H78</f>
        <v>-47154.26516968615</v>
      </c>
      <c r="I80" s="13"/>
      <c r="J80" s="34">
        <f>IF(H$12=0,0,H80/H$12)</f>
        <v>0</v>
      </c>
      <c r="K80" s="15"/>
      <c r="L80" s="33">
        <f>D80-H80</f>
        <v>520.67516968615382</v>
      </c>
      <c r="M80" s="15"/>
      <c r="N80" s="34">
        <f>IF(H80=0,0,L80/H80)</f>
        <v>-1.1041952786508016E-2</v>
      </c>
      <c r="O80" s="25"/>
      <c r="P80" s="33">
        <f>+P76-P78</f>
        <v>-263845.96000000002</v>
      </c>
      <c r="Q80" s="13"/>
      <c r="R80" s="34">
        <f>IF(P$12=0,0,P80/P$12)</f>
        <v>0</v>
      </c>
      <c r="S80" s="13"/>
      <c r="T80" s="33">
        <f>+T76-T78</f>
        <v>-249338.4584332738</v>
      </c>
      <c r="U80" s="13"/>
      <c r="V80" s="34">
        <f>IF(T$12=0,0,T80/T$12)</f>
        <v>0</v>
      </c>
      <c r="W80" s="15"/>
      <c r="X80" s="33">
        <f>P80-T80</f>
        <v>-14507.50156672622</v>
      </c>
      <c r="Y80" s="15"/>
      <c r="Z80" s="34">
        <f>IF(T80=0,0,X80/T80)</f>
        <v>5.8183970727518616E-2</v>
      </c>
    </row>
    <row r="81" spans="1:26" ht="15" thickTop="1" x14ac:dyDescent="0.3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3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" thickBot="1" x14ac:dyDescent="0.35">
      <c r="A83" s="10"/>
      <c r="B83" s="26" t="s">
        <v>294</v>
      </c>
      <c r="C83" s="26"/>
      <c r="D83" s="35">
        <f>SUM(D80:D82)</f>
        <v>-46633.59</v>
      </c>
      <c r="E83" s="13"/>
      <c r="F83" s="32">
        <f>IF(D$12=0,0,D83/D$12)</f>
        <v>0</v>
      </c>
      <c r="G83" s="13"/>
      <c r="H83" s="35">
        <f>SUM(H80:H82)</f>
        <v>-47154.26516968615</v>
      </c>
      <c r="I83" s="13"/>
      <c r="J83" s="32">
        <f>IF(H$12=0,0,H83/H$12)</f>
        <v>0</v>
      </c>
      <c r="K83" s="15"/>
      <c r="L83" s="35">
        <f>+D83-H83</f>
        <v>520.67516968615382</v>
      </c>
      <c r="M83" s="15"/>
      <c r="N83" s="32">
        <f>IF(H83=0,0,L83/H83)</f>
        <v>-1.1041952786508016E-2</v>
      </c>
      <c r="O83" s="25"/>
      <c r="P83" s="35">
        <f>SUM(P80:P82)</f>
        <v>-263845.96000000002</v>
      </c>
      <c r="Q83" s="13"/>
      <c r="R83" s="32">
        <f>IF(P$12=0,0,P83/P$12)</f>
        <v>0</v>
      </c>
      <c r="S83" s="13"/>
      <c r="T83" s="35">
        <f>SUM(T80:T82)</f>
        <v>-249338.4584332738</v>
      </c>
      <c r="U83" s="13"/>
      <c r="V83" s="32">
        <f>IF(T$12=0,0,T83/T$12)</f>
        <v>0</v>
      </c>
      <c r="W83" s="15"/>
      <c r="X83" s="35">
        <f>+P83-T83</f>
        <v>-14507.50156672622</v>
      </c>
      <c r="Y83" s="15"/>
      <c r="Z83" s="32">
        <f>IF(T83=0,0,X83/T83)</f>
        <v>5.8183970727518616E-2</v>
      </c>
    </row>
    <row r="84" spans="1:26" ht="15" thickTop="1" x14ac:dyDescent="0.3">
      <c r="A84" s="9"/>
      <c r="C84" s="9"/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6" x14ac:dyDescent="0.3">
      <c r="A85" s="9"/>
      <c r="B85" s="60">
        <v>44543.753113078703</v>
      </c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3">
      <c r="A86" s="9"/>
      <c r="B86" s="58" t="s">
        <v>56</v>
      </c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  <row r="87" spans="1:26" x14ac:dyDescent="0.3">
      <c r="A87" s="9"/>
      <c r="B87" s="55"/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  <row r="88" spans="1:26" x14ac:dyDescent="0.3"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92D050"/>
    <outlinePr summaryBelow="0" summaryRight="0"/>
  </sheetPr>
  <dimension ref="A2:Z7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","204", " - ", "Information Technology")</f>
        <v>Department 204 - Information Technology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5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1">
        <f>SUM(OSRRefD22x_0)</f>
        <v>39757.270000000004</v>
      </c>
      <c r="E18" s="21"/>
      <c r="F18" s="30">
        <f t="shared" ref="F18:F28" si="0">IF(D$12=0,0,D18/D$12)</f>
        <v>0</v>
      </c>
      <c r="G18" s="21"/>
      <c r="H18" s="21">
        <f>SUM(OSRRefH22x_0)</f>
        <v>46202.666047384599</v>
      </c>
      <c r="I18" s="21"/>
      <c r="J18" s="30">
        <f t="shared" ref="J18:J28" si="1">IF(H$12=0,0,H18/H$12)</f>
        <v>0</v>
      </c>
      <c r="K18" s="4"/>
      <c r="L18" s="21">
        <f t="shared" ref="L18:L28" si="2">+D18-H18</f>
        <v>-6445.3960473845946</v>
      </c>
      <c r="M18" s="4"/>
      <c r="N18" s="30">
        <f t="shared" ref="N18:N28" si="3">IF(H18=0,0,L18/H18)</f>
        <v>-0.13950268672319288</v>
      </c>
      <c r="O18" s="10"/>
      <c r="P18" s="21">
        <f>SUM(OSRRefP22x_0)</f>
        <v>222427.84</v>
      </c>
      <c r="Q18" s="21"/>
      <c r="R18" s="30">
        <f t="shared" ref="R18:R28" si="4">IF(P$12=0,0,P18/P$12)</f>
        <v>0</v>
      </c>
      <c r="S18" s="21"/>
      <c r="T18" s="21">
        <f>SUM(OSRRefT22x_0)</f>
        <v>256547.16326061529</v>
      </c>
      <c r="U18" s="21"/>
      <c r="V18" s="30">
        <f t="shared" ref="V18:V28" si="5">IF(T$12=0,0,T18/T$12)</f>
        <v>0</v>
      </c>
      <c r="W18" s="4"/>
      <c r="X18" s="21">
        <f t="shared" ref="X18:X28" si="6">+P18-T18</f>
        <v>-34119.323260615289</v>
      </c>
      <c r="Y18" s="4"/>
      <c r="Z18" s="30">
        <f t="shared" ref="Z18:Z28" si="7">IF(T18=0,0,X18/T18)</f>
        <v>-0.13299435014978095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11076</v>
      </c>
      <c r="E19" s="1"/>
      <c r="F19" s="5">
        <f t="shared" si="0"/>
        <v>0</v>
      </c>
      <c r="G19" s="1"/>
      <c r="H19" s="1">
        <f>SUM(OSRRefH22_0x_0)</f>
        <v>11122.496816615394</v>
      </c>
      <c r="I19" s="1"/>
      <c r="J19" s="5">
        <f t="shared" si="1"/>
        <v>0</v>
      </c>
      <c r="K19" s="1"/>
      <c r="L19" s="1">
        <f t="shared" si="2"/>
        <v>-46.496816615393982</v>
      </c>
      <c r="M19" s="1"/>
      <c r="N19" s="5">
        <f t="shared" si="3"/>
        <v>-4.1804297526014571E-3</v>
      </c>
      <c r="O19" s="14"/>
      <c r="P19" s="1">
        <f>SUM(OSRRefP22_0x_0)</f>
        <v>56245.11</v>
      </c>
      <c r="Q19" s="1"/>
      <c r="R19" s="5">
        <f t="shared" si="4"/>
        <v>0</v>
      </c>
      <c r="S19" s="1"/>
      <c r="T19" s="1">
        <f>SUM(OSRRefT22_0x_0)</f>
        <v>58355.732491384668</v>
      </c>
      <c r="U19" s="1"/>
      <c r="V19" s="5">
        <f t="shared" si="5"/>
        <v>0</v>
      </c>
      <c r="W19" s="1"/>
      <c r="X19" s="1">
        <f t="shared" si="6"/>
        <v>-2110.6224913846672</v>
      </c>
      <c r="Y19" s="1"/>
      <c r="Z19" s="5">
        <f t="shared" si="7"/>
        <v>-3.6168211781015147E-2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6">
        <v>1475.97</v>
      </c>
      <c r="E20" s="2"/>
      <c r="F20" s="7">
        <f t="shared" si="0"/>
        <v>0</v>
      </c>
      <c r="G20" s="2"/>
      <c r="H20" s="6">
        <v>1810.8128289230799</v>
      </c>
      <c r="I20" s="2"/>
      <c r="J20" s="7">
        <f t="shared" si="1"/>
        <v>0</v>
      </c>
      <c r="K20" s="2"/>
      <c r="L20" s="6">
        <f t="shared" si="2"/>
        <v>-334.84282892307988</v>
      </c>
      <c r="M20" s="2"/>
      <c r="N20" s="7">
        <f t="shared" si="3"/>
        <v>-0.18491299795032731</v>
      </c>
      <c r="O20" s="11"/>
      <c r="P20" s="6">
        <v>7844.49</v>
      </c>
      <c r="Q20" s="2"/>
      <c r="R20" s="7">
        <f t="shared" si="4"/>
        <v>0</v>
      </c>
      <c r="S20" s="2"/>
      <c r="T20" s="6">
        <v>9959.4705590769408</v>
      </c>
      <c r="U20" s="2"/>
      <c r="V20" s="7">
        <f t="shared" si="5"/>
        <v>0</v>
      </c>
      <c r="W20" s="2"/>
      <c r="X20" s="6">
        <f t="shared" si="6"/>
        <v>-2114.9805590769411</v>
      </c>
      <c r="Y20" s="2"/>
      <c r="Z20" s="7">
        <f t="shared" si="7"/>
        <v>-0.21235873398404431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248.89</v>
      </c>
      <c r="E21" s="2"/>
      <c r="F21" s="7">
        <f t="shared" si="0"/>
        <v>0</v>
      </c>
      <c r="G21" s="2"/>
      <c r="H21" s="6">
        <v>73.350578461538504</v>
      </c>
      <c r="I21" s="2"/>
      <c r="J21" s="7">
        <f t="shared" si="1"/>
        <v>0</v>
      </c>
      <c r="K21" s="2"/>
      <c r="L21" s="6">
        <f t="shared" si="2"/>
        <v>175.53942153846148</v>
      </c>
      <c r="M21" s="2"/>
      <c r="N21" s="7">
        <f t="shared" si="3"/>
        <v>2.3931566078992255</v>
      </c>
      <c r="O21" s="11"/>
      <c r="P21" s="6">
        <v>1322.8</v>
      </c>
      <c r="Q21" s="2"/>
      <c r="R21" s="7">
        <f t="shared" si="4"/>
        <v>0</v>
      </c>
      <c r="S21" s="2"/>
      <c r="T21" s="6">
        <v>403.42818153846201</v>
      </c>
      <c r="U21" s="2"/>
      <c r="V21" s="7">
        <f t="shared" si="5"/>
        <v>0</v>
      </c>
      <c r="W21" s="2"/>
      <c r="X21" s="6">
        <f t="shared" si="6"/>
        <v>919.37181846153794</v>
      </c>
      <c r="Y21" s="2"/>
      <c r="Z21" s="7">
        <f t="shared" si="7"/>
        <v>2.2788983529993847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6">
        <v>4833.2700000000004</v>
      </c>
      <c r="E22" s="2"/>
      <c r="F22" s="7">
        <f t="shared" si="0"/>
        <v>0</v>
      </c>
      <c r="G22" s="2"/>
      <c r="H22" s="6">
        <v>5336</v>
      </c>
      <c r="I22" s="2"/>
      <c r="J22" s="7">
        <f t="shared" si="1"/>
        <v>0</v>
      </c>
      <c r="K22" s="2"/>
      <c r="L22" s="6">
        <f t="shared" si="2"/>
        <v>-502.72999999999956</v>
      </c>
      <c r="M22" s="2"/>
      <c r="N22" s="7">
        <f t="shared" si="3"/>
        <v>-9.4214767616191825E-2</v>
      </c>
      <c r="O22" s="11"/>
      <c r="P22" s="6">
        <v>24200.1</v>
      </c>
      <c r="Q22" s="2"/>
      <c r="R22" s="7">
        <f t="shared" si="4"/>
        <v>0</v>
      </c>
      <c r="S22" s="2"/>
      <c r="T22" s="6">
        <v>26680</v>
      </c>
      <c r="U22" s="2"/>
      <c r="V22" s="7">
        <f t="shared" si="5"/>
        <v>0</v>
      </c>
      <c r="W22" s="2"/>
      <c r="X22" s="6">
        <f t="shared" si="6"/>
        <v>-2479.9000000000015</v>
      </c>
      <c r="Y22" s="2"/>
      <c r="Z22" s="7">
        <f t="shared" si="7"/>
        <v>-9.294977511244383E-2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50.16</v>
      </c>
      <c r="E23" s="2"/>
      <c r="F23" s="7">
        <f t="shared" si="0"/>
        <v>0</v>
      </c>
      <c r="G23" s="2"/>
      <c r="H23" s="6">
        <v>49.6891015384615</v>
      </c>
      <c r="I23" s="2"/>
      <c r="J23" s="7">
        <f t="shared" si="1"/>
        <v>0</v>
      </c>
      <c r="K23" s="2"/>
      <c r="L23" s="6">
        <f t="shared" si="2"/>
        <v>0.47089846153849635</v>
      </c>
      <c r="M23" s="2"/>
      <c r="N23" s="7">
        <f t="shared" si="3"/>
        <v>9.476896280243681E-3</v>
      </c>
      <c r="O23" s="11"/>
      <c r="P23" s="6">
        <v>266.60000000000002</v>
      </c>
      <c r="Q23" s="2"/>
      <c r="R23" s="7">
        <f t="shared" si="4"/>
        <v>0</v>
      </c>
      <c r="S23" s="2"/>
      <c r="T23" s="6">
        <v>273.29005846153802</v>
      </c>
      <c r="U23" s="2"/>
      <c r="V23" s="7">
        <f t="shared" si="5"/>
        <v>0</v>
      </c>
      <c r="W23" s="2"/>
      <c r="X23" s="6">
        <f t="shared" si="6"/>
        <v>-6.6900584615380012</v>
      </c>
      <c r="Y23" s="2"/>
      <c r="Z23" s="7">
        <f t="shared" si="7"/>
        <v>-2.4479699331907967E-2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6">
        <v>1907.46</v>
      </c>
      <c r="E24" s="2"/>
      <c r="F24" s="7">
        <f t="shared" si="0"/>
        <v>0</v>
      </c>
      <c r="G24" s="2"/>
      <c r="H24" s="6">
        <v>1567.18461538462</v>
      </c>
      <c r="I24" s="2"/>
      <c r="J24" s="7">
        <f t="shared" si="1"/>
        <v>0</v>
      </c>
      <c r="K24" s="2"/>
      <c r="L24" s="6">
        <f t="shared" si="2"/>
        <v>340.27538461538006</v>
      </c>
      <c r="M24" s="2"/>
      <c r="N24" s="7">
        <f t="shared" si="3"/>
        <v>0.21712527118693628</v>
      </c>
      <c r="O24" s="11"/>
      <c r="P24" s="6">
        <v>10160.94</v>
      </c>
      <c r="Q24" s="2"/>
      <c r="R24" s="7">
        <f t="shared" si="4"/>
        <v>0</v>
      </c>
      <c r="S24" s="2"/>
      <c r="T24" s="6">
        <v>8619.5153846154008</v>
      </c>
      <c r="U24" s="2"/>
      <c r="V24" s="7">
        <f t="shared" si="5"/>
        <v>0</v>
      </c>
      <c r="W24" s="2"/>
      <c r="X24" s="6">
        <f t="shared" si="6"/>
        <v>1541.4246153845997</v>
      </c>
      <c r="Y24" s="2"/>
      <c r="Z24" s="7">
        <f t="shared" si="7"/>
        <v>0.17882961472936421</v>
      </c>
    </row>
    <row r="25" spans="1:26" s="24" customFormat="1" hidden="1" outlineLevel="2" x14ac:dyDescent="0.3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3">
      <c r="A26" s="27"/>
      <c r="B26" s="11" t="str">
        <f>CONCATENATE("          ", "6118", " - ", "VACATION")</f>
        <v xml:space="preserve">          6118 - VACATION</v>
      </c>
      <c r="C26" s="11"/>
      <c r="D26" s="6">
        <v>1493.96</v>
      </c>
      <c r="E26" s="2"/>
      <c r="F26" s="7">
        <f t="shared" si="0"/>
        <v>0</v>
      </c>
      <c r="G26" s="2"/>
      <c r="H26" s="6">
        <v>911.15384615384596</v>
      </c>
      <c r="I26" s="2"/>
      <c r="J26" s="7">
        <f t="shared" si="1"/>
        <v>0</v>
      </c>
      <c r="K26" s="2"/>
      <c r="L26" s="6">
        <f t="shared" si="2"/>
        <v>582.80615384615407</v>
      </c>
      <c r="M26" s="2"/>
      <c r="N26" s="7">
        <f t="shared" si="3"/>
        <v>0.63963528915154111</v>
      </c>
      <c r="O26" s="11"/>
      <c r="P26" s="6">
        <v>6664.26</v>
      </c>
      <c r="Q26" s="2"/>
      <c r="R26" s="7">
        <f t="shared" si="4"/>
        <v>0</v>
      </c>
      <c r="S26" s="2"/>
      <c r="T26" s="6">
        <v>5011.3461538461597</v>
      </c>
      <c r="U26" s="2"/>
      <c r="V26" s="7">
        <f t="shared" si="5"/>
        <v>0</v>
      </c>
      <c r="W26" s="2"/>
      <c r="X26" s="6">
        <f t="shared" si="6"/>
        <v>1652.9138461538405</v>
      </c>
      <c r="Y26" s="2"/>
      <c r="Z26" s="7">
        <f t="shared" si="7"/>
        <v>0.32983429909052381</v>
      </c>
    </row>
    <row r="27" spans="1:26" s="24" customFormat="1" hidden="1" outlineLevel="2" x14ac:dyDescent="0.3">
      <c r="A27" s="27"/>
      <c r="B27" s="11" t="str">
        <f>CONCATENATE("          ", "6119", " - ", "SICK LEAVE")</f>
        <v xml:space="preserve">          6119 - SICK LEAVE</v>
      </c>
      <c r="C27" s="11"/>
      <c r="D27" s="6">
        <v>877.84</v>
      </c>
      <c r="E27" s="2"/>
      <c r="F27" s="7">
        <f t="shared" si="0"/>
        <v>0</v>
      </c>
      <c r="G27" s="2"/>
      <c r="H27" s="6">
        <v>1074.3058461538501</v>
      </c>
      <c r="I27" s="2"/>
      <c r="J27" s="7">
        <f t="shared" si="1"/>
        <v>0</v>
      </c>
      <c r="K27" s="2"/>
      <c r="L27" s="6">
        <f t="shared" si="2"/>
        <v>-196.46584615385007</v>
      </c>
      <c r="M27" s="2"/>
      <c r="N27" s="7">
        <f t="shared" si="3"/>
        <v>-0.18287701482517524</v>
      </c>
      <c r="O27" s="11"/>
      <c r="P27" s="6">
        <v>4676.1099999999997</v>
      </c>
      <c r="Q27" s="2"/>
      <c r="R27" s="7">
        <f t="shared" si="4"/>
        <v>0</v>
      </c>
      <c r="S27" s="2"/>
      <c r="T27" s="6">
        <v>5908.68215384617</v>
      </c>
      <c r="U27" s="2"/>
      <c r="V27" s="7">
        <f t="shared" si="5"/>
        <v>0</v>
      </c>
      <c r="W27" s="2"/>
      <c r="X27" s="6">
        <f t="shared" si="6"/>
        <v>-1232.5721538461703</v>
      </c>
      <c r="Y27" s="2"/>
      <c r="Z27" s="7">
        <f t="shared" si="7"/>
        <v>-0.20860356366331967</v>
      </c>
    </row>
    <row r="28" spans="1:26" s="24" customFormat="1" hidden="1" outlineLevel="2" x14ac:dyDescent="0.3">
      <c r="A28" s="27"/>
      <c r="B28" s="11" t="str">
        <f>CONCATENATE("          ", "6156", " - ", "EMPLOYEE MEALS")</f>
        <v xml:space="preserve">          6156 - EMPLOYEE MEALS</v>
      </c>
      <c r="C28" s="11"/>
      <c r="D28" s="6">
        <v>188.45</v>
      </c>
      <c r="E28" s="2"/>
      <c r="F28" s="7">
        <f t="shared" si="0"/>
        <v>0</v>
      </c>
      <c r="G28" s="2"/>
      <c r="H28" s="6">
        <v>300</v>
      </c>
      <c r="I28" s="2"/>
      <c r="J28" s="7">
        <f t="shared" si="1"/>
        <v>0</v>
      </c>
      <c r="K28" s="2"/>
      <c r="L28" s="6">
        <f t="shared" si="2"/>
        <v>-111.55000000000001</v>
      </c>
      <c r="M28" s="2"/>
      <c r="N28" s="7">
        <f t="shared" si="3"/>
        <v>-0.37183333333333335</v>
      </c>
      <c r="O28" s="11"/>
      <c r="P28" s="6">
        <v>1109.81</v>
      </c>
      <c r="Q28" s="2"/>
      <c r="R28" s="7">
        <f t="shared" si="4"/>
        <v>0</v>
      </c>
      <c r="S28" s="2"/>
      <c r="T28" s="6">
        <v>1500</v>
      </c>
      <c r="U28" s="2"/>
      <c r="V28" s="7">
        <f t="shared" si="5"/>
        <v>0</v>
      </c>
      <c r="W28" s="2"/>
      <c r="X28" s="6">
        <f t="shared" si="6"/>
        <v>-390.19000000000005</v>
      </c>
      <c r="Y28" s="2"/>
      <c r="Z28" s="7">
        <f t="shared" si="7"/>
        <v>-0.26012666666666673</v>
      </c>
    </row>
    <row r="29" spans="1:26" s="29" customFormat="1" outlineLevel="1" collapsed="1" x14ac:dyDescent="0.3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16170.85</v>
      </c>
      <c r="E29" s="1"/>
      <c r="F29" s="5">
        <f t="shared" ref="F29:F39" si="8">IF(D$12=0,0,D29/D$12)</f>
        <v>0</v>
      </c>
      <c r="G29" s="1"/>
      <c r="H29" s="1">
        <f>SUM(OSRRefH22_1x_0)</f>
        <v>21839.169230769199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-5668.3192307691988</v>
      </c>
      <c r="M29" s="1"/>
      <c r="N29" s="5">
        <f t="shared" ref="N29:N39" si="11">IF(H29=0,0,L29/H29)</f>
        <v>-0.25954829924496881</v>
      </c>
      <c r="O29" s="14"/>
      <c r="P29" s="1">
        <f>SUM(OSRRefP22_1x_0)</f>
        <v>92638.89</v>
      </c>
      <c r="Q29" s="1"/>
      <c r="R29" s="5">
        <f t="shared" ref="R29:R39" si="12">IF(P$12=0,0,P29/P$12)</f>
        <v>0</v>
      </c>
      <c r="S29" s="1"/>
      <c r="T29" s="1">
        <f>SUM(OSRRefT22_1x_0)</f>
        <v>120115.4307692306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-27476.540769230603</v>
      </c>
      <c r="Y29" s="1"/>
      <c r="Z29" s="5">
        <f t="shared" ref="Z29:Z39" si="15">IF(T29=0,0,X29/T29)</f>
        <v>-0.22875113208409803</v>
      </c>
    </row>
    <row r="30" spans="1:26" s="24" customFormat="1" hidden="1" outlineLevel="2" x14ac:dyDescent="0.3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/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0</v>
      </c>
      <c r="Y30" s="2"/>
      <c r="Z30" s="7">
        <f t="shared" si="15"/>
        <v>0</v>
      </c>
    </row>
    <row r="31" spans="1:26" s="24" customFormat="1" hidden="1" outlineLevel="2" x14ac:dyDescent="0.3">
      <c r="A31" s="27"/>
      <c r="B31" s="11" t="str">
        <f>CONCATENATE("          ", "6002", " - ", "STAFF SALARIES")</f>
        <v xml:space="preserve">          6002 - STAFF SALARIES</v>
      </c>
      <c r="C31" s="11"/>
      <c r="D31" s="6">
        <v>16170.85</v>
      </c>
      <c r="E31" s="2"/>
      <c r="F31" s="7">
        <f t="shared" si="8"/>
        <v>0</v>
      </c>
      <c r="G31" s="2"/>
      <c r="H31" s="6">
        <v>16400.769230769201</v>
      </c>
      <c r="I31" s="2"/>
      <c r="J31" s="7">
        <f t="shared" si="9"/>
        <v>0</v>
      </c>
      <c r="K31" s="2"/>
      <c r="L31" s="6">
        <f t="shared" si="10"/>
        <v>-229.91923076920102</v>
      </c>
      <c r="M31" s="2"/>
      <c r="N31" s="7">
        <f t="shared" si="11"/>
        <v>-1.4018807748227656E-2</v>
      </c>
      <c r="O31" s="11"/>
      <c r="P31" s="6">
        <v>92638.89</v>
      </c>
      <c r="Q31" s="2"/>
      <c r="R31" s="7">
        <f t="shared" si="12"/>
        <v>0</v>
      </c>
      <c r="S31" s="2"/>
      <c r="T31" s="6">
        <v>90204.230769230606</v>
      </c>
      <c r="U31" s="2"/>
      <c r="V31" s="7">
        <f t="shared" si="13"/>
        <v>0</v>
      </c>
      <c r="W31" s="2"/>
      <c r="X31" s="6">
        <f t="shared" si="14"/>
        <v>2434.6592307693936</v>
      </c>
      <c r="Y31" s="2"/>
      <c r="Z31" s="7">
        <f t="shared" si="15"/>
        <v>2.6990521508885541E-2</v>
      </c>
    </row>
    <row r="32" spans="1:26" s="24" customFormat="1" hidden="1" outlineLevel="2" x14ac:dyDescent="0.3">
      <c r="A32" s="27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3">
      <c r="A33" s="27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5438.4</v>
      </c>
      <c r="I33" s="2"/>
      <c r="J33" s="7">
        <f t="shared" si="9"/>
        <v>0</v>
      </c>
      <c r="K33" s="2"/>
      <c r="L33" s="6">
        <f t="shared" si="10"/>
        <v>-5438.4</v>
      </c>
      <c r="M33" s="2"/>
      <c r="N33" s="7">
        <f t="shared" si="11"/>
        <v>-1</v>
      </c>
      <c r="O33" s="11"/>
      <c r="P33" s="6"/>
      <c r="Q33" s="2"/>
      <c r="R33" s="7">
        <f t="shared" si="12"/>
        <v>0</v>
      </c>
      <c r="S33" s="2"/>
      <c r="T33" s="6">
        <v>29911.200000000001</v>
      </c>
      <c r="U33" s="2"/>
      <c r="V33" s="7">
        <f t="shared" si="13"/>
        <v>0</v>
      </c>
      <c r="W33" s="2"/>
      <c r="X33" s="6">
        <f t="shared" si="14"/>
        <v>-29911.200000000001</v>
      </c>
      <c r="Y33" s="2"/>
      <c r="Z33" s="7">
        <f t="shared" si="15"/>
        <v>-1</v>
      </c>
    </row>
    <row r="34" spans="1:26" s="24" customFormat="1" hidden="1" outlineLevel="2" x14ac:dyDescent="0.3">
      <c r="A34" s="27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3">
      <c r="A35" s="27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3">
      <c r="A36" s="27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3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3">
      <c r="A38" s="27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3">
      <c r="A39" s="27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9" customFormat="1" outlineLevel="1" collapsed="1" x14ac:dyDescent="0.3">
      <c r="A40" s="28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0</v>
      </c>
      <c r="E40" s="1"/>
      <c r="F40" s="5">
        <f t="shared" ref="F40:F44" si="16">IF(D$12=0,0,D40/D$12)</f>
        <v>0</v>
      </c>
      <c r="G40" s="1"/>
      <c r="H40" s="1">
        <f>SUM(OSRRefH22_2x_0)</f>
        <v>0</v>
      </c>
      <c r="I40" s="1"/>
      <c r="J40" s="5">
        <f t="shared" ref="J40:J44" si="17">IF(H$12=0,0,H40/H$12)</f>
        <v>0</v>
      </c>
      <c r="K40" s="1"/>
      <c r="L40" s="1">
        <f t="shared" ref="L40:L44" si="18">+D40-H40</f>
        <v>0</v>
      </c>
      <c r="M40" s="1"/>
      <c r="N40" s="5">
        <f t="shared" ref="N40:N44" si="19">IF(H40=0,0,L40/H40)</f>
        <v>0</v>
      </c>
      <c r="O40" s="14"/>
      <c r="P40" s="1">
        <f>SUM(OSRRefP22_2x_0)</f>
        <v>0</v>
      </c>
      <c r="Q40" s="1"/>
      <c r="R40" s="5">
        <f t="shared" ref="R40:R44" si="20">IF(P$12=0,0,P40/P$12)</f>
        <v>0</v>
      </c>
      <c r="S40" s="1"/>
      <c r="T40" s="1">
        <f>SUM(OSRRefT22_2x_0)</f>
        <v>0</v>
      </c>
      <c r="U40" s="1"/>
      <c r="V40" s="5">
        <f t="shared" ref="V40:V44" si="21">IF(T$12=0,0,T40/T$12)</f>
        <v>0</v>
      </c>
      <c r="W40" s="1"/>
      <c r="X40" s="1">
        <f t="shared" ref="X40:X44" si="22">+P40-T40</f>
        <v>0</v>
      </c>
      <c r="Y40" s="1"/>
      <c r="Z40" s="5">
        <f t="shared" ref="Z40:Z44" si="23">IF(T40=0,0,X40/T40)</f>
        <v>0</v>
      </c>
    </row>
    <row r="41" spans="1:26" s="24" customFormat="1" hidden="1" outlineLevel="2" x14ac:dyDescent="0.3">
      <c r="A41" s="27"/>
      <c r="B41" s="11" t="str">
        <f>CONCATENATE("          ", "6362", " - ", "ADVERTISING EXPENSE")</f>
        <v xml:space="preserve">          6362 - ADVERTISING EXPENSE</v>
      </c>
      <c r="C41" s="11"/>
      <c r="D41" s="6"/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1"/>
      <c r="P41" s="6"/>
      <c r="Q41" s="2"/>
      <c r="R41" s="7">
        <f t="shared" si="20"/>
        <v>0</v>
      </c>
      <c r="S41" s="2"/>
      <c r="T41" s="6">
        <v>0</v>
      </c>
      <c r="U41" s="2"/>
      <c r="V41" s="7">
        <f t="shared" si="21"/>
        <v>0</v>
      </c>
      <c r="W41" s="2"/>
      <c r="X41" s="6">
        <f t="shared" si="22"/>
        <v>0</v>
      </c>
      <c r="Y41" s="2"/>
      <c r="Z41" s="7">
        <f t="shared" si="23"/>
        <v>0</v>
      </c>
    </row>
    <row r="42" spans="1:26" s="29" customFormat="1" outlineLevel="1" collapsed="1" x14ac:dyDescent="0.3">
      <c r="A42" s="28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SUM(OSRRefD22_3x_0)</f>
        <v>2140.89</v>
      </c>
      <c r="E42" s="1"/>
      <c r="F42" s="5">
        <f t="shared" si="16"/>
        <v>0</v>
      </c>
      <c r="G42" s="1"/>
      <c r="H42" s="1">
        <f>SUM(OSRRefH22_3x_0)</f>
        <v>2099</v>
      </c>
      <c r="I42" s="1"/>
      <c r="J42" s="5">
        <f t="shared" si="17"/>
        <v>0</v>
      </c>
      <c r="K42" s="1"/>
      <c r="L42" s="1">
        <f t="shared" si="18"/>
        <v>41.889999999999873</v>
      </c>
      <c r="M42" s="1"/>
      <c r="N42" s="5">
        <f t="shared" si="19"/>
        <v>1.9957122439256729E-2</v>
      </c>
      <c r="O42" s="14"/>
      <c r="P42" s="1">
        <f>SUM(OSRRefP22_3x_0)</f>
        <v>19576.89</v>
      </c>
      <c r="Q42" s="1"/>
      <c r="R42" s="5">
        <f t="shared" si="20"/>
        <v>0</v>
      </c>
      <c r="S42" s="1"/>
      <c r="T42" s="1">
        <f>SUM(OSRRefT22_3x_0)</f>
        <v>19366</v>
      </c>
      <c r="U42" s="1"/>
      <c r="V42" s="5">
        <f t="shared" si="21"/>
        <v>0</v>
      </c>
      <c r="W42" s="1"/>
      <c r="X42" s="1">
        <f t="shared" si="22"/>
        <v>210.88999999999942</v>
      </c>
      <c r="Y42" s="1"/>
      <c r="Z42" s="5">
        <f t="shared" si="23"/>
        <v>1.088970360425485E-2</v>
      </c>
    </row>
    <row r="43" spans="1:26" s="24" customFormat="1" hidden="1" outlineLevel="2" x14ac:dyDescent="0.3">
      <c r="A43" s="27"/>
      <c r="B43" s="11" t="str">
        <f>CONCATENATE("          ", "6322", " - ", "EQUIPMENT DEPRECIATION EXPENSE")</f>
        <v xml:space="preserve">          6322 - EQUIPMENT DEPRECIATION EXPENSE</v>
      </c>
      <c r="C43" s="11"/>
      <c r="D43" s="6">
        <v>2140.89</v>
      </c>
      <c r="E43" s="2"/>
      <c r="F43" s="7">
        <f t="shared" si="16"/>
        <v>0</v>
      </c>
      <c r="G43" s="2"/>
      <c r="H43" s="6">
        <v>1599</v>
      </c>
      <c r="I43" s="2"/>
      <c r="J43" s="7">
        <f t="shared" si="17"/>
        <v>0</v>
      </c>
      <c r="K43" s="2"/>
      <c r="L43" s="6">
        <f t="shared" si="18"/>
        <v>541.88999999999987</v>
      </c>
      <c r="M43" s="2"/>
      <c r="N43" s="7">
        <f t="shared" si="19"/>
        <v>0.33889305816135079</v>
      </c>
      <c r="O43" s="11"/>
      <c r="P43" s="6">
        <v>19576.89</v>
      </c>
      <c r="Q43" s="2"/>
      <c r="R43" s="7">
        <f t="shared" si="20"/>
        <v>0</v>
      </c>
      <c r="S43" s="2"/>
      <c r="T43" s="6">
        <v>16866</v>
      </c>
      <c r="U43" s="2"/>
      <c r="V43" s="7">
        <f t="shared" si="21"/>
        <v>0</v>
      </c>
      <c r="W43" s="2"/>
      <c r="X43" s="6">
        <f t="shared" si="22"/>
        <v>2710.8899999999994</v>
      </c>
      <c r="Y43" s="2"/>
      <c r="Z43" s="7">
        <f t="shared" si="23"/>
        <v>0.16073105656350051</v>
      </c>
    </row>
    <row r="44" spans="1:26" s="24" customFormat="1" hidden="1" outlineLevel="2" x14ac:dyDescent="0.3">
      <c r="A44" s="27"/>
      <c r="B44" s="11" t="str">
        <f>CONCATENATE("          ", "6324", " - ", "FURNITURE + FIXT DEPRECIATION")</f>
        <v xml:space="preserve">          6324 - FURNITURE + FIXT DEPRECIATION</v>
      </c>
      <c r="C44" s="11"/>
      <c r="D44" s="6"/>
      <c r="E44" s="2"/>
      <c r="F44" s="7">
        <f t="shared" si="16"/>
        <v>0</v>
      </c>
      <c r="G44" s="2"/>
      <c r="H44" s="6">
        <v>500</v>
      </c>
      <c r="I44" s="2"/>
      <c r="J44" s="7">
        <f t="shared" si="17"/>
        <v>0</v>
      </c>
      <c r="K44" s="2"/>
      <c r="L44" s="6">
        <f t="shared" si="18"/>
        <v>-500</v>
      </c>
      <c r="M44" s="2"/>
      <c r="N44" s="7">
        <f t="shared" si="19"/>
        <v>-1</v>
      </c>
      <c r="O44" s="11"/>
      <c r="P44" s="6"/>
      <c r="Q44" s="2"/>
      <c r="R44" s="7">
        <f t="shared" si="20"/>
        <v>0</v>
      </c>
      <c r="S44" s="2"/>
      <c r="T44" s="6">
        <v>2500</v>
      </c>
      <c r="U44" s="2"/>
      <c r="V44" s="7">
        <f t="shared" si="21"/>
        <v>0</v>
      </c>
      <c r="W44" s="2"/>
      <c r="X44" s="6">
        <f t="shared" si="22"/>
        <v>-2500</v>
      </c>
      <c r="Y44" s="2"/>
      <c r="Z44" s="7">
        <f t="shared" si="23"/>
        <v>-1</v>
      </c>
    </row>
    <row r="45" spans="1:26" s="29" customFormat="1" outlineLevel="1" collapsed="1" x14ac:dyDescent="0.3">
      <c r="A45" s="28"/>
      <c r="B45" s="14" t="str">
        <f>CONCATENATE("     ","Insurance                                         ")</f>
        <v xml:space="preserve">     Insurance                                         </v>
      </c>
      <c r="C45" s="14"/>
      <c r="D45" s="1">
        <f>SUM(OSRRefD22_4x_0)</f>
        <v>76.569999999999993</v>
      </c>
      <c r="E45" s="1"/>
      <c r="F45" s="5">
        <f t="shared" ref="F45:F51" si="24">IF(D$12=0,0,D45/D$12)</f>
        <v>0</v>
      </c>
      <c r="G45" s="1"/>
      <c r="H45" s="1">
        <f>SUM(OSRRefH22_4x_0)</f>
        <v>75</v>
      </c>
      <c r="I45" s="1"/>
      <c r="J45" s="5">
        <f t="shared" ref="J45:J51" si="25">IF(H$12=0,0,H45/H$12)</f>
        <v>0</v>
      </c>
      <c r="K45" s="1"/>
      <c r="L45" s="1">
        <f t="shared" ref="L45:L51" si="26">+D45-H45</f>
        <v>1.5699999999999932</v>
      </c>
      <c r="M45" s="1"/>
      <c r="N45" s="5">
        <f t="shared" ref="N45:N51" si="27">IF(H45=0,0,L45/H45)</f>
        <v>2.0933333333333241E-2</v>
      </c>
      <c r="O45" s="14"/>
      <c r="P45" s="1">
        <f>SUM(OSRRefP22_4x_0)</f>
        <v>382.85</v>
      </c>
      <c r="Q45" s="1"/>
      <c r="R45" s="5">
        <f t="shared" ref="R45:R51" si="28">IF(P$12=0,0,P45/P$12)</f>
        <v>0</v>
      </c>
      <c r="S45" s="1"/>
      <c r="T45" s="1">
        <f>SUM(OSRRefT22_4x_0)</f>
        <v>375</v>
      </c>
      <c r="U45" s="1"/>
      <c r="V45" s="5">
        <f t="shared" ref="V45:V51" si="29">IF(T$12=0,0,T45/T$12)</f>
        <v>0</v>
      </c>
      <c r="W45" s="1"/>
      <c r="X45" s="1">
        <f t="shared" ref="X45:X51" si="30">+P45-T45</f>
        <v>7.8500000000000227</v>
      </c>
      <c r="Y45" s="1"/>
      <c r="Z45" s="5">
        <f t="shared" ref="Z45:Z51" si="31">IF(T45=0,0,X45/T45)</f>
        <v>2.0933333333333394E-2</v>
      </c>
    </row>
    <row r="46" spans="1:26" s="24" customFormat="1" hidden="1" outlineLevel="2" x14ac:dyDescent="0.3">
      <c r="A46" s="27"/>
      <c r="B46" s="11" t="str">
        <f>CONCATENATE("          ", "6314", " - ", "LIABILITY INSURANCE")</f>
        <v xml:space="preserve">          6314 - LIABILITY INSURANCE</v>
      </c>
      <c r="C46" s="11"/>
      <c r="D46" s="6">
        <v>76.569999999999993</v>
      </c>
      <c r="E46" s="2"/>
      <c r="F46" s="7">
        <f t="shared" si="24"/>
        <v>0</v>
      </c>
      <c r="G46" s="2"/>
      <c r="H46" s="6">
        <v>75</v>
      </c>
      <c r="I46" s="2"/>
      <c r="J46" s="7">
        <f t="shared" si="25"/>
        <v>0</v>
      </c>
      <c r="K46" s="2"/>
      <c r="L46" s="6">
        <f t="shared" si="26"/>
        <v>1.5699999999999932</v>
      </c>
      <c r="M46" s="2"/>
      <c r="N46" s="7">
        <f t="shared" si="27"/>
        <v>2.0933333333333241E-2</v>
      </c>
      <c r="O46" s="11"/>
      <c r="P46" s="6">
        <v>382.85</v>
      </c>
      <c r="Q46" s="2"/>
      <c r="R46" s="7">
        <f t="shared" si="28"/>
        <v>0</v>
      </c>
      <c r="S46" s="2"/>
      <c r="T46" s="6">
        <v>375</v>
      </c>
      <c r="U46" s="2"/>
      <c r="V46" s="7">
        <f t="shared" si="29"/>
        <v>0</v>
      </c>
      <c r="W46" s="2"/>
      <c r="X46" s="6">
        <f t="shared" si="30"/>
        <v>7.8500000000000227</v>
      </c>
      <c r="Y46" s="2"/>
      <c r="Z46" s="7">
        <f t="shared" si="31"/>
        <v>2.0933333333333394E-2</v>
      </c>
    </row>
    <row r="47" spans="1:26" s="29" customFormat="1" outlineLevel="1" collapsed="1" x14ac:dyDescent="0.3">
      <c r="A47" s="28"/>
      <c r="B47" s="14" t="str">
        <f>CONCATENATE("     ","Repair and Maintenance                            ")</f>
        <v xml:space="preserve">     Repair and Maintenance                            </v>
      </c>
      <c r="C47" s="14"/>
      <c r="D47" s="1">
        <f>SUM(OSRRefD22_5x_0)</f>
        <v>9466</v>
      </c>
      <c r="E47" s="1"/>
      <c r="F47" s="5">
        <f t="shared" si="24"/>
        <v>0</v>
      </c>
      <c r="G47" s="1"/>
      <c r="H47" s="1">
        <f>SUM(OSRRefH22_5x_0)</f>
        <v>10467</v>
      </c>
      <c r="I47" s="1"/>
      <c r="J47" s="5">
        <f t="shared" si="25"/>
        <v>0</v>
      </c>
      <c r="K47" s="1"/>
      <c r="L47" s="1">
        <f t="shared" si="26"/>
        <v>-1001</v>
      </c>
      <c r="M47" s="1"/>
      <c r="N47" s="5">
        <f t="shared" si="27"/>
        <v>-9.5633897009649374E-2</v>
      </c>
      <c r="O47" s="14"/>
      <c r="P47" s="1">
        <f>SUM(OSRRefP22_5x_0)</f>
        <v>47837.579999999994</v>
      </c>
      <c r="Q47" s="1"/>
      <c r="R47" s="5">
        <f t="shared" si="28"/>
        <v>0</v>
      </c>
      <c r="S47" s="1"/>
      <c r="T47" s="1">
        <f>SUM(OSRRefT22_5x_0)</f>
        <v>55335</v>
      </c>
      <c r="U47" s="1"/>
      <c r="V47" s="5">
        <f t="shared" si="29"/>
        <v>0</v>
      </c>
      <c r="W47" s="1"/>
      <c r="X47" s="1">
        <f t="shared" si="30"/>
        <v>-7497.4200000000055</v>
      </c>
      <c r="Y47" s="1"/>
      <c r="Z47" s="5">
        <f t="shared" si="31"/>
        <v>-0.13549146110056937</v>
      </c>
    </row>
    <row r="48" spans="1:26" s="24" customFormat="1" hidden="1" outlineLevel="2" x14ac:dyDescent="0.3">
      <c r="A48" s="27"/>
      <c r="B48" s="11" t="str">
        <f>CONCATENATE("          ", "6371", " - ", "COMPUTER SOFTWARE MAINTENANCE")</f>
        <v xml:space="preserve">          6371 - COMPUTER SOFTWARE MAINTENANCE</v>
      </c>
      <c r="C48" s="11"/>
      <c r="D48" s="6"/>
      <c r="E48" s="2"/>
      <c r="F48" s="7">
        <f t="shared" si="24"/>
        <v>0</v>
      </c>
      <c r="G48" s="2"/>
      <c r="H48" s="6">
        <v>1000</v>
      </c>
      <c r="I48" s="2"/>
      <c r="J48" s="7">
        <f t="shared" si="25"/>
        <v>0</v>
      </c>
      <c r="K48" s="2"/>
      <c r="L48" s="6">
        <f t="shared" si="26"/>
        <v>-1000</v>
      </c>
      <c r="M48" s="2"/>
      <c r="N48" s="7">
        <f t="shared" si="27"/>
        <v>-1</v>
      </c>
      <c r="O48" s="11"/>
      <c r="P48" s="6">
        <v>1824</v>
      </c>
      <c r="Q48" s="2"/>
      <c r="R48" s="7">
        <f t="shared" si="28"/>
        <v>0</v>
      </c>
      <c r="S48" s="2"/>
      <c r="T48" s="6">
        <v>5000</v>
      </c>
      <c r="U48" s="2"/>
      <c r="V48" s="7">
        <f t="shared" si="29"/>
        <v>0</v>
      </c>
      <c r="W48" s="2"/>
      <c r="X48" s="6">
        <f t="shared" si="30"/>
        <v>-3176</v>
      </c>
      <c r="Y48" s="2"/>
      <c r="Z48" s="7">
        <f t="shared" si="31"/>
        <v>-0.63519999999999999</v>
      </c>
    </row>
    <row r="49" spans="1:26" s="24" customFormat="1" hidden="1" outlineLevel="2" x14ac:dyDescent="0.3">
      <c r="A49" s="27"/>
      <c r="B49" s="11" t="str">
        <f>CONCATENATE("          ", "6372", " - ", "COMPUTER HARDWARE MAINTENANCE")</f>
        <v xml:space="preserve">          6372 - COMPUTER HARDWARE MAINTENANCE</v>
      </c>
      <c r="C49" s="11"/>
      <c r="D49" s="6"/>
      <c r="E49" s="2"/>
      <c r="F49" s="7">
        <f t="shared" si="24"/>
        <v>0</v>
      </c>
      <c r="G49" s="2"/>
      <c r="H49" s="6">
        <v>0</v>
      </c>
      <c r="I49" s="2"/>
      <c r="J49" s="7">
        <f t="shared" si="25"/>
        <v>0</v>
      </c>
      <c r="K49" s="2"/>
      <c r="L49" s="6">
        <f t="shared" si="26"/>
        <v>0</v>
      </c>
      <c r="M49" s="2"/>
      <c r="N49" s="7">
        <f t="shared" si="27"/>
        <v>0</v>
      </c>
      <c r="O49" s="11"/>
      <c r="P49" s="6">
        <v>1008.07</v>
      </c>
      <c r="Q49" s="2"/>
      <c r="R49" s="7">
        <f t="shared" si="28"/>
        <v>0</v>
      </c>
      <c r="S49" s="2"/>
      <c r="T49" s="6">
        <v>3000</v>
      </c>
      <c r="U49" s="2"/>
      <c r="V49" s="7">
        <f t="shared" si="29"/>
        <v>0</v>
      </c>
      <c r="W49" s="2"/>
      <c r="X49" s="6">
        <f t="shared" si="30"/>
        <v>-1991.9299999999998</v>
      </c>
      <c r="Y49" s="2"/>
      <c r="Z49" s="7">
        <f t="shared" si="31"/>
        <v>-0.66397666666666666</v>
      </c>
    </row>
    <row r="50" spans="1:26" s="24" customFormat="1" hidden="1" outlineLevel="2" x14ac:dyDescent="0.3">
      <c r="A50" s="27"/>
      <c r="B50" s="11" t="str">
        <f>CONCATENATE("          ", "6373", " - ", "MAINTENANCE CONTRACTS")</f>
        <v xml:space="preserve">          6373 - MAINTENANCE CONTRACTS</v>
      </c>
      <c r="C50" s="11"/>
      <c r="D50" s="6">
        <v>9466</v>
      </c>
      <c r="E50" s="2"/>
      <c r="F50" s="7">
        <f t="shared" si="24"/>
        <v>0</v>
      </c>
      <c r="G50" s="2"/>
      <c r="H50" s="6">
        <v>9467</v>
      </c>
      <c r="I50" s="2"/>
      <c r="J50" s="7">
        <f t="shared" si="25"/>
        <v>0</v>
      </c>
      <c r="K50" s="2"/>
      <c r="L50" s="6">
        <f t="shared" si="26"/>
        <v>-1</v>
      </c>
      <c r="M50" s="2"/>
      <c r="N50" s="7">
        <f t="shared" si="27"/>
        <v>-1.0563008344776593E-4</v>
      </c>
      <c r="O50" s="11"/>
      <c r="P50" s="6">
        <v>44957.99</v>
      </c>
      <c r="Q50" s="2"/>
      <c r="R50" s="7">
        <f t="shared" si="28"/>
        <v>0</v>
      </c>
      <c r="S50" s="2"/>
      <c r="T50" s="6">
        <v>47335</v>
      </c>
      <c r="U50" s="2"/>
      <c r="V50" s="7">
        <f t="shared" si="29"/>
        <v>0</v>
      </c>
      <c r="W50" s="2"/>
      <c r="X50" s="6">
        <f t="shared" si="30"/>
        <v>-2377.010000000002</v>
      </c>
      <c r="Y50" s="2"/>
      <c r="Z50" s="7">
        <f t="shared" si="31"/>
        <v>-5.0216752931234857E-2</v>
      </c>
    </row>
    <row r="51" spans="1:26" s="24" customFormat="1" hidden="1" outlineLevel="2" x14ac:dyDescent="0.3">
      <c r="A51" s="27"/>
      <c r="B51" s="11" t="str">
        <f>CONCATENATE("          ", "6375", " - ", "OUTSIDE REPAIRS &amp; MAINTENANCE")</f>
        <v xml:space="preserve">          6375 - OUTSIDE REPAIRS &amp; MAINTENANCE</v>
      </c>
      <c r="C51" s="11"/>
      <c r="D51" s="6"/>
      <c r="E51" s="2"/>
      <c r="F51" s="7">
        <f t="shared" si="24"/>
        <v>0</v>
      </c>
      <c r="G51" s="2"/>
      <c r="H51" s="6"/>
      <c r="I51" s="2"/>
      <c r="J51" s="7">
        <f t="shared" si="25"/>
        <v>0</v>
      </c>
      <c r="K51" s="2"/>
      <c r="L51" s="6">
        <f t="shared" si="26"/>
        <v>0</v>
      </c>
      <c r="M51" s="2"/>
      <c r="N51" s="7">
        <f t="shared" si="27"/>
        <v>0</v>
      </c>
      <c r="O51" s="11"/>
      <c r="P51" s="6">
        <v>47.52</v>
      </c>
      <c r="Q51" s="2"/>
      <c r="R51" s="7">
        <f t="shared" si="28"/>
        <v>0</v>
      </c>
      <c r="S51" s="2"/>
      <c r="T51" s="6"/>
      <c r="U51" s="2"/>
      <c r="V51" s="7">
        <f t="shared" si="29"/>
        <v>0</v>
      </c>
      <c r="W51" s="2"/>
      <c r="X51" s="6">
        <f t="shared" si="30"/>
        <v>47.52</v>
      </c>
      <c r="Y51" s="2"/>
      <c r="Z51" s="7">
        <f t="shared" si="31"/>
        <v>0</v>
      </c>
    </row>
    <row r="52" spans="1:26" s="29" customFormat="1" outlineLevel="1" collapsed="1" x14ac:dyDescent="0.3">
      <c r="A52" s="28"/>
      <c r="B52" s="14" t="str">
        <f>CONCATENATE("     ","Supplies                                          ")</f>
        <v xml:space="preserve">     Supplies                                          </v>
      </c>
      <c r="C52" s="14"/>
      <c r="D52" s="1">
        <f>SUM(OSRRefD22_6x_0)</f>
        <v>5.83</v>
      </c>
      <c r="E52" s="1"/>
      <c r="F52" s="5">
        <f t="shared" ref="F52:F56" si="32">IF(D$12=0,0,D52/D$12)</f>
        <v>0</v>
      </c>
      <c r="G52" s="1"/>
      <c r="H52" s="1">
        <f>SUM(OSRRefH22_6x_0)</f>
        <v>100</v>
      </c>
      <c r="I52" s="1"/>
      <c r="J52" s="5">
        <f t="shared" ref="J52:J56" si="33">IF(H$12=0,0,H52/H$12)</f>
        <v>0</v>
      </c>
      <c r="K52" s="1"/>
      <c r="L52" s="1">
        <f t="shared" ref="L52:L56" si="34">+D52-H52</f>
        <v>-94.17</v>
      </c>
      <c r="M52" s="1"/>
      <c r="N52" s="5">
        <f t="shared" ref="N52:N56" si="35">IF(H52=0,0,L52/H52)</f>
        <v>-0.94169999999999998</v>
      </c>
      <c r="O52" s="14"/>
      <c r="P52" s="1">
        <f>SUM(OSRRefP22_6x_0)</f>
        <v>1355.57</v>
      </c>
      <c r="Q52" s="1"/>
      <c r="R52" s="5">
        <f t="shared" ref="R52:R56" si="36">IF(P$12=0,0,P52/P$12)</f>
        <v>0</v>
      </c>
      <c r="S52" s="1"/>
      <c r="T52" s="1">
        <f>SUM(OSRRefT22_6x_0)</f>
        <v>500</v>
      </c>
      <c r="U52" s="1"/>
      <c r="V52" s="5">
        <f t="shared" ref="V52:V56" si="37">IF(T$12=0,0,T52/T$12)</f>
        <v>0</v>
      </c>
      <c r="W52" s="1"/>
      <c r="X52" s="1">
        <f t="shared" ref="X52:X56" si="38">+P52-T52</f>
        <v>855.56999999999994</v>
      </c>
      <c r="Y52" s="1"/>
      <c r="Z52" s="5">
        <f t="shared" ref="Z52:Z56" si="39">IF(T52=0,0,X52/T52)</f>
        <v>1.7111399999999999</v>
      </c>
    </row>
    <row r="53" spans="1:26" s="24" customFormat="1" hidden="1" outlineLevel="2" x14ac:dyDescent="0.3">
      <c r="A53" s="27"/>
      <c r="B53" s="11" t="str">
        <f>CONCATENATE("          ", "6241", " - ", "OFFICE EXPENSE")</f>
        <v xml:space="preserve">          6241 - OFFICE EXPENSE</v>
      </c>
      <c r="C53" s="11"/>
      <c r="D53" s="6">
        <v>5.83</v>
      </c>
      <c r="E53" s="2"/>
      <c r="F53" s="7">
        <f t="shared" si="32"/>
        <v>0</v>
      </c>
      <c r="G53" s="2"/>
      <c r="H53" s="6">
        <v>100</v>
      </c>
      <c r="I53" s="2"/>
      <c r="J53" s="7">
        <f t="shared" si="33"/>
        <v>0</v>
      </c>
      <c r="K53" s="2"/>
      <c r="L53" s="6">
        <f t="shared" si="34"/>
        <v>-94.17</v>
      </c>
      <c r="M53" s="2"/>
      <c r="N53" s="7">
        <f t="shared" si="35"/>
        <v>-0.94169999999999998</v>
      </c>
      <c r="O53" s="11"/>
      <c r="P53" s="6">
        <v>1355.57</v>
      </c>
      <c r="Q53" s="2"/>
      <c r="R53" s="7">
        <f t="shared" si="36"/>
        <v>0</v>
      </c>
      <c r="S53" s="2"/>
      <c r="T53" s="6">
        <v>500</v>
      </c>
      <c r="U53" s="2"/>
      <c r="V53" s="7">
        <f t="shared" si="37"/>
        <v>0</v>
      </c>
      <c r="W53" s="2"/>
      <c r="X53" s="6">
        <f t="shared" si="38"/>
        <v>855.56999999999994</v>
      </c>
      <c r="Y53" s="2"/>
      <c r="Z53" s="7">
        <f t="shared" si="39"/>
        <v>1.7111399999999999</v>
      </c>
    </row>
    <row r="54" spans="1:26" s="29" customFormat="1" outlineLevel="1" collapsed="1" x14ac:dyDescent="0.3">
      <c r="A54" s="28"/>
      <c r="B54" s="14" t="str">
        <f>CONCATENATE("     ","Telephone/Data Lines                              ")</f>
        <v xml:space="preserve">     Telephone/Data Lines                              </v>
      </c>
      <c r="C54" s="14"/>
      <c r="D54" s="1">
        <f>SUM(OSRRefD22_7x_0)</f>
        <v>821.13</v>
      </c>
      <c r="E54" s="1"/>
      <c r="F54" s="5">
        <f t="shared" si="32"/>
        <v>0</v>
      </c>
      <c r="G54" s="1"/>
      <c r="H54" s="1">
        <f>SUM(OSRRefH22_7x_0)</f>
        <v>500</v>
      </c>
      <c r="I54" s="1"/>
      <c r="J54" s="5">
        <f t="shared" si="33"/>
        <v>0</v>
      </c>
      <c r="K54" s="1"/>
      <c r="L54" s="1">
        <f t="shared" si="34"/>
        <v>321.13</v>
      </c>
      <c r="M54" s="1"/>
      <c r="N54" s="5">
        <f t="shared" si="35"/>
        <v>0.64225999999999994</v>
      </c>
      <c r="O54" s="14"/>
      <c r="P54" s="1">
        <f>SUM(OSRRefP22_7x_0)</f>
        <v>4390.95</v>
      </c>
      <c r="Q54" s="1"/>
      <c r="R54" s="5">
        <f t="shared" si="36"/>
        <v>0</v>
      </c>
      <c r="S54" s="1"/>
      <c r="T54" s="1">
        <f>SUM(OSRRefT22_7x_0)</f>
        <v>2500</v>
      </c>
      <c r="U54" s="1"/>
      <c r="V54" s="5">
        <f t="shared" si="37"/>
        <v>0</v>
      </c>
      <c r="W54" s="1"/>
      <c r="X54" s="1">
        <f t="shared" si="38"/>
        <v>1890.9499999999998</v>
      </c>
      <c r="Y54" s="1"/>
      <c r="Z54" s="5">
        <f t="shared" si="39"/>
        <v>0.75637999999999994</v>
      </c>
    </row>
    <row r="55" spans="1:26" s="24" customFormat="1" hidden="1" outlineLevel="2" x14ac:dyDescent="0.3">
      <c r="A55" s="27"/>
      <c r="B55" s="11" t="str">
        <f>CONCATENATE("          ", "6303", " - ", "DATA PHONE LINES")</f>
        <v xml:space="preserve">          6303 - DATA PHONE LINES</v>
      </c>
      <c r="C55" s="11"/>
      <c r="D55" s="6">
        <v>170.98</v>
      </c>
      <c r="E55" s="2"/>
      <c r="F55" s="7">
        <f t="shared" si="32"/>
        <v>0</v>
      </c>
      <c r="G55" s="2"/>
      <c r="H55" s="6">
        <v>200</v>
      </c>
      <c r="I55" s="2"/>
      <c r="J55" s="7">
        <f t="shared" si="33"/>
        <v>0</v>
      </c>
      <c r="K55" s="2"/>
      <c r="L55" s="6">
        <f t="shared" si="34"/>
        <v>-29.02000000000001</v>
      </c>
      <c r="M55" s="2"/>
      <c r="N55" s="7">
        <f t="shared" si="35"/>
        <v>-0.14510000000000006</v>
      </c>
      <c r="O55" s="11"/>
      <c r="P55" s="6">
        <v>827.9</v>
      </c>
      <c r="Q55" s="2"/>
      <c r="R55" s="7">
        <f t="shared" si="36"/>
        <v>0</v>
      </c>
      <c r="S55" s="2"/>
      <c r="T55" s="6">
        <v>1000</v>
      </c>
      <c r="U55" s="2"/>
      <c r="V55" s="7">
        <f t="shared" si="37"/>
        <v>0</v>
      </c>
      <c r="W55" s="2"/>
      <c r="X55" s="6">
        <f t="shared" si="38"/>
        <v>-172.10000000000002</v>
      </c>
      <c r="Y55" s="2"/>
      <c r="Z55" s="7">
        <f t="shared" si="39"/>
        <v>-0.17210000000000003</v>
      </c>
    </row>
    <row r="56" spans="1:26" s="24" customFormat="1" hidden="1" outlineLevel="2" x14ac:dyDescent="0.3">
      <c r="A56" s="27"/>
      <c r="B56" s="11" t="str">
        <f>CONCATENATE("          ", "6309", " - ", "TELEPHONE")</f>
        <v xml:space="preserve">          6309 - TELEPHONE</v>
      </c>
      <c r="C56" s="11"/>
      <c r="D56" s="6">
        <v>650.15</v>
      </c>
      <c r="E56" s="2"/>
      <c r="F56" s="7">
        <f t="shared" si="32"/>
        <v>0</v>
      </c>
      <c r="G56" s="2"/>
      <c r="H56" s="6">
        <v>300</v>
      </c>
      <c r="I56" s="2"/>
      <c r="J56" s="7">
        <f t="shared" si="33"/>
        <v>0</v>
      </c>
      <c r="K56" s="2"/>
      <c r="L56" s="6">
        <f t="shared" si="34"/>
        <v>350.15</v>
      </c>
      <c r="M56" s="2"/>
      <c r="N56" s="7">
        <f t="shared" si="35"/>
        <v>1.1671666666666667</v>
      </c>
      <c r="O56" s="11"/>
      <c r="P56" s="6">
        <v>3563.05</v>
      </c>
      <c r="Q56" s="2"/>
      <c r="R56" s="7">
        <f t="shared" si="36"/>
        <v>0</v>
      </c>
      <c r="S56" s="2"/>
      <c r="T56" s="6">
        <v>1500</v>
      </c>
      <c r="U56" s="2"/>
      <c r="V56" s="7">
        <f t="shared" si="37"/>
        <v>0</v>
      </c>
      <c r="W56" s="2"/>
      <c r="X56" s="6">
        <f t="shared" si="38"/>
        <v>2063.0500000000002</v>
      </c>
      <c r="Y56" s="2"/>
      <c r="Z56" s="7">
        <f t="shared" si="39"/>
        <v>1.3753666666666668</v>
      </c>
    </row>
    <row r="57" spans="1:26" s="63" customFormat="1" x14ac:dyDescent="0.3">
      <c r="A57" s="36"/>
      <c r="B57" s="36"/>
      <c r="C57" s="36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6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x14ac:dyDescent="0.3">
      <c r="A58" s="10"/>
      <c r="B58" s="25" t="s">
        <v>293</v>
      </c>
      <c r="C58" s="10"/>
      <c r="D58" s="4">
        <f>SUM(0)</f>
        <v>0</v>
      </c>
      <c r="E58" s="4"/>
      <c r="F58" s="12">
        <f>IF(D$12=0,0,D58/D$12)</f>
        <v>0</v>
      </c>
      <c r="G58" s="4"/>
      <c r="H58" s="4">
        <f>SUM(0)</f>
        <v>0</v>
      </c>
      <c r="I58" s="4"/>
      <c r="J58" s="12">
        <f>IF(H$12=0,0,H58/H$12)</f>
        <v>0</v>
      </c>
      <c r="K58" s="4"/>
      <c r="L58" s="4">
        <f>+D58-H58</f>
        <v>0</v>
      </c>
      <c r="M58" s="4"/>
      <c r="N58" s="12">
        <f>IF(H58=0,0,L58/H58)</f>
        <v>0</v>
      </c>
      <c r="O58" s="10"/>
      <c r="P58" s="4">
        <f>SUM(0)</f>
        <v>0</v>
      </c>
      <c r="Q58" s="4"/>
      <c r="R58" s="12">
        <f>IF(P$12=0,0,P58/P$12)</f>
        <v>0</v>
      </c>
      <c r="S58" s="4"/>
      <c r="T58" s="4">
        <f>SUM(0)</f>
        <v>0</v>
      </c>
      <c r="U58" s="4"/>
      <c r="V58" s="12">
        <f>IF(T$12=0,0,T58/T$12)</f>
        <v>0</v>
      </c>
      <c r="W58" s="4"/>
      <c r="X58" s="4">
        <f>+P58-T58</f>
        <v>0</v>
      </c>
      <c r="Y58" s="4"/>
      <c r="Z58" s="12">
        <f>IF(T58=0,0,X58/T58)</f>
        <v>0</v>
      </c>
    </row>
    <row r="59" spans="1:26" x14ac:dyDescent="0.3">
      <c r="A59" s="9"/>
      <c r="B59" s="10"/>
      <c r="C59" s="10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O59" s="10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3">
      <c r="A60" s="10"/>
      <c r="B60" s="26" t="s">
        <v>277</v>
      </c>
      <c r="C60" s="26"/>
      <c r="D60" s="20">
        <f>+D16-D18+D58</f>
        <v>-39757.270000000004</v>
      </c>
      <c r="E60" s="13"/>
      <c r="F60" s="22">
        <f>IF(D$12=0,0,D60/D$12)</f>
        <v>0</v>
      </c>
      <c r="G60" s="13"/>
      <c r="H60" s="20">
        <f>+H16-H18+H58</f>
        <v>-46202.666047384599</v>
      </c>
      <c r="I60" s="13"/>
      <c r="J60" s="22">
        <f>IF(H$12=0,0,H60/H$12)</f>
        <v>0</v>
      </c>
      <c r="K60" s="15"/>
      <c r="L60" s="20">
        <f>+D60-H60</f>
        <v>6445.3960473845946</v>
      </c>
      <c r="M60" s="15"/>
      <c r="N60" s="22">
        <f>IF(H60=0,0,L60/H60)</f>
        <v>-0.13950268672319288</v>
      </c>
      <c r="O60" s="25"/>
      <c r="P60" s="20">
        <f>+P16-P18+P58</f>
        <v>-222427.84</v>
      </c>
      <c r="Q60" s="13"/>
      <c r="R60" s="22">
        <f>IF(P$12=0,0,P60/P$12)</f>
        <v>0</v>
      </c>
      <c r="S60" s="13"/>
      <c r="T60" s="20">
        <f>+T16-T18+T58</f>
        <v>-256547.16326061529</v>
      </c>
      <c r="U60" s="13"/>
      <c r="V60" s="22">
        <f>IF(T$12=0,0,T60/T$12)</f>
        <v>0</v>
      </c>
      <c r="W60" s="15"/>
      <c r="X60" s="20">
        <f>+P60-T60</f>
        <v>34119.323260615289</v>
      </c>
      <c r="Y60" s="15"/>
      <c r="Z60" s="22">
        <f>IF(T60=0,0,X60/T60)</f>
        <v>-0.13299435014978095</v>
      </c>
    </row>
    <row r="61" spans="1:26" x14ac:dyDescent="0.3">
      <c r="A61" s="9"/>
      <c r="B61" s="10"/>
      <c r="C61" s="9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3">
      <c r="A62" s="52"/>
      <c r="B62" s="10" t="s">
        <v>128</v>
      </c>
      <c r="C62" s="10"/>
      <c r="D62" s="4"/>
      <c r="E62" s="4"/>
      <c r="F62" s="12">
        <f>IF(D$12=0,0,D62/D$12)</f>
        <v>0</v>
      </c>
      <c r="G62" s="4"/>
      <c r="H62" s="4"/>
      <c r="I62" s="4"/>
      <c r="J62" s="12">
        <f>IF(H$12=0,0,H62/H$12)</f>
        <v>0</v>
      </c>
      <c r="K62" s="4"/>
      <c r="L62" s="4">
        <f>+D62-H62</f>
        <v>0</v>
      </c>
      <c r="M62" s="4"/>
      <c r="N62" s="12">
        <f>IF(H62=0,0,L62/H62)</f>
        <v>0</v>
      </c>
      <c r="O62" s="10"/>
      <c r="P62" s="4"/>
      <c r="Q62" s="4"/>
      <c r="R62" s="12">
        <f>IF(P$12=0,0,P62/P$12)</f>
        <v>0</v>
      </c>
      <c r="S62" s="4"/>
      <c r="T62" s="4"/>
      <c r="U62" s="4"/>
      <c r="V62" s="12">
        <f>IF(T$12=0,0,T62/T$12)</f>
        <v>0</v>
      </c>
      <c r="W62" s="4"/>
      <c r="X62" s="4">
        <f>+P62-T62</f>
        <v>0</v>
      </c>
      <c r="Y62" s="4"/>
      <c r="Z62" s="12">
        <f>IF(T62=0,0,X62/T62)</f>
        <v>0</v>
      </c>
    </row>
    <row r="63" spans="1:26" x14ac:dyDescent="0.3">
      <c r="A63" s="9"/>
      <c r="B63" s="10"/>
      <c r="C63" s="10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O63" s="10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ht="15" thickBot="1" x14ac:dyDescent="0.35">
      <c r="A64" s="10"/>
      <c r="B64" s="26" t="s">
        <v>126</v>
      </c>
      <c r="C64" s="26"/>
      <c r="D64" s="33">
        <f>+D60-D62</f>
        <v>-39757.270000000004</v>
      </c>
      <c r="E64" s="13"/>
      <c r="F64" s="34">
        <f>IF(D$12=0,0,D64/D$12)</f>
        <v>0</v>
      </c>
      <c r="G64" s="13"/>
      <c r="H64" s="33">
        <f>+H60-H62</f>
        <v>-46202.666047384599</v>
      </c>
      <c r="I64" s="13"/>
      <c r="J64" s="34">
        <f>IF(H$12=0,0,H64/H$12)</f>
        <v>0</v>
      </c>
      <c r="K64" s="15"/>
      <c r="L64" s="33">
        <f>D64-H64</f>
        <v>6445.3960473845946</v>
      </c>
      <c r="M64" s="15"/>
      <c r="N64" s="34">
        <f>IF(H64=0,0,L64/H64)</f>
        <v>-0.13950268672319288</v>
      </c>
      <c r="O64" s="25"/>
      <c r="P64" s="33">
        <f>+P60-P62</f>
        <v>-222427.84</v>
      </c>
      <c r="Q64" s="13"/>
      <c r="R64" s="34">
        <f>IF(P$12=0,0,P64/P$12)</f>
        <v>0</v>
      </c>
      <c r="S64" s="13"/>
      <c r="T64" s="33">
        <f>+T60-T62</f>
        <v>-256547.16326061529</v>
      </c>
      <c r="U64" s="13"/>
      <c r="V64" s="34">
        <f>IF(T$12=0,0,T64/T$12)</f>
        <v>0</v>
      </c>
      <c r="W64" s="15"/>
      <c r="X64" s="33">
        <f>P64-T64</f>
        <v>34119.323260615289</v>
      </c>
      <c r="Y64" s="15"/>
      <c r="Z64" s="34">
        <f>IF(T64=0,0,X64/T64)</f>
        <v>-0.13299435014978095</v>
      </c>
    </row>
    <row r="65" spans="1:26" ht="15" thickTop="1" x14ac:dyDescent="0.3">
      <c r="A65" s="9"/>
      <c r="B65" s="9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x14ac:dyDescent="0.3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" thickBot="1" x14ac:dyDescent="0.35">
      <c r="A67" s="10"/>
      <c r="B67" s="26" t="s">
        <v>294</v>
      </c>
      <c r="C67" s="26"/>
      <c r="D67" s="35">
        <f>SUM(D64:D66)</f>
        <v>-39757.270000000004</v>
      </c>
      <c r="E67" s="13"/>
      <c r="F67" s="32">
        <f>IF(D$12=0,0,D67/D$12)</f>
        <v>0</v>
      </c>
      <c r="G67" s="13"/>
      <c r="H67" s="35">
        <f>SUM(H64:H66)</f>
        <v>-46202.666047384599</v>
      </c>
      <c r="I67" s="13"/>
      <c r="J67" s="32">
        <f>IF(H$12=0,0,H67/H$12)</f>
        <v>0</v>
      </c>
      <c r="K67" s="15"/>
      <c r="L67" s="35">
        <f>+D67-H67</f>
        <v>6445.3960473845946</v>
      </c>
      <c r="M67" s="15"/>
      <c r="N67" s="32">
        <f>IF(H67=0,0,L67/H67)</f>
        <v>-0.13950268672319288</v>
      </c>
      <c r="O67" s="25"/>
      <c r="P67" s="35">
        <f>SUM(P64:P66)</f>
        <v>-222427.84</v>
      </c>
      <c r="Q67" s="13"/>
      <c r="R67" s="32">
        <f>IF(P$12=0,0,P67/P$12)</f>
        <v>0</v>
      </c>
      <c r="S67" s="13"/>
      <c r="T67" s="35">
        <f>SUM(T64:T66)</f>
        <v>-256547.16326061529</v>
      </c>
      <c r="U67" s="13"/>
      <c r="V67" s="32">
        <f>IF(T$12=0,0,T67/T$12)</f>
        <v>0</v>
      </c>
      <c r="W67" s="15"/>
      <c r="X67" s="35">
        <f>+P67-T67</f>
        <v>34119.323260615289</v>
      </c>
      <c r="Y67" s="15"/>
      <c r="Z67" s="32">
        <f>IF(T67=0,0,X67/T67)</f>
        <v>-0.13299435014978095</v>
      </c>
    </row>
    <row r="68" spans="1:26" ht="15" thickTop="1" x14ac:dyDescent="0.3">
      <c r="A68" s="9"/>
      <c r="C68" s="9"/>
      <c r="D68" s="17"/>
      <c r="E68" s="17"/>
      <c r="G68" s="17"/>
      <c r="H68" s="17"/>
      <c r="I68" s="17"/>
      <c r="J68" s="42"/>
      <c r="K68" s="17"/>
      <c r="L68" s="17"/>
      <c r="M68" s="17"/>
      <c r="P68" s="17"/>
      <c r="Q68" s="17"/>
      <c r="R68" s="42"/>
      <c r="S68" s="17"/>
      <c r="T68" s="17"/>
      <c r="U68" s="17"/>
      <c r="V68" s="42"/>
      <c r="W68" s="17"/>
      <c r="X68" s="17"/>
    </row>
    <row r="69" spans="1:26" x14ac:dyDescent="0.3">
      <c r="A69" s="9"/>
      <c r="B69" s="60">
        <v>44543.753113078703</v>
      </c>
      <c r="D69" s="17"/>
      <c r="E69" s="17"/>
      <c r="G69" s="17"/>
      <c r="H69" s="17"/>
      <c r="I69" s="17"/>
      <c r="J69" s="42"/>
      <c r="K69" s="17"/>
      <c r="L69" s="17"/>
      <c r="M69" s="17"/>
      <c r="P69" s="17"/>
      <c r="Q69" s="17"/>
      <c r="R69" s="42"/>
      <c r="S69" s="17"/>
      <c r="T69" s="17"/>
      <c r="U69" s="17"/>
      <c r="V69" s="42"/>
      <c r="W69" s="17"/>
      <c r="X69" s="17"/>
    </row>
    <row r="70" spans="1:26" x14ac:dyDescent="0.3">
      <c r="A70" s="9"/>
      <c r="B70" s="58" t="s">
        <v>56</v>
      </c>
      <c r="D70" s="17"/>
      <c r="E70" s="17"/>
      <c r="G70" s="17"/>
      <c r="H70" s="17"/>
      <c r="I70" s="17"/>
      <c r="J70" s="42"/>
      <c r="K70" s="17"/>
      <c r="L70" s="17"/>
      <c r="M70" s="17"/>
      <c r="P70" s="17"/>
      <c r="Q70" s="17"/>
      <c r="R70" s="42"/>
      <c r="S70" s="17"/>
      <c r="T70" s="17"/>
      <c r="U70" s="17"/>
      <c r="V70" s="42"/>
      <c r="W70" s="17"/>
      <c r="X70" s="17"/>
    </row>
    <row r="71" spans="1:26" x14ac:dyDescent="0.3">
      <c r="A71" s="9"/>
      <c r="B71" s="55"/>
      <c r="D71" s="17"/>
      <c r="E71" s="17"/>
      <c r="G71" s="17"/>
      <c r="H71" s="17"/>
      <c r="I71" s="17"/>
      <c r="J71" s="42"/>
      <c r="K71" s="17"/>
      <c r="L71" s="17"/>
      <c r="M71" s="17"/>
      <c r="P71" s="17"/>
      <c r="Q71" s="17"/>
      <c r="R71" s="42"/>
      <c r="S71" s="17"/>
      <c r="T71" s="17"/>
      <c r="U71" s="17"/>
      <c r="V71" s="42"/>
      <c r="W71" s="17"/>
      <c r="X71" s="17"/>
    </row>
    <row r="72" spans="1:26" x14ac:dyDescent="0.3">
      <c r="D72" s="17"/>
      <c r="E72" s="17"/>
      <c r="G72" s="17"/>
      <c r="H72" s="17"/>
      <c r="I72" s="17"/>
      <c r="J72" s="42"/>
      <c r="K72" s="17"/>
      <c r="L72" s="17"/>
      <c r="M72" s="17"/>
      <c r="P72" s="17"/>
      <c r="Q72" s="17"/>
      <c r="R72" s="42"/>
      <c r="S72" s="17"/>
      <c r="T72" s="17"/>
      <c r="U72" s="17"/>
      <c r="V72" s="42"/>
      <c r="W72" s="17"/>
      <c r="X72" s="17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92D050"/>
    <outlinePr summaryBelow="0" summaryRight="0"/>
  </sheetPr>
  <dimension ref="A2:Z7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","205", " - ", "Maintenance")</f>
        <v>Department 205 - Maintenance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5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1">
        <f>SUM(OSRRefD22x_0)</f>
        <v>6608.87</v>
      </c>
      <c r="E18" s="21"/>
      <c r="F18" s="30">
        <f t="shared" ref="F18:F28" si="0">IF(D$12=0,0,D18/D$12)</f>
        <v>0</v>
      </c>
      <c r="G18" s="21"/>
      <c r="H18" s="21">
        <f>SUM(OSRRefH22x_0)</f>
        <v>7437.9665799999993</v>
      </c>
      <c r="I18" s="21"/>
      <c r="J18" s="30">
        <f t="shared" ref="J18:J28" si="1">IF(H$12=0,0,H18/H$12)</f>
        <v>0</v>
      </c>
      <c r="K18" s="4"/>
      <c r="L18" s="21">
        <f t="shared" ref="L18:L28" si="2">+D18-H18</f>
        <v>-829.09657999999945</v>
      </c>
      <c r="M18" s="4"/>
      <c r="N18" s="30">
        <f t="shared" ref="N18:N28" si="3">IF(H18=0,0,L18/H18)</f>
        <v>-0.11146817763733478</v>
      </c>
      <c r="O18" s="10"/>
      <c r="P18" s="21">
        <f>SUM(OSRRefP22x_0)</f>
        <v>38049.19</v>
      </c>
      <c r="Q18" s="21"/>
      <c r="R18" s="30">
        <f t="shared" ref="R18:R28" si="4">IF(P$12=0,0,P18/P$12)</f>
        <v>0</v>
      </c>
      <c r="S18" s="21"/>
      <c r="T18" s="21">
        <f>SUM(OSRRefT22x_0)</f>
        <v>43941.316190000005</v>
      </c>
      <c r="U18" s="21"/>
      <c r="V18" s="30">
        <f t="shared" ref="V18:V28" si="5">IF(T$12=0,0,T18/T$12)</f>
        <v>0</v>
      </c>
      <c r="W18" s="4"/>
      <c r="X18" s="21">
        <f t="shared" ref="X18:X28" si="6">+P18-T18</f>
        <v>-5892.1261900000027</v>
      </c>
      <c r="Y18" s="4"/>
      <c r="Z18" s="30">
        <f t="shared" ref="Z18:Z28" si="7">IF(T18=0,0,X18/T18)</f>
        <v>-0.13409079884004271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2501.3500000000004</v>
      </c>
      <c r="E19" s="1"/>
      <c r="F19" s="5">
        <f t="shared" si="0"/>
        <v>0</v>
      </c>
      <c r="G19" s="1"/>
      <c r="H19" s="1">
        <f>SUM(OSRRefH22_0x_0)</f>
        <v>1854.7865799999997</v>
      </c>
      <c r="I19" s="1"/>
      <c r="J19" s="5">
        <f t="shared" si="1"/>
        <v>0</v>
      </c>
      <c r="K19" s="1"/>
      <c r="L19" s="1">
        <f t="shared" si="2"/>
        <v>646.56342000000063</v>
      </c>
      <c r="M19" s="1"/>
      <c r="N19" s="5">
        <f t="shared" si="3"/>
        <v>0.34859181480599277</v>
      </c>
      <c r="O19" s="14"/>
      <c r="P19" s="1">
        <f>SUM(OSRRefP22_0x_0)</f>
        <v>12747.6</v>
      </c>
      <c r="Q19" s="1"/>
      <c r="R19" s="5">
        <f t="shared" si="4"/>
        <v>0</v>
      </c>
      <c r="S19" s="1"/>
      <c r="T19" s="1">
        <f>SUM(OSRRefT22_0x_0)</f>
        <v>10113.826190000002</v>
      </c>
      <c r="U19" s="1"/>
      <c r="V19" s="5">
        <f t="shared" si="5"/>
        <v>0</v>
      </c>
      <c r="W19" s="1"/>
      <c r="X19" s="1">
        <f t="shared" si="6"/>
        <v>2633.7738099999988</v>
      </c>
      <c r="Y19" s="1"/>
      <c r="Z19" s="5">
        <f t="shared" si="7"/>
        <v>0.26041319679827307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6">
        <v>335.16</v>
      </c>
      <c r="E20" s="2"/>
      <c r="F20" s="7">
        <f t="shared" si="0"/>
        <v>0</v>
      </c>
      <c r="G20" s="2"/>
      <c r="H20" s="6">
        <v>331.06878</v>
      </c>
      <c r="I20" s="2"/>
      <c r="J20" s="7">
        <f t="shared" si="1"/>
        <v>0</v>
      </c>
      <c r="K20" s="2"/>
      <c r="L20" s="6">
        <f t="shared" si="2"/>
        <v>4.0912200000000212</v>
      </c>
      <c r="M20" s="2"/>
      <c r="N20" s="7">
        <f t="shared" si="3"/>
        <v>1.2357613424014252E-2</v>
      </c>
      <c r="O20" s="11"/>
      <c r="P20" s="6">
        <v>1813.62</v>
      </c>
      <c r="Q20" s="2"/>
      <c r="R20" s="7">
        <f t="shared" si="4"/>
        <v>0</v>
      </c>
      <c r="S20" s="2"/>
      <c r="T20" s="6">
        <v>1820.8782900000001</v>
      </c>
      <c r="U20" s="2"/>
      <c r="V20" s="7">
        <f t="shared" si="5"/>
        <v>0</v>
      </c>
      <c r="W20" s="2"/>
      <c r="X20" s="6">
        <f t="shared" si="6"/>
        <v>-7.2582900000002155</v>
      </c>
      <c r="Y20" s="2"/>
      <c r="Z20" s="7">
        <f t="shared" si="7"/>
        <v>-3.9861478056285767E-3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242.27</v>
      </c>
      <c r="E21" s="2"/>
      <c r="F21" s="7">
        <f t="shared" si="0"/>
        <v>0</v>
      </c>
      <c r="G21" s="2"/>
      <c r="H21" s="6">
        <v>295.03320000000002</v>
      </c>
      <c r="I21" s="2"/>
      <c r="J21" s="7">
        <f t="shared" si="1"/>
        <v>0</v>
      </c>
      <c r="K21" s="2"/>
      <c r="L21" s="6">
        <f t="shared" si="2"/>
        <v>-52.763200000000012</v>
      </c>
      <c r="M21" s="2"/>
      <c r="N21" s="7">
        <f t="shared" si="3"/>
        <v>-0.17883817821180806</v>
      </c>
      <c r="O21" s="11"/>
      <c r="P21" s="6">
        <v>1304.1199999999999</v>
      </c>
      <c r="Q21" s="2"/>
      <c r="R21" s="7">
        <f t="shared" si="4"/>
        <v>0</v>
      </c>
      <c r="S21" s="2"/>
      <c r="T21" s="6">
        <v>1622.6826000000001</v>
      </c>
      <c r="U21" s="2"/>
      <c r="V21" s="7">
        <f t="shared" si="5"/>
        <v>0</v>
      </c>
      <c r="W21" s="2"/>
      <c r="X21" s="6">
        <f t="shared" si="6"/>
        <v>-318.5626000000002</v>
      </c>
      <c r="Y21" s="2"/>
      <c r="Z21" s="7">
        <f t="shared" si="7"/>
        <v>-0.19631849136731988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6">
        <v>696.16</v>
      </c>
      <c r="E22" s="2"/>
      <c r="F22" s="7">
        <f t="shared" si="0"/>
        <v>0</v>
      </c>
      <c r="G22" s="2"/>
      <c r="H22" s="6">
        <v>612</v>
      </c>
      <c r="I22" s="2"/>
      <c r="J22" s="7">
        <f t="shared" si="1"/>
        <v>0</v>
      </c>
      <c r="K22" s="2"/>
      <c r="L22" s="6">
        <f t="shared" si="2"/>
        <v>84.159999999999968</v>
      </c>
      <c r="M22" s="2"/>
      <c r="N22" s="7">
        <f t="shared" si="3"/>
        <v>0.137516339869281</v>
      </c>
      <c r="O22" s="11"/>
      <c r="P22" s="6">
        <v>3492.05</v>
      </c>
      <c r="Q22" s="2"/>
      <c r="R22" s="7">
        <f t="shared" si="4"/>
        <v>0</v>
      </c>
      <c r="S22" s="2"/>
      <c r="T22" s="6">
        <v>3366</v>
      </c>
      <c r="U22" s="2"/>
      <c r="V22" s="7">
        <f t="shared" si="5"/>
        <v>0</v>
      </c>
      <c r="W22" s="2"/>
      <c r="X22" s="6">
        <f t="shared" si="6"/>
        <v>126.05000000000018</v>
      </c>
      <c r="Y22" s="2"/>
      <c r="Z22" s="7">
        <f t="shared" si="7"/>
        <v>3.7448009506833094E-2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11.39</v>
      </c>
      <c r="E23" s="2"/>
      <c r="F23" s="7">
        <f t="shared" si="0"/>
        <v>0</v>
      </c>
      <c r="G23" s="2"/>
      <c r="H23" s="6">
        <v>9.0846</v>
      </c>
      <c r="I23" s="2"/>
      <c r="J23" s="7">
        <f t="shared" si="1"/>
        <v>0</v>
      </c>
      <c r="K23" s="2"/>
      <c r="L23" s="6">
        <f t="shared" si="2"/>
        <v>2.3054000000000006</v>
      </c>
      <c r="M23" s="2"/>
      <c r="N23" s="7">
        <f t="shared" si="3"/>
        <v>0.25377011646082387</v>
      </c>
      <c r="O23" s="11"/>
      <c r="P23" s="6">
        <v>61.31</v>
      </c>
      <c r="Q23" s="2"/>
      <c r="R23" s="7">
        <f t="shared" si="4"/>
        <v>0</v>
      </c>
      <c r="S23" s="2"/>
      <c r="T23" s="6">
        <v>49.965299999999999</v>
      </c>
      <c r="U23" s="2"/>
      <c r="V23" s="7">
        <f t="shared" si="5"/>
        <v>0</v>
      </c>
      <c r="W23" s="2"/>
      <c r="X23" s="6">
        <f t="shared" si="6"/>
        <v>11.344700000000003</v>
      </c>
      <c r="Y23" s="2"/>
      <c r="Z23" s="7">
        <f t="shared" si="7"/>
        <v>0.22705157379221186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6">
        <v>475.21</v>
      </c>
      <c r="E24" s="2"/>
      <c r="F24" s="7">
        <f t="shared" si="0"/>
        <v>0</v>
      </c>
      <c r="G24" s="2"/>
      <c r="H24" s="6">
        <v>0</v>
      </c>
      <c r="I24" s="2"/>
      <c r="J24" s="7">
        <f t="shared" si="1"/>
        <v>0</v>
      </c>
      <c r="K24" s="2"/>
      <c r="L24" s="6">
        <f t="shared" si="2"/>
        <v>475.21</v>
      </c>
      <c r="M24" s="2"/>
      <c r="N24" s="7">
        <f t="shared" si="3"/>
        <v>0</v>
      </c>
      <c r="O24" s="11"/>
      <c r="P24" s="6">
        <v>2531.4</v>
      </c>
      <c r="Q24" s="2"/>
      <c r="R24" s="7">
        <f t="shared" si="4"/>
        <v>0</v>
      </c>
      <c r="S24" s="2"/>
      <c r="T24" s="6">
        <v>0</v>
      </c>
      <c r="U24" s="2"/>
      <c r="V24" s="7">
        <f t="shared" si="5"/>
        <v>0</v>
      </c>
      <c r="W24" s="2"/>
      <c r="X24" s="6">
        <f t="shared" si="6"/>
        <v>2531.4</v>
      </c>
      <c r="Y24" s="2"/>
      <c r="Z24" s="7">
        <f t="shared" si="7"/>
        <v>0</v>
      </c>
    </row>
    <row r="25" spans="1:26" s="24" customFormat="1" hidden="1" outlineLevel="2" x14ac:dyDescent="0.3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3">
      <c r="A26" s="27"/>
      <c r="B26" s="11" t="str">
        <f>CONCATENATE("          ", "6118", " - ", "VACATION")</f>
        <v xml:space="preserve">          6118 - VACATION</v>
      </c>
      <c r="C26" s="11"/>
      <c r="D26" s="6">
        <v>403.46</v>
      </c>
      <c r="E26" s="2"/>
      <c r="F26" s="7">
        <f t="shared" si="0"/>
        <v>0</v>
      </c>
      <c r="G26" s="2"/>
      <c r="H26" s="6">
        <v>346.08</v>
      </c>
      <c r="I26" s="2"/>
      <c r="J26" s="7">
        <f t="shared" si="1"/>
        <v>0</v>
      </c>
      <c r="K26" s="2"/>
      <c r="L26" s="6">
        <f t="shared" si="2"/>
        <v>57.379999999999995</v>
      </c>
      <c r="M26" s="2"/>
      <c r="N26" s="7">
        <f t="shared" si="3"/>
        <v>0.16579981507165972</v>
      </c>
      <c r="O26" s="11"/>
      <c r="P26" s="6">
        <v>1655.8</v>
      </c>
      <c r="Q26" s="2"/>
      <c r="R26" s="7">
        <f t="shared" si="4"/>
        <v>0</v>
      </c>
      <c r="S26" s="2"/>
      <c r="T26" s="6">
        <v>1903.44</v>
      </c>
      <c r="U26" s="2"/>
      <c r="V26" s="7">
        <f t="shared" si="5"/>
        <v>0</v>
      </c>
      <c r="W26" s="2"/>
      <c r="X26" s="6">
        <f t="shared" si="6"/>
        <v>-247.6400000000001</v>
      </c>
      <c r="Y26" s="2"/>
      <c r="Z26" s="7">
        <f t="shared" si="7"/>
        <v>-0.13010129029546511</v>
      </c>
    </row>
    <row r="27" spans="1:26" s="24" customFormat="1" hidden="1" outlineLevel="2" x14ac:dyDescent="0.3">
      <c r="A27" s="27"/>
      <c r="B27" s="11" t="str">
        <f>CONCATENATE("          ", "6119", " - ", "SICK LEAVE")</f>
        <v xml:space="preserve">          6119 - SICK LEAVE</v>
      </c>
      <c r="C27" s="11"/>
      <c r="D27" s="6">
        <v>201.46</v>
      </c>
      <c r="E27" s="2"/>
      <c r="F27" s="7">
        <f t="shared" si="0"/>
        <v>0</v>
      </c>
      <c r="G27" s="2"/>
      <c r="H27" s="6">
        <v>86.52</v>
      </c>
      <c r="I27" s="2"/>
      <c r="J27" s="7">
        <f t="shared" si="1"/>
        <v>0</v>
      </c>
      <c r="K27" s="2"/>
      <c r="L27" s="6">
        <f t="shared" si="2"/>
        <v>114.94000000000001</v>
      </c>
      <c r="M27" s="2"/>
      <c r="N27" s="7">
        <f t="shared" si="3"/>
        <v>1.3284789644012946</v>
      </c>
      <c r="O27" s="11"/>
      <c r="P27" s="6">
        <v>1073.2</v>
      </c>
      <c r="Q27" s="2"/>
      <c r="R27" s="7">
        <f t="shared" si="4"/>
        <v>0</v>
      </c>
      <c r="S27" s="2"/>
      <c r="T27" s="6">
        <v>475.86</v>
      </c>
      <c r="U27" s="2"/>
      <c r="V27" s="7">
        <f t="shared" si="5"/>
        <v>0</v>
      </c>
      <c r="W27" s="2"/>
      <c r="X27" s="6">
        <f t="shared" si="6"/>
        <v>597.34</v>
      </c>
      <c r="Y27" s="2"/>
      <c r="Z27" s="7">
        <f t="shared" si="7"/>
        <v>1.2552851679065271</v>
      </c>
    </row>
    <row r="28" spans="1:26" s="24" customFormat="1" hidden="1" outlineLevel="2" x14ac:dyDescent="0.3">
      <c r="A28" s="27"/>
      <c r="B28" s="11" t="str">
        <f>CONCATENATE("          ", "6156", " - ", "EMPLOYEE MEALS")</f>
        <v xml:space="preserve">          6156 - EMPLOYEE MEALS</v>
      </c>
      <c r="C28" s="11"/>
      <c r="D28" s="6">
        <v>136.24</v>
      </c>
      <c r="E28" s="2"/>
      <c r="F28" s="7">
        <f t="shared" si="0"/>
        <v>0</v>
      </c>
      <c r="G28" s="2"/>
      <c r="H28" s="6">
        <v>175</v>
      </c>
      <c r="I28" s="2"/>
      <c r="J28" s="7">
        <f t="shared" si="1"/>
        <v>0</v>
      </c>
      <c r="K28" s="2"/>
      <c r="L28" s="6">
        <f t="shared" si="2"/>
        <v>-38.759999999999991</v>
      </c>
      <c r="M28" s="2"/>
      <c r="N28" s="7">
        <f t="shared" si="3"/>
        <v>-0.22148571428571423</v>
      </c>
      <c r="O28" s="11"/>
      <c r="P28" s="6">
        <v>816.1</v>
      </c>
      <c r="Q28" s="2"/>
      <c r="R28" s="7">
        <f t="shared" si="4"/>
        <v>0</v>
      </c>
      <c r="S28" s="2"/>
      <c r="T28" s="6">
        <v>875</v>
      </c>
      <c r="U28" s="2"/>
      <c r="V28" s="7">
        <f t="shared" si="5"/>
        <v>0</v>
      </c>
      <c r="W28" s="2"/>
      <c r="X28" s="6">
        <f t="shared" si="6"/>
        <v>-58.899999999999977</v>
      </c>
      <c r="Y28" s="2"/>
      <c r="Z28" s="7">
        <f t="shared" si="7"/>
        <v>-6.7314285714285688E-2</v>
      </c>
    </row>
    <row r="29" spans="1:26" s="29" customFormat="1" outlineLevel="1" collapsed="1" x14ac:dyDescent="0.3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3057.4</v>
      </c>
      <c r="E29" s="1"/>
      <c r="F29" s="5">
        <f t="shared" ref="F29:F39" si="8">IF(D$12=0,0,D29/D$12)</f>
        <v>0</v>
      </c>
      <c r="G29" s="1"/>
      <c r="H29" s="1">
        <f>SUM(OSRRefH22_1x_0)</f>
        <v>4023.18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-965.77999999999975</v>
      </c>
      <c r="M29" s="1"/>
      <c r="N29" s="5">
        <f t="shared" ref="N29:N39" si="11">IF(H29=0,0,L29/H29)</f>
        <v>-0.24005388772065872</v>
      </c>
      <c r="O29" s="14"/>
      <c r="P29" s="1">
        <f>SUM(OSRRefP22_1x_0)</f>
        <v>20860.38</v>
      </c>
      <c r="Q29" s="1"/>
      <c r="R29" s="5">
        <f t="shared" ref="R29:R39" si="12">IF(P$12=0,0,P29/P$12)</f>
        <v>0</v>
      </c>
      <c r="S29" s="1"/>
      <c r="T29" s="1">
        <f>SUM(OSRRefT22_1x_0)</f>
        <v>22127.49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-1267.1100000000006</v>
      </c>
      <c r="Y29" s="1"/>
      <c r="Z29" s="5">
        <f t="shared" ref="Z29:Z39" si="15">IF(T29=0,0,X29/T29)</f>
        <v>-5.7264063840950806E-2</v>
      </c>
    </row>
    <row r="30" spans="1:26" s="24" customFormat="1" hidden="1" outlineLevel="2" x14ac:dyDescent="0.3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/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0</v>
      </c>
      <c r="Y30" s="2"/>
      <c r="Z30" s="7">
        <f t="shared" si="15"/>
        <v>0</v>
      </c>
    </row>
    <row r="31" spans="1:26" s="24" customFormat="1" hidden="1" outlineLevel="2" x14ac:dyDescent="0.3">
      <c r="A31" s="27"/>
      <c r="B31" s="11" t="str">
        <f>CONCATENATE("          ", "6002", " - ", "STAFF SALARIES")</f>
        <v xml:space="preserve">          6002 - STAFF SALARIES</v>
      </c>
      <c r="C31" s="11"/>
      <c r="D31" s="6">
        <v>3057.4</v>
      </c>
      <c r="E31" s="2"/>
      <c r="F31" s="7">
        <f t="shared" si="8"/>
        <v>0</v>
      </c>
      <c r="G31" s="2"/>
      <c r="H31" s="6">
        <v>0</v>
      </c>
      <c r="I31" s="2"/>
      <c r="J31" s="7">
        <f t="shared" si="9"/>
        <v>0</v>
      </c>
      <c r="K31" s="2"/>
      <c r="L31" s="6">
        <f t="shared" si="10"/>
        <v>3057.4</v>
      </c>
      <c r="M31" s="2"/>
      <c r="N31" s="7">
        <f t="shared" si="11"/>
        <v>0</v>
      </c>
      <c r="O31" s="11"/>
      <c r="P31" s="6">
        <v>20860.38</v>
      </c>
      <c r="Q31" s="2"/>
      <c r="R31" s="7">
        <f t="shared" si="12"/>
        <v>0</v>
      </c>
      <c r="S31" s="2"/>
      <c r="T31" s="6">
        <v>0</v>
      </c>
      <c r="U31" s="2"/>
      <c r="V31" s="7">
        <f t="shared" si="13"/>
        <v>0</v>
      </c>
      <c r="W31" s="2"/>
      <c r="X31" s="6">
        <f t="shared" si="14"/>
        <v>20860.38</v>
      </c>
      <c r="Y31" s="2"/>
      <c r="Z31" s="7">
        <f t="shared" si="15"/>
        <v>0</v>
      </c>
    </row>
    <row r="32" spans="1:26" s="24" customFormat="1" hidden="1" outlineLevel="2" x14ac:dyDescent="0.3">
      <c r="A32" s="27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3">
      <c r="A33" s="27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4023.18</v>
      </c>
      <c r="I33" s="2"/>
      <c r="J33" s="7">
        <f t="shared" si="9"/>
        <v>0</v>
      </c>
      <c r="K33" s="2"/>
      <c r="L33" s="6">
        <f t="shared" si="10"/>
        <v>-4023.18</v>
      </c>
      <c r="M33" s="2"/>
      <c r="N33" s="7">
        <f t="shared" si="11"/>
        <v>-1</v>
      </c>
      <c r="O33" s="11"/>
      <c r="P33" s="6"/>
      <c r="Q33" s="2"/>
      <c r="R33" s="7">
        <f t="shared" si="12"/>
        <v>0</v>
      </c>
      <c r="S33" s="2"/>
      <c r="T33" s="6">
        <v>22127.49</v>
      </c>
      <c r="U33" s="2"/>
      <c r="V33" s="7">
        <f t="shared" si="13"/>
        <v>0</v>
      </c>
      <c r="W33" s="2"/>
      <c r="X33" s="6">
        <f t="shared" si="14"/>
        <v>-22127.49</v>
      </c>
      <c r="Y33" s="2"/>
      <c r="Z33" s="7">
        <f t="shared" si="15"/>
        <v>-1</v>
      </c>
    </row>
    <row r="34" spans="1:26" s="24" customFormat="1" hidden="1" outlineLevel="2" x14ac:dyDescent="0.3">
      <c r="A34" s="27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3">
      <c r="A35" s="27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3">
      <c r="A36" s="27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3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3">
      <c r="A38" s="27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3">
      <c r="A39" s="27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9" customFormat="1" outlineLevel="1" collapsed="1" x14ac:dyDescent="0.3">
      <c r="A40" s="28"/>
      <c r="B40" s="14" t="str">
        <f>CONCATENATE("     ","General                                           ")</f>
        <v xml:space="preserve">     General                                           </v>
      </c>
      <c r="C40" s="14"/>
      <c r="D40" s="1">
        <f>SUM(OSRRefD22_2x_0)</f>
        <v>0</v>
      </c>
      <c r="E40" s="1"/>
      <c r="F40" s="5">
        <f t="shared" ref="F40:F46" si="16">IF(D$12=0,0,D40/D$12)</f>
        <v>0</v>
      </c>
      <c r="G40" s="1"/>
      <c r="H40" s="1">
        <f>SUM(OSRRefH22_2x_0)</f>
        <v>-150</v>
      </c>
      <c r="I40" s="1"/>
      <c r="J40" s="5">
        <f t="shared" ref="J40:J46" si="17">IF(H$12=0,0,H40/H$12)</f>
        <v>0</v>
      </c>
      <c r="K40" s="1"/>
      <c r="L40" s="1">
        <f t="shared" ref="L40:L46" si="18">+D40-H40</f>
        <v>150</v>
      </c>
      <c r="M40" s="1"/>
      <c r="N40" s="5">
        <f t="shared" ref="N40:N46" si="19">IF(H40=0,0,L40/H40)</f>
        <v>-1</v>
      </c>
      <c r="O40" s="14"/>
      <c r="P40" s="1">
        <f>SUM(OSRRefP22_2x_0)</f>
        <v>-906.57</v>
      </c>
      <c r="Q40" s="1"/>
      <c r="R40" s="5">
        <f t="shared" ref="R40:R46" si="20">IF(P$12=0,0,P40/P$12)</f>
        <v>0</v>
      </c>
      <c r="S40" s="1"/>
      <c r="T40" s="1">
        <f>SUM(OSRRefT22_2x_0)</f>
        <v>-450</v>
      </c>
      <c r="U40" s="1"/>
      <c r="V40" s="5">
        <f t="shared" ref="V40:V46" si="21">IF(T$12=0,0,T40/T$12)</f>
        <v>0</v>
      </c>
      <c r="W40" s="1"/>
      <c r="X40" s="1">
        <f t="shared" ref="X40:X46" si="22">+P40-T40</f>
        <v>-456.57000000000005</v>
      </c>
      <c r="Y40" s="1"/>
      <c r="Z40" s="5">
        <f t="shared" ref="Z40:Z46" si="23">IF(T40=0,0,X40/T40)</f>
        <v>1.0146000000000002</v>
      </c>
    </row>
    <row r="41" spans="1:26" s="24" customFormat="1" hidden="1" outlineLevel="2" x14ac:dyDescent="0.3">
      <c r="A41" s="27"/>
      <c r="B41" s="11" t="str">
        <f>CONCATENATE("          ", "6279", " - ", "GENERAL EXPENSE")</f>
        <v xml:space="preserve">          6279 - GENERAL EXPENSE</v>
      </c>
      <c r="C41" s="11"/>
      <c r="D41" s="6"/>
      <c r="E41" s="2"/>
      <c r="F41" s="7">
        <f t="shared" si="16"/>
        <v>0</v>
      </c>
      <c r="G41" s="2"/>
      <c r="H41" s="6">
        <v>-150</v>
      </c>
      <c r="I41" s="2"/>
      <c r="J41" s="7">
        <f t="shared" si="17"/>
        <v>0</v>
      </c>
      <c r="K41" s="2"/>
      <c r="L41" s="6">
        <f t="shared" si="18"/>
        <v>150</v>
      </c>
      <c r="M41" s="2"/>
      <c r="N41" s="7">
        <f t="shared" si="19"/>
        <v>-1</v>
      </c>
      <c r="O41" s="11"/>
      <c r="P41" s="6">
        <v>-906.57</v>
      </c>
      <c r="Q41" s="2"/>
      <c r="R41" s="7">
        <f t="shared" si="20"/>
        <v>0</v>
      </c>
      <c r="S41" s="2"/>
      <c r="T41" s="6">
        <v>-450</v>
      </c>
      <c r="U41" s="2"/>
      <c r="V41" s="7">
        <f t="shared" si="21"/>
        <v>0</v>
      </c>
      <c r="W41" s="2"/>
      <c r="X41" s="6">
        <f t="shared" si="22"/>
        <v>-456.57000000000005</v>
      </c>
      <c r="Y41" s="2"/>
      <c r="Z41" s="7">
        <f t="shared" si="23"/>
        <v>1.0146000000000002</v>
      </c>
    </row>
    <row r="42" spans="1:26" s="29" customFormat="1" outlineLevel="1" collapsed="1" x14ac:dyDescent="0.3">
      <c r="A42" s="28"/>
      <c r="B42" s="14" t="str">
        <f>CONCATENATE("     ","Insurance                                         ")</f>
        <v xml:space="preserve">     Insurance                                         </v>
      </c>
      <c r="C42" s="14"/>
      <c r="D42" s="1">
        <f>SUM(OSRRefD22_3x_0)</f>
        <v>33.380000000000003</v>
      </c>
      <c r="E42" s="1"/>
      <c r="F42" s="5">
        <f t="shared" si="16"/>
        <v>0</v>
      </c>
      <c r="G42" s="1"/>
      <c r="H42" s="1">
        <f>SUM(OSRRefH22_3x_0)</f>
        <v>35</v>
      </c>
      <c r="I42" s="1"/>
      <c r="J42" s="5">
        <f t="shared" si="17"/>
        <v>0</v>
      </c>
      <c r="K42" s="1"/>
      <c r="L42" s="1">
        <f t="shared" si="18"/>
        <v>-1.6199999999999974</v>
      </c>
      <c r="M42" s="1"/>
      <c r="N42" s="5">
        <f t="shared" si="19"/>
        <v>-4.6285714285714215E-2</v>
      </c>
      <c r="O42" s="14"/>
      <c r="P42" s="1">
        <f>SUM(OSRRefP22_3x_0)</f>
        <v>166.9</v>
      </c>
      <c r="Q42" s="1"/>
      <c r="R42" s="5">
        <f t="shared" si="20"/>
        <v>0</v>
      </c>
      <c r="S42" s="1"/>
      <c r="T42" s="1">
        <f>SUM(OSRRefT22_3x_0)</f>
        <v>175</v>
      </c>
      <c r="U42" s="1"/>
      <c r="V42" s="5">
        <f t="shared" si="21"/>
        <v>0</v>
      </c>
      <c r="W42" s="1"/>
      <c r="X42" s="1">
        <f t="shared" si="22"/>
        <v>-8.0999999999999943</v>
      </c>
      <c r="Y42" s="1"/>
      <c r="Z42" s="5">
        <f t="shared" si="23"/>
        <v>-4.6285714285714256E-2</v>
      </c>
    </row>
    <row r="43" spans="1:26" s="24" customFormat="1" hidden="1" outlineLevel="2" x14ac:dyDescent="0.3">
      <c r="A43" s="27"/>
      <c r="B43" s="11" t="str">
        <f>CONCATENATE("          ", "6314", " - ", "LIABILITY INSURANCE")</f>
        <v xml:space="preserve">          6314 - LIABILITY INSURANCE</v>
      </c>
      <c r="C43" s="11"/>
      <c r="D43" s="6">
        <v>33.380000000000003</v>
      </c>
      <c r="E43" s="2"/>
      <c r="F43" s="7">
        <f t="shared" si="16"/>
        <v>0</v>
      </c>
      <c r="G43" s="2"/>
      <c r="H43" s="6">
        <v>35</v>
      </c>
      <c r="I43" s="2"/>
      <c r="J43" s="7">
        <f t="shared" si="17"/>
        <v>0</v>
      </c>
      <c r="K43" s="2"/>
      <c r="L43" s="6">
        <f t="shared" si="18"/>
        <v>-1.6199999999999974</v>
      </c>
      <c r="M43" s="2"/>
      <c r="N43" s="7">
        <f t="shared" si="19"/>
        <v>-4.6285714285714215E-2</v>
      </c>
      <c r="O43" s="11"/>
      <c r="P43" s="6">
        <v>166.9</v>
      </c>
      <c r="Q43" s="2"/>
      <c r="R43" s="7">
        <f t="shared" si="20"/>
        <v>0</v>
      </c>
      <c r="S43" s="2"/>
      <c r="T43" s="6">
        <v>175</v>
      </c>
      <c r="U43" s="2"/>
      <c r="V43" s="7">
        <f t="shared" si="21"/>
        <v>0</v>
      </c>
      <c r="W43" s="2"/>
      <c r="X43" s="6">
        <f t="shared" si="22"/>
        <v>-8.0999999999999943</v>
      </c>
      <c r="Y43" s="2"/>
      <c r="Z43" s="7">
        <f t="shared" si="23"/>
        <v>-4.6285714285714256E-2</v>
      </c>
    </row>
    <row r="44" spans="1:26" s="29" customFormat="1" outlineLevel="1" collapsed="1" x14ac:dyDescent="0.3">
      <c r="A44" s="28"/>
      <c r="B44" s="14" t="str">
        <f>CONCATENATE("     ","Repair and Maintenance                            ")</f>
        <v xml:space="preserve">     Repair and Maintenance                            </v>
      </c>
      <c r="C44" s="14"/>
      <c r="D44" s="1">
        <f>SUM(OSRRefD22_4x_0)</f>
        <v>918.74</v>
      </c>
      <c r="E44" s="1"/>
      <c r="F44" s="5">
        <f t="shared" si="16"/>
        <v>0</v>
      </c>
      <c r="G44" s="1"/>
      <c r="H44" s="1">
        <f>SUM(OSRRefH22_4x_0)</f>
        <v>1500</v>
      </c>
      <c r="I44" s="1"/>
      <c r="J44" s="5">
        <f t="shared" si="17"/>
        <v>0</v>
      </c>
      <c r="K44" s="1"/>
      <c r="L44" s="1">
        <f t="shared" si="18"/>
        <v>-581.26</v>
      </c>
      <c r="M44" s="1"/>
      <c r="N44" s="5">
        <f t="shared" si="19"/>
        <v>-0.38750666666666667</v>
      </c>
      <c r="O44" s="14"/>
      <c r="P44" s="1">
        <f>SUM(OSRRefP22_4x_0)</f>
        <v>4639.78</v>
      </c>
      <c r="Q44" s="1"/>
      <c r="R44" s="5">
        <f t="shared" si="20"/>
        <v>0</v>
      </c>
      <c r="S44" s="1"/>
      <c r="T44" s="1">
        <f>SUM(OSRRefT22_4x_0)</f>
        <v>6100</v>
      </c>
      <c r="U44" s="1"/>
      <c r="V44" s="5">
        <f t="shared" si="21"/>
        <v>0</v>
      </c>
      <c r="W44" s="1"/>
      <c r="X44" s="1">
        <f t="shared" si="22"/>
        <v>-1460.2200000000003</v>
      </c>
      <c r="Y44" s="1"/>
      <c r="Z44" s="5">
        <f t="shared" si="23"/>
        <v>-0.23938032786885249</v>
      </c>
    </row>
    <row r="45" spans="1:26" s="24" customFormat="1" hidden="1" outlineLevel="2" x14ac:dyDescent="0.3">
      <c r="A45" s="27"/>
      <c r="B45" s="11" t="str">
        <f>CONCATENATE("          ", "6373", " - ", "MAINTENANCE CONTRACTS")</f>
        <v xml:space="preserve">          6373 - MAINTENANCE CONTRACTS</v>
      </c>
      <c r="C45" s="11"/>
      <c r="D45" s="6">
        <v>918.74</v>
      </c>
      <c r="E45" s="2"/>
      <c r="F45" s="7">
        <f t="shared" si="16"/>
        <v>0</v>
      </c>
      <c r="G45" s="2"/>
      <c r="H45" s="6">
        <v>1500</v>
      </c>
      <c r="I45" s="2"/>
      <c r="J45" s="7">
        <f t="shared" si="17"/>
        <v>0</v>
      </c>
      <c r="K45" s="2"/>
      <c r="L45" s="6">
        <f t="shared" si="18"/>
        <v>-581.26</v>
      </c>
      <c r="M45" s="2"/>
      <c r="N45" s="7">
        <f t="shared" si="19"/>
        <v>-0.38750666666666667</v>
      </c>
      <c r="O45" s="11"/>
      <c r="P45" s="6">
        <v>4566.9399999999996</v>
      </c>
      <c r="Q45" s="2"/>
      <c r="R45" s="7">
        <f t="shared" si="20"/>
        <v>0</v>
      </c>
      <c r="S45" s="2"/>
      <c r="T45" s="6">
        <v>6100</v>
      </c>
      <c r="U45" s="2"/>
      <c r="V45" s="7">
        <f t="shared" si="21"/>
        <v>0</v>
      </c>
      <c r="W45" s="2"/>
      <c r="X45" s="6">
        <f t="shared" si="22"/>
        <v>-1533.0600000000004</v>
      </c>
      <c r="Y45" s="2"/>
      <c r="Z45" s="7">
        <f t="shared" si="23"/>
        <v>-0.25132131147540993</v>
      </c>
    </row>
    <row r="46" spans="1:26" s="24" customFormat="1" hidden="1" outlineLevel="2" x14ac:dyDescent="0.3">
      <c r="A46" s="27"/>
      <c r="B46" s="11" t="str">
        <f>CONCATENATE("          ", "6375", " - ", "OUTSIDE REPAIRS &amp; MAINTENANCE")</f>
        <v xml:space="preserve">          6375 - OUTSIDE REPAIRS &amp; MAINTENANCE</v>
      </c>
      <c r="C46" s="11"/>
      <c r="D46" s="6"/>
      <c r="E46" s="2"/>
      <c r="F46" s="7">
        <f t="shared" si="16"/>
        <v>0</v>
      </c>
      <c r="G46" s="2"/>
      <c r="H46" s="6"/>
      <c r="I46" s="2"/>
      <c r="J46" s="7">
        <f t="shared" si="17"/>
        <v>0</v>
      </c>
      <c r="K46" s="2"/>
      <c r="L46" s="6">
        <f t="shared" si="18"/>
        <v>0</v>
      </c>
      <c r="M46" s="2"/>
      <c r="N46" s="7">
        <f t="shared" si="19"/>
        <v>0</v>
      </c>
      <c r="O46" s="11"/>
      <c r="P46" s="6">
        <v>72.84</v>
      </c>
      <c r="Q46" s="2"/>
      <c r="R46" s="7">
        <f t="shared" si="20"/>
        <v>0</v>
      </c>
      <c r="S46" s="2"/>
      <c r="T46" s="6"/>
      <c r="U46" s="2"/>
      <c r="V46" s="7">
        <f t="shared" si="21"/>
        <v>0</v>
      </c>
      <c r="W46" s="2"/>
      <c r="X46" s="6">
        <f t="shared" si="22"/>
        <v>72.84</v>
      </c>
      <c r="Y46" s="2"/>
      <c r="Z46" s="7">
        <f t="shared" si="23"/>
        <v>0</v>
      </c>
    </row>
    <row r="47" spans="1:26" s="29" customFormat="1" outlineLevel="1" collapsed="1" x14ac:dyDescent="0.3">
      <c r="A47" s="28"/>
      <c r="B47" s="14" t="str">
        <f>CONCATENATE("     ","Services                                          ")</f>
        <v xml:space="preserve">     Services                                          </v>
      </c>
      <c r="C47" s="14"/>
      <c r="D47" s="1">
        <f>SUM(OSRRefD22_5x_0)</f>
        <v>0</v>
      </c>
      <c r="E47" s="1"/>
      <c r="F47" s="5">
        <f t="shared" ref="F47:F52" si="24">IF(D$12=0,0,D47/D$12)</f>
        <v>0</v>
      </c>
      <c r="G47" s="1"/>
      <c r="H47" s="1">
        <f>SUM(OSRRefH22_5x_0)</f>
        <v>25</v>
      </c>
      <c r="I47" s="1"/>
      <c r="J47" s="5">
        <f t="shared" ref="J47:J52" si="25">IF(H$12=0,0,H47/H$12)</f>
        <v>0</v>
      </c>
      <c r="K47" s="1"/>
      <c r="L47" s="1">
        <f t="shared" ref="L47:L52" si="26">+D47-H47</f>
        <v>-25</v>
      </c>
      <c r="M47" s="1"/>
      <c r="N47" s="5">
        <f t="shared" ref="N47:N52" si="27">IF(H47=0,0,L47/H47)</f>
        <v>-1</v>
      </c>
      <c r="O47" s="14"/>
      <c r="P47" s="1">
        <f>SUM(OSRRefP22_5x_0)</f>
        <v>0</v>
      </c>
      <c r="Q47" s="1"/>
      <c r="R47" s="5">
        <f t="shared" ref="R47:R52" si="28">IF(P$12=0,0,P47/P$12)</f>
        <v>0</v>
      </c>
      <c r="S47" s="1"/>
      <c r="T47" s="1">
        <f>SUM(OSRRefT22_5x_0)</f>
        <v>125</v>
      </c>
      <c r="U47" s="1"/>
      <c r="V47" s="5">
        <f t="shared" ref="V47:V52" si="29">IF(T$12=0,0,T47/T$12)</f>
        <v>0</v>
      </c>
      <c r="W47" s="1"/>
      <c r="X47" s="1">
        <f t="shared" ref="X47:X52" si="30">+P47-T47</f>
        <v>-125</v>
      </c>
      <c r="Y47" s="1"/>
      <c r="Z47" s="5">
        <f t="shared" ref="Z47:Z52" si="31">IF(T47=0,0,X47/T47)</f>
        <v>-1</v>
      </c>
    </row>
    <row r="48" spans="1:26" s="24" customFormat="1" hidden="1" outlineLevel="2" x14ac:dyDescent="0.3">
      <c r="A48" s="27"/>
      <c r="B48" s="11" t="str">
        <f>CONCATENATE("          ", "6286", " - ", "LAUNDRY EXPENSE")</f>
        <v xml:space="preserve">          6286 - LAUNDRY EXPENSE</v>
      </c>
      <c r="C48" s="11"/>
      <c r="D48" s="6"/>
      <c r="E48" s="2"/>
      <c r="F48" s="7">
        <f t="shared" si="24"/>
        <v>0</v>
      </c>
      <c r="G48" s="2"/>
      <c r="H48" s="6">
        <v>25</v>
      </c>
      <c r="I48" s="2"/>
      <c r="J48" s="7">
        <f t="shared" si="25"/>
        <v>0</v>
      </c>
      <c r="K48" s="2"/>
      <c r="L48" s="6">
        <f t="shared" si="26"/>
        <v>-25</v>
      </c>
      <c r="M48" s="2"/>
      <c r="N48" s="7">
        <f t="shared" si="27"/>
        <v>-1</v>
      </c>
      <c r="O48" s="11"/>
      <c r="P48" s="6"/>
      <c r="Q48" s="2"/>
      <c r="R48" s="7">
        <f t="shared" si="28"/>
        <v>0</v>
      </c>
      <c r="S48" s="2"/>
      <c r="T48" s="6">
        <v>125</v>
      </c>
      <c r="U48" s="2"/>
      <c r="V48" s="7">
        <f t="shared" si="29"/>
        <v>0</v>
      </c>
      <c r="W48" s="2"/>
      <c r="X48" s="6">
        <f t="shared" si="30"/>
        <v>-125</v>
      </c>
      <c r="Y48" s="2"/>
      <c r="Z48" s="7">
        <f t="shared" si="31"/>
        <v>-1</v>
      </c>
    </row>
    <row r="49" spans="1:26" s="29" customFormat="1" outlineLevel="1" collapsed="1" x14ac:dyDescent="0.3">
      <c r="A49" s="28"/>
      <c r="B49" s="14" t="str">
        <f>CONCATENATE("     ","Supplies                                          ")</f>
        <v xml:space="preserve">     Supplies                                          </v>
      </c>
      <c r="C49" s="14"/>
      <c r="D49" s="1">
        <f>SUM(OSRRefD22_6x_0)</f>
        <v>0</v>
      </c>
      <c r="E49" s="1"/>
      <c r="F49" s="5">
        <f t="shared" si="24"/>
        <v>0</v>
      </c>
      <c r="G49" s="1"/>
      <c r="H49" s="1">
        <f>SUM(OSRRefH22_6x_0)</f>
        <v>25</v>
      </c>
      <c r="I49" s="1"/>
      <c r="J49" s="5">
        <f t="shared" si="25"/>
        <v>0</v>
      </c>
      <c r="K49" s="1"/>
      <c r="L49" s="1">
        <f t="shared" si="26"/>
        <v>-25</v>
      </c>
      <c r="M49" s="1"/>
      <c r="N49" s="5">
        <f t="shared" si="27"/>
        <v>-1</v>
      </c>
      <c r="O49" s="14"/>
      <c r="P49" s="1">
        <f>SUM(OSRRefP22_6x_0)</f>
        <v>26.1</v>
      </c>
      <c r="Q49" s="1"/>
      <c r="R49" s="5">
        <f t="shared" si="28"/>
        <v>0</v>
      </c>
      <c r="S49" s="1"/>
      <c r="T49" s="1">
        <f>SUM(OSRRefT22_6x_0)</f>
        <v>5125</v>
      </c>
      <c r="U49" s="1"/>
      <c r="V49" s="5">
        <f t="shared" si="29"/>
        <v>0</v>
      </c>
      <c r="W49" s="1"/>
      <c r="X49" s="1">
        <f t="shared" si="30"/>
        <v>-5098.8999999999996</v>
      </c>
      <c r="Y49" s="1"/>
      <c r="Z49" s="5">
        <f t="shared" si="31"/>
        <v>-0.9949073170731707</v>
      </c>
    </row>
    <row r="50" spans="1:26" s="24" customFormat="1" hidden="1" outlineLevel="2" x14ac:dyDescent="0.3">
      <c r="A50" s="27"/>
      <c r="B50" s="11" t="str">
        <f>CONCATENATE("          ", "6234", " - ", "EXPENDABLE SUPPLIES &amp; EQUIPMEN")</f>
        <v xml:space="preserve">          6234 - EXPENDABLE SUPPLIES &amp; EQUIPMEN</v>
      </c>
      <c r="C50" s="11"/>
      <c r="D50" s="6"/>
      <c r="E50" s="2"/>
      <c r="F50" s="7">
        <f t="shared" si="24"/>
        <v>0</v>
      </c>
      <c r="G50" s="2"/>
      <c r="H50" s="6"/>
      <c r="I50" s="2"/>
      <c r="J50" s="7">
        <f t="shared" si="25"/>
        <v>0</v>
      </c>
      <c r="K50" s="2"/>
      <c r="L50" s="6">
        <f t="shared" si="26"/>
        <v>0</v>
      </c>
      <c r="M50" s="2"/>
      <c r="N50" s="7">
        <f t="shared" si="27"/>
        <v>0</v>
      </c>
      <c r="O50" s="11"/>
      <c r="P50" s="6">
        <v>26.1</v>
      </c>
      <c r="Q50" s="2"/>
      <c r="R50" s="7">
        <f t="shared" si="28"/>
        <v>0</v>
      </c>
      <c r="S50" s="2"/>
      <c r="T50" s="6"/>
      <c r="U50" s="2"/>
      <c r="V50" s="7">
        <f t="shared" si="29"/>
        <v>0</v>
      </c>
      <c r="W50" s="2"/>
      <c r="X50" s="6">
        <f t="shared" si="30"/>
        <v>26.1</v>
      </c>
      <c r="Y50" s="2"/>
      <c r="Z50" s="7">
        <f t="shared" si="31"/>
        <v>0</v>
      </c>
    </row>
    <row r="51" spans="1:26" s="24" customFormat="1" hidden="1" outlineLevel="2" x14ac:dyDescent="0.3">
      <c r="A51" s="27"/>
      <c r="B51" s="11" t="str">
        <f>CONCATENATE("          ", "6241", " - ", "OFFICE EXPENSE")</f>
        <v xml:space="preserve">          6241 - OFFICE EXPENSE</v>
      </c>
      <c r="C51" s="11"/>
      <c r="D51" s="6"/>
      <c r="E51" s="2"/>
      <c r="F51" s="7">
        <f t="shared" si="24"/>
        <v>0</v>
      </c>
      <c r="G51" s="2"/>
      <c r="H51" s="6">
        <v>25</v>
      </c>
      <c r="I51" s="2"/>
      <c r="J51" s="7">
        <f t="shared" si="25"/>
        <v>0</v>
      </c>
      <c r="K51" s="2"/>
      <c r="L51" s="6">
        <f t="shared" si="26"/>
        <v>-25</v>
      </c>
      <c r="M51" s="2"/>
      <c r="N51" s="7">
        <f t="shared" si="27"/>
        <v>-1</v>
      </c>
      <c r="O51" s="11"/>
      <c r="P51" s="6"/>
      <c r="Q51" s="2"/>
      <c r="R51" s="7">
        <f t="shared" si="28"/>
        <v>0</v>
      </c>
      <c r="S51" s="2"/>
      <c r="T51" s="6">
        <v>125</v>
      </c>
      <c r="U51" s="2"/>
      <c r="V51" s="7">
        <f t="shared" si="29"/>
        <v>0</v>
      </c>
      <c r="W51" s="2"/>
      <c r="X51" s="6">
        <f t="shared" si="30"/>
        <v>-125</v>
      </c>
      <c r="Y51" s="2"/>
      <c r="Z51" s="7">
        <f t="shared" si="31"/>
        <v>-1</v>
      </c>
    </row>
    <row r="52" spans="1:26" s="24" customFormat="1" hidden="1" outlineLevel="2" x14ac:dyDescent="0.3">
      <c r="A52" s="27"/>
      <c r="B52" s="11" t="str">
        <f>CONCATENATE("          ", "6247", " - ", "STORE SUPPLIES")</f>
        <v xml:space="preserve">          6247 - STORE SUPPLIES</v>
      </c>
      <c r="C52" s="11"/>
      <c r="D52" s="6"/>
      <c r="E52" s="2"/>
      <c r="F52" s="7">
        <f t="shared" si="24"/>
        <v>0</v>
      </c>
      <c r="G52" s="2"/>
      <c r="H52" s="6"/>
      <c r="I52" s="2"/>
      <c r="J52" s="7">
        <f t="shared" si="25"/>
        <v>0</v>
      </c>
      <c r="K52" s="2"/>
      <c r="L52" s="6">
        <f t="shared" si="26"/>
        <v>0</v>
      </c>
      <c r="M52" s="2"/>
      <c r="N52" s="7">
        <f t="shared" si="27"/>
        <v>0</v>
      </c>
      <c r="O52" s="11"/>
      <c r="P52" s="6"/>
      <c r="Q52" s="2"/>
      <c r="R52" s="7">
        <f t="shared" si="28"/>
        <v>0</v>
      </c>
      <c r="S52" s="2"/>
      <c r="T52" s="6">
        <v>5000</v>
      </c>
      <c r="U52" s="2"/>
      <c r="V52" s="7">
        <f t="shared" si="29"/>
        <v>0</v>
      </c>
      <c r="W52" s="2"/>
      <c r="X52" s="6">
        <f t="shared" si="30"/>
        <v>-5000</v>
      </c>
      <c r="Y52" s="2"/>
      <c r="Z52" s="7">
        <f t="shared" si="31"/>
        <v>-1</v>
      </c>
    </row>
    <row r="53" spans="1:26" s="29" customFormat="1" outlineLevel="1" collapsed="1" x14ac:dyDescent="0.3">
      <c r="A53" s="28"/>
      <c r="B53" s="14" t="str">
        <f>CONCATENATE("     ","Telephone/Data Lines                              ")</f>
        <v xml:space="preserve">     Telephone/Data Lines                              </v>
      </c>
      <c r="C53" s="14"/>
      <c r="D53" s="1">
        <f>SUM(OSRRefD22_7x_0)</f>
        <v>98</v>
      </c>
      <c r="E53" s="1"/>
      <c r="F53" s="5">
        <f t="shared" ref="F53:F54" si="32">IF(D$12=0,0,D53/D$12)</f>
        <v>0</v>
      </c>
      <c r="G53" s="1"/>
      <c r="H53" s="1">
        <f>SUM(OSRRefH22_7x_0)</f>
        <v>125</v>
      </c>
      <c r="I53" s="1"/>
      <c r="J53" s="5">
        <f t="shared" ref="J53:J54" si="33">IF(H$12=0,0,H53/H$12)</f>
        <v>0</v>
      </c>
      <c r="K53" s="1"/>
      <c r="L53" s="1">
        <f t="shared" ref="L53:L54" si="34">+D53-H53</f>
        <v>-27</v>
      </c>
      <c r="M53" s="1"/>
      <c r="N53" s="5">
        <f t="shared" ref="N53:N54" si="35">IF(H53=0,0,L53/H53)</f>
        <v>-0.216</v>
      </c>
      <c r="O53" s="14"/>
      <c r="P53" s="1">
        <f>SUM(OSRRefP22_7x_0)</f>
        <v>515</v>
      </c>
      <c r="Q53" s="1"/>
      <c r="R53" s="5">
        <f t="shared" ref="R53:R54" si="36">IF(P$12=0,0,P53/P$12)</f>
        <v>0</v>
      </c>
      <c r="S53" s="1"/>
      <c r="T53" s="1">
        <f>SUM(OSRRefT22_7x_0)</f>
        <v>625</v>
      </c>
      <c r="U53" s="1"/>
      <c r="V53" s="5">
        <f t="shared" ref="V53:V54" si="37">IF(T$12=0,0,T53/T$12)</f>
        <v>0</v>
      </c>
      <c r="W53" s="1"/>
      <c r="X53" s="1">
        <f t="shared" ref="X53:X54" si="38">+P53-T53</f>
        <v>-110</v>
      </c>
      <c r="Y53" s="1"/>
      <c r="Z53" s="5">
        <f t="shared" ref="Z53:Z54" si="39">IF(T53=0,0,X53/T53)</f>
        <v>-0.17599999999999999</v>
      </c>
    </row>
    <row r="54" spans="1:26" s="24" customFormat="1" hidden="1" outlineLevel="2" x14ac:dyDescent="0.3">
      <c r="A54" s="27"/>
      <c r="B54" s="11" t="str">
        <f>CONCATENATE("          ", "6309", " - ", "TELEPHONE")</f>
        <v xml:space="preserve">          6309 - TELEPHONE</v>
      </c>
      <c r="C54" s="11"/>
      <c r="D54" s="6">
        <v>98</v>
      </c>
      <c r="E54" s="2"/>
      <c r="F54" s="7">
        <f t="shared" si="32"/>
        <v>0</v>
      </c>
      <c r="G54" s="2"/>
      <c r="H54" s="6">
        <v>125</v>
      </c>
      <c r="I54" s="2"/>
      <c r="J54" s="7">
        <f t="shared" si="33"/>
        <v>0</v>
      </c>
      <c r="K54" s="2"/>
      <c r="L54" s="6">
        <f t="shared" si="34"/>
        <v>-27</v>
      </c>
      <c r="M54" s="2"/>
      <c r="N54" s="7">
        <f t="shared" si="35"/>
        <v>-0.216</v>
      </c>
      <c r="O54" s="11"/>
      <c r="P54" s="6">
        <v>515</v>
      </c>
      <c r="Q54" s="2"/>
      <c r="R54" s="7">
        <f t="shared" si="36"/>
        <v>0</v>
      </c>
      <c r="S54" s="2"/>
      <c r="T54" s="6">
        <v>625</v>
      </c>
      <c r="U54" s="2"/>
      <c r="V54" s="7">
        <f t="shared" si="37"/>
        <v>0</v>
      </c>
      <c r="W54" s="2"/>
      <c r="X54" s="6">
        <f t="shared" si="38"/>
        <v>-110</v>
      </c>
      <c r="Y54" s="2"/>
      <c r="Z54" s="7">
        <f t="shared" si="39"/>
        <v>-0.17599999999999999</v>
      </c>
    </row>
    <row r="55" spans="1:26" s="63" customFormat="1" x14ac:dyDescent="0.3">
      <c r="A55" s="36"/>
      <c r="B55" s="36"/>
      <c r="C55" s="36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6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3">
      <c r="A56" s="10"/>
      <c r="B56" s="25" t="s">
        <v>293</v>
      </c>
      <c r="C56" s="10"/>
      <c r="D56" s="4">
        <f>SUM(0)</f>
        <v>0</v>
      </c>
      <c r="E56" s="4"/>
      <c r="F56" s="12">
        <f>IF(D$12=0,0,D56/D$12)</f>
        <v>0</v>
      </c>
      <c r="G56" s="4"/>
      <c r="H56" s="4">
        <f>SUM(0)</f>
        <v>0</v>
      </c>
      <c r="I56" s="4"/>
      <c r="J56" s="12">
        <f>IF(H$12=0,0,H56/H$12)</f>
        <v>0</v>
      </c>
      <c r="K56" s="4"/>
      <c r="L56" s="4">
        <f>+D56-H56</f>
        <v>0</v>
      </c>
      <c r="M56" s="4"/>
      <c r="N56" s="12">
        <f>IF(H56=0,0,L56/H56)</f>
        <v>0</v>
      </c>
      <c r="O56" s="10"/>
      <c r="P56" s="4">
        <f>SUM(0)</f>
        <v>0</v>
      </c>
      <c r="Q56" s="4"/>
      <c r="R56" s="12">
        <f>IF(P$12=0,0,P56/P$12)</f>
        <v>0</v>
      </c>
      <c r="S56" s="4"/>
      <c r="T56" s="4">
        <f>SUM(0)</f>
        <v>0</v>
      </c>
      <c r="U56" s="4"/>
      <c r="V56" s="12">
        <f>IF(T$12=0,0,T56/T$12)</f>
        <v>0</v>
      </c>
      <c r="W56" s="4"/>
      <c r="X56" s="4">
        <f>+P56-T56</f>
        <v>0</v>
      </c>
      <c r="Y56" s="4"/>
      <c r="Z56" s="12">
        <f>IF(T56=0,0,X56/T56)</f>
        <v>0</v>
      </c>
    </row>
    <row r="57" spans="1:26" x14ac:dyDescent="0.3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3">
      <c r="A58" s="10"/>
      <c r="B58" s="26" t="s">
        <v>277</v>
      </c>
      <c r="C58" s="26"/>
      <c r="D58" s="20">
        <f>+D16-D18+D56</f>
        <v>-6608.87</v>
      </c>
      <c r="E58" s="13"/>
      <c r="F58" s="22">
        <f>IF(D$12=0,0,D58/D$12)</f>
        <v>0</v>
      </c>
      <c r="G58" s="13"/>
      <c r="H58" s="20">
        <f>+H16-H18+H56</f>
        <v>-7437.9665799999993</v>
      </c>
      <c r="I58" s="13"/>
      <c r="J58" s="22">
        <f>IF(H$12=0,0,H58/H$12)</f>
        <v>0</v>
      </c>
      <c r="K58" s="15"/>
      <c r="L58" s="20">
        <f>+D58-H58</f>
        <v>829.09657999999945</v>
      </c>
      <c r="M58" s="15"/>
      <c r="N58" s="22">
        <f>IF(H58=0,0,L58/H58)</f>
        <v>-0.11146817763733478</v>
      </c>
      <c r="O58" s="25"/>
      <c r="P58" s="20">
        <f>+P16-P18+P56</f>
        <v>-38049.19</v>
      </c>
      <c r="Q58" s="13"/>
      <c r="R58" s="22">
        <f>IF(P$12=0,0,P58/P$12)</f>
        <v>0</v>
      </c>
      <c r="S58" s="13"/>
      <c r="T58" s="20">
        <f>+T16-T18+T56</f>
        <v>-43941.316190000005</v>
      </c>
      <c r="U58" s="13"/>
      <c r="V58" s="22">
        <f>IF(T$12=0,0,T58/T$12)</f>
        <v>0</v>
      </c>
      <c r="W58" s="15"/>
      <c r="X58" s="20">
        <f>+P58-T58</f>
        <v>5892.1261900000027</v>
      </c>
      <c r="Y58" s="15"/>
      <c r="Z58" s="22">
        <f>IF(T58=0,0,X58/T58)</f>
        <v>-0.13409079884004271</v>
      </c>
    </row>
    <row r="59" spans="1:26" x14ac:dyDescent="0.3">
      <c r="A59" s="9"/>
      <c r="B59" s="10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3">
      <c r="A60" s="52"/>
      <c r="B60" s="10" t="s">
        <v>128</v>
      </c>
      <c r="C60" s="10"/>
      <c r="D60" s="4"/>
      <c r="E60" s="4"/>
      <c r="F60" s="12">
        <f>IF(D$12=0,0,D60/D$12)</f>
        <v>0</v>
      </c>
      <c r="G60" s="4"/>
      <c r="H60" s="4"/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/>
      <c r="Q60" s="4"/>
      <c r="R60" s="12">
        <f>IF(P$12=0,0,P60/P$12)</f>
        <v>0</v>
      </c>
      <c r="S60" s="4"/>
      <c r="T60" s="4"/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3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ht="15" thickBot="1" x14ac:dyDescent="0.35">
      <c r="A62" s="10"/>
      <c r="B62" s="26" t="s">
        <v>126</v>
      </c>
      <c r="C62" s="26"/>
      <c r="D62" s="33">
        <f>+D58-D60</f>
        <v>-6608.87</v>
      </c>
      <c r="E62" s="13"/>
      <c r="F62" s="34">
        <f>IF(D$12=0,0,D62/D$12)</f>
        <v>0</v>
      </c>
      <c r="G62" s="13"/>
      <c r="H62" s="33">
        <f>+H58-H60</f>
        <v>-7437.9665799999993</v>
      </c>
      <c r="I62" s="13"/>
      <c r="J62" s="34">
        <f>IF(H$12=0,0,H62/H$12)</f>
        <v>0</v>
      </c>
      <c r="K62" s="15"/>
      <c r="L62" s="33">
        <f>D62-H62</f>
        <v>829.09657999999945</v>
      </c>
      <c r="M62" s="15"/>
      <c r="N62" s="34">
        <f>IF(H62=0,0,L62/H62)</f>
        <v>-0.11146817763733478</v>
      </c>
      <c r="O62" s="25"/>
      <c r="P62" s="33">
        <f>+P58-P60</f>
        <v>-38049.19</v>
      </c>
      <c r="Q62" s="13"/>
      <c r="R62" s="34">
        <f>IF(P$12=0,0,P62/P$12)</f>
        <v>0</v>
      </c>
      <c r="S62" s="13"/>
      <c r="T62" s="33">
        <f>+T58-T60</f>
        <v>-43941.316190000005</v>
      </c>
      <c r="U62" s="13"/>
      <c r="V62" s="34">
        <f>IF(T$12=0,0,T62/T$12)</f>
        <v>0</v>
      </c>
      <c r="W62" s="15"/>
      <c r="X62" s="33">
        <f>P62-T62</f>
        <v>5892.1261900000027</v>
      </c>
      <c r="Y62" s="15"/>
      <c r="Z62" s="34">
        <f>IF(T62=0,0,X62/T62)</f>
        <v>-0.13409079884004271</v>
      </c>
    </row>
    <row r="63" spans="1:26" ht="15" thickTop="1" x14ac:dyDescent="0.3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x14ac:dyDescent="0.3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" thickBot="1" x14ac:dyDescent="0.35">
      <c r="A65" s="10"/>
      <c r="B65" s="26" t="s">
        <v>294</v>
      </c>
      <c r="C65" s="26"/>
      <c r="D65" s="35">
        <f>SUM(D62:D64)</f>
        <v>-6608.87</v>
      </c>
      <c r="E65" s="13"/>
      <c r="F65" s="32">
        <f>IF(D$12=0,0,D65/D$12)</f>
        <v>0</v>
      </c>
      <c r="G65" s="13"/>
      <c r="H65" s="35">
        <f>SUM(H62:H64)</f>
        <v>-7437.9665799999993</v>
      </c>
      <c r="I65" s="13"/>
      <c r="J65" s="32">
        <f>IF(H$12=0,0,H65/H$12)</f>
        <v>0</v>
      </c>
      <c r="K65" s="15"/>
      <c r="L65" s="35">
        <f>+D65-H65</f>
        <v>829.09657999999945</v>
      </c>
      <c r="M65" s="15"/>
      <c r="N65" s="32">
        <f>IF(H65=0,0,L65/H65)</f>
        <v>-0.11146817763733478</v>
      </c>
      <c r="O65" s="25"/>
      <c r="P65" s="35">
        <f>SUM(P62:P64)</f>
        <v>-38049.19</v>
      </c>
      <c r="Q65" s="13"/>
      <c r="R65" s="32">
        <f>IF(P$12=0,0,P65/P$12)</f>
        <v>0</v>
      </c>
      <c r="S65" s="13"/>
      <c r="T65" s="35">
        <f>SUM(T62:T64)</f>
        <v>-43941.316190000005</v>
      </c>
      <c r="U65" s="13"/>
      <c r="V65" s="32">
        <f>IF(T$12=0,0,T65/T$12)</f>
        <v>0</v>
      </c>
      <c r="W65" s="15"/>
      <c r="X65" s="35">
        <f>+P65-T65</f>
        <v>5892.1261900000027</v>
      </c>
      <c r="Y65" s="15"/>
      <c r="Z65" s="32">
        <f>IF(T65=0,0,X65/T65)</f>
        <v>-0.13409079884004271</v>
      </c>
    </row>
    <row r="66" spans="1:26" ht="15" thickTop="1" x14ac:dyDescent="0.3">
      <c r="A66" s="9"/>
      <c r="C66" s="9"/>
      <c r="D66" s="17"/>
      <c r="E66" s="17"/>
      <c r="G66" s="17"/>
      <c r="H66" s="17"/>
      <c r="I66" s="17"/>
      <c r="J66" s="42"/>
      <c r="K66" s="17"/>
      <c r="L66" s="17"/>
      <c r="M66" s="17"/>
      <c r="P66" s="17"/>
      <c r="Q66" s="17"/>
      <c r="R66" s="42"/>
      <c r="S66" s="17"/>
      <c r="T66" s="17"/>
      <c r="U66" s="17"/>
      <c r="V66" s="42"/>
      <c r="W66" s="17"/>
      <c r="X66" s="17"/>
    </row>
    <row r="67" spans="1:26" x14ac:dyDescent="0.3">
      <c r="A67" s="9"/>
      <c r="B67" s="60">
        <v>44543.753113078703</v>
      </c>
      <c r="D67" s="17"/>
      <c r="E67" s="17"/>
      <c r="G67" s="17"/>
      <c r="H67" s="17"/>
      <c r="I67" s="17"/>
      <c r="J67" s="42"/>
      <c r="K67" s="17"/>
      <c r="L67" s="17"/>
      <c r="M67" s="17"/>
      <c r="P67" s="17"/>
      <c r="Q67" s="17"/>
      <c r="R67" s="42"/>
      <c r="S67" s="17"/>
      <c r="T67" s="17"/>
      <c r="U67" s="17"/>
      <c r="V67" s="42"/>
      <c r="W67" s="17"/>
      <c r="X67" s="17"/>
    </row>
    <row r="68" spans="1:26" x14ac:dyDescent="0.3">
      <c r="A68" s="9"/>
      <c r="B68" s="58" t="s">
        <v>56</v>
      </c>
      <c r="D68" s="17"/>
      <c r="E68" s="17"/>
      <c r="G68" s="17"/>
      <c r="H68" s="17"/>
      <c r="I68" s="17"/>
      <c r="J68" s="42"/>
      <c r="K68" s="17"/>
      <c r="L68" s="17"/>
      <c r="M68" s="17"/>
      <c r="P68" s="17"/>
      <c r="Q68" s="17"/>
      <c r="R68" s="42"/>
      <c r="S68" s="17"/>
      <c r="T68" s="17"/>
      <c r="U68" s="17"/>
      <c r="V68" s="42"/>
      <c r="W68" s="17"/>
      <c r="X68" s="17"/>
    </row>
    <row r="69" spans="1:26" x14ac:dyDescent="0.3">
      <c r="A69" s="9"/>
      <c r="B69" s="55"/>
      <c r="D69" s="17"/>
      <c r="E69" s="17"/>
      <c r="G69" s="17"/>
      <c r="H69" s="17"/>
      <c r="I69" s="17"/>
      <c r="J69" s="42"/>
      <c r="K69" s="17"/>
      <c r="L69" s="17"/>
      <c r="M69" s="17"/>
      <c r="P69" s="17"/>
      <c r="Q69" s="17"/>
      <c r="R69" s="42"/>
      <c r="S69" s="17"/>
      <c r="T69" s="17"/>
      <c r="U69" s="17"/>
      <c r="V69" s="42"/>
      <c r="W69" s="17"/>
      <c r="X69" s="17"/>
    </row>
    <row r="70" spans="1:26" x14ac:dyDescent="0.3">
      <c r="D70" s="17"/>
      <c r="E70" s="17"/>
      <c r="G70" s="17"/>
      <c r="H70" s="17"/>
      <c r="I70" s="17"/>
      <c r="J70" s="42"/>
      <c r="K70" s="17"/>
      <c r="L70" s="17"/>
      <c r="M70" s="17"/>
      <c r="P70" s="17"/>
      <c r="Q70" s="17"/>
      <c r="R70" s="42"/>
      <c r="S70" s="17"/>
      <c r="T70" s="17"/>
      <c r="U70" s="17"/>
      <c r="V70" s="42"/>
      <c r="W70" s="17"/>
      <c r="X70" s="17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92D050"/>
    <outlinePr summaryBelow="0" summaryRight="0"/>
  </sheetPr>
  <dimension ref="A2:Z6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","206", " - ", "Communications")</f>
        <v>Department 206 - Communications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5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1">
        <f>SUM(OSRRefD22x_0)</f>
        <v>9325.01</v>
      </c>
      <c r="E18" s="21"/>
      <c r="F18" s="30">
        <f t="shared" ref="F18:F28" si="0">IF(D$12=0,0,D18/D$12)</f>
        <v>0</v>
      </c>
      <c r="G18" s="21"/>
      <c r="H18" s="21">
        <f>SUM(OSRRefH22x_0)</f>
        <v>12236.75742769231</v>
      </c>
      <c r="I18" s="21"/>
      <c r="J18" s="30">
        <f t="shared" ref="J18:J28" si="1">IF(H$12=0,0,H18/H$12)</f>
        <v>0</v>
      </c>
      <c r="K18" s="4"/>
      <c r="L18" s="21">
        <f t="shared" ref="L18:L28" si="2">+D18-H18</f>
        <v>-2911.7474276923094</v>
      </c>
      <c r="M18" s="4"/>
      <c r="N18" s="30">
        <f t="shared" ref="N18:N28" si="3">IF(H18=0,0,L18/H18)</f>
        <v>-0.23795089874895284</v>
      </c>
      <c r="O18" s="10"/>
      <c r="P18" s="21">
        <f>SUM(OSRRefP22x_0)</f>
        <v>45216.119999999995</v>
      </c>
      <c r="Q18" s="21"/>
      <c r="R18" s="30">
        <f t="shared" ref="R18:R28" si="4">IF(P$12=0,0,P18/P$12)</f>
        <v>0</v>
      </c>
      <c r="S18" s="21"/>
      <c r="T18" s="21">
        <f>SUM(OSRRefT22x_0)</f>
        <v>68006.895452307683</v>
      </c>
      <c r="U18" s="21"/>
      <c r="V18" s="30">
        <f t="shared" ref="V18:V28" si="5">IF(T$12=0,0,T18/T$12)</f>
        <v>0</v>
      </c>
      <c r="W18" s="4"/>
      <c r="X18" s="21">
        <f t="shared" ref="X18:X28" si="6">+P18-T18</f>
        <v>-22790.775452307687</v>
      </c>
      <c r="Y18" s="4"/>
      <c r="Z18" s="30">
        <f t="shared" ref="Z18:Z28" si="7">IF(T18=0,0,X18/T18)</f>
        <v>-0.33512447966824999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1880.25</v>
      </c>
      <c r="E19" s="1"/>
      <c r="F19" s="5">
        <f t="shared" si="0"/>
        <v>0</v>
      </c>
      <c r="G19" s="1"/>
      <c r="H19" s="1">
        <f>SUM(OSRRefH22_0x_0)</f>
        <v>2192.0774276923098</v>
      </c>
      <c r="I19" s="1"/>
      <c r="J19" s="5">
        <f t="shared" si="1"/>
        <v>0</v>
      </c>
      <c r="K19" s="1"/>
      <c r="L19" s="1">
        <f t="shared" si="2"/>
        <v>-311.82742769230981</v>
      </c>
      <c r="M19" s="1"/>
      <c r="N19" s="5">
        <f t="shared" si="3"/>
        <v>-0.14225201343393393</v>
      </c>
      <c r="O19" s="14"/>
      <c r="P19" s="1">
        <f>SUM(OSRRefP22_0x_0)</f>
        <v>9824.6099999999988</v>
      </c>
      <c r="Q19" s="1"/>
      <c r="R19" s="5">
        <f t="shared" si="4"/>
        <v>0</v>
      </c>
      <c r="S19" s="1"/>
      <c r="T19" s="1">
        <f>SUM(OSRRefT22_0x_0)</f>
        <v>12605.65545230769</v>
      </c>
      <c r="U19" s="1"/>
      <c r="V19" s="5">
        <f t="shared" si="5"/>
        <v>0</v>
      </c>
      <c r="W19" s="1"/>
      <c r="X19" s="1">
        <f t="shared" si="6"/>
        <v>-2781.0454523076914</v>
      </c>
      <c r="Y19" s="1"/>
      <c r="Z19" s="5">
        <f t="shared" si="7"/>
        <v>-0.2206188692709804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6">
        <v>363.08</v>
      </c>
      <c r="E20" s="2"/>
      <c r="F20" s="7">
        <f t="shared" si="0"/>
        <v>0</v>
      </c>
      <c r="G20" s="2"/>
      <c r="H20" s="6">
        <v>378.36432000000002</v>
      </c>
      <c r="I20" s="2"/>
      <c r="J20" s="7">
        <f t="shared" si="1"/>
        <v>0</v>
      </c>
      <c r="K20" s="2"/>
      <c r="L20" s="6">
        <f t="shared" si="2"/>
        <v>-15.284320000000037</v>
      </c>
      <c r="M20" s="2"/>
      <c r="N20" s="7">
        <f t="shared" si="3"/>
        <v>-4.0395775161886395E-2</v>
      </c>
      <c r="O20" s="11"/>
      <c r="P20" s="6">
        <v>2211.9</v>
      </c>
      <c r="Q20" s="2"/>
      <c r="R20" s="7">
        <f t="shared" si="4"/>
        <v>0</v>
      </c>
      <c r="S20" s="2"/>
      <c r="T20" s="6">
        <v>2717.7333600000002</v>
      </c>
      <c r="U20" s="2"/>
      <c r="V20" s="7">
        <f t="shared" si="5"/>
        <v>0</v>
      </c>
      <c r="W20" s="2"/>
      <c r="X20" s="6">
        <f t="shared" si="6"/>
        <v>-505.83336000000008</v>
      </c>
      <c r="Y20" s="2"/>
      <c r="Z20" s="7">
        <f t="shared" si="7"/>
        <v>-0.18612324794070306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87.67</v>
      </c>
      <c r="E21" s="2"/>
      <c r="F21" s="7">
        <f t="shared" si="0"/>
        <v>0</v>
      </c>
      <c r="G21" s="2"/>
      <c r="H21" s="6">
        <v>23.2624</v>
      </c>
      <c r="I21" s="2"/>
      <c r="J21" s="7">
        <f t="shared" si="1"/>
        <v>0</v>
      </c>
      <c r="K21" s="2"/>
      <c r="L21" s="6">
        <f t="shared" si="2"/>
        <v>64.407600000000002</v>
      </c>
      <c r="M21" s="2"/>
      <c r="N21" s="7">
        <f t="shared" si="3"/>
        <v>2.7687426920696061</v>
      </c>
      <c r="O21" s="11"/>
      <c r="P21" s="6">
        <v>444.37</v>
      </c>
      <c r="Q21" s="2"/>
      <c r="R21" s="7">
        <f t="shared" si="4"/>
        <v>0</v>
      </c>
      <c r="S21" s="2"/>
      <c r="T21" s="6">
        <v>127.9432</v>
      </c>
      <c r="U21" s="2"/>
      <c r="V21" s="7">
        <f t="shared" si="5"/>
        <v>0</v>
      </c>
      <c r="W21" s="2"/>
      <c r="X21" s="6">
        <f t="shared" si="6"/>
        <v>316.42680000000001</v>
      </c>
      <c r="Y21" s="2"/>
      <c r="Z21" s="7">
        <f t="shared" si="7"/>
        <v>2.4731818494456914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6">
        <v>700.87</v>
      </c>
      <c r="E22" s="2"/>
      <c r="F22" s="7">
        <f t="shared" si="0"/>
        <v>0</v>
      </c>
      <c r="G22" s="2"/>
      <c r="H22" s="6">
        <v>1275.6923076923099</v>
      </c>
      <c r="I22" s="2"/>
      <c r="J22" s="7">
        <f t="shared" si="1"/>
        <v>0</v>
      </c>
      <c r="K22" s="2"/>
      <c r="L22" s="6">
        <f t="shared" si="2"/>
        <v>-574.82230769230989</v>
      </c>
      <c r="M22" s="2"/>
      <c r="N22" s="7">
        <f t="shared" si="3"/>
        <v>-0.45059635793536035</v>
      </c>
      <c r="O22" s="11"/>
      <c r="P22" s="6">
        <v>3515.6</v>
      </c>
      <c r="Q22" s="2"/>
      <c r="R22" s="7">
        <f t="shared" si="4"/>
        <v>0</v>
      </c>
      <c r="S22" s="2"/>
      <c r="T22" s="6">
        <v>7016.3076923076896</v>
      </c>
      <c r="U22" s="2"/>
      <c r="V22" s="7">
        <f t="shared" si="5"/>
        <v>0</v>
      </c>
      <c r="W22" s="2"/>
      <c r="X22" s="6">
        <f t="shared" si="6"/>
        <v>-3500.7076923076897</v>
      </c>
      <c r="Y22" s="2"/>
      <c r="Z22" s="7">
        <f t="shared" si="7"/>
        <v>-0.49893873613121065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17.670000000000002</v>
      </c>
      <c r="E23" s="2"/>
      <c r="F23" s="7">
        <f t="shared" si="0"/>
        <v>0</v>
      </c>
      <c r="G23" s="2"/>
      <c r="H23" s="6">
        <v>15.7584</v>
      </c>
      <c r="I23" s="2"/>
      <c r="J23" s="7">
        <f t="shared" si="1"/>
        <v>0</v>
      </c>
      <c r="K23" s="2"/>
      <c r="L23" s="6">
        <f t="shared" si="2"/>
        <v>1.9116000000000017</v>
      </c>
      <c r="M23" s="2"/>
      <c r="N23" s="7">
        <f t="shared" si="3"/>
        <v>0.12130673164788315</v>
      </c>
      <c r="O23" s="11"/>
      <c r="P23" s="6">
        <v>89.57</v>
      </c>
      <c r="Q23" s="2"/>
      <c r="R23" s="7">
        <f t="shared" si="4"/>
        <v>0</v>
      </c>
      <c r="S23" s="2"/>
      <c r="T23" s="6">
        <v>86.671199999999999</v>
      </c>
      <c r="U23" s="2"/>
      <c r="V23" s="7">
        <f t="shared" si="5"/>
        <v>0</v>
      </c>
      <c r="W23" s="2"/>
      <c r="X23" s="6">
        <f t="shared" si="6"/>
        <v>2.8987999999999943</v>
      </c>
      <c r="Y23" s="2"/>
      <c r="Z23" s="7">
        <f t="shared" si="7"/>
        <v>3.3445942827605872E-2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6"/>
      <c r="E24" s="2"/>
      <c r="F24" s="7">
        <f t="shared" si="0"/>
        <v>0</v>
      </c>
      <c r="G24" s="2"/>
      <c r="H24" s="6">
        <v>0</v>
      </c>
      <c r="I24" s="2"/>
      <c r="J24" s="7">
        <f t="shared" si="1"/>
        <v>0</v>
      </c>
      <c r="K24" s="2"/>
      <c r="L24" s="6">
        <f t="shared" si="2"/>
        <v>0</v>
      </c>
      <c r="M24" s="2"/>
      <c r="N24" s="7">
        <f t="shared" si="3"/>
        <v>0</v>
      </c>
      <c r="O24" s="11"/>
      <c r="P24" s="6"/>
      <c r="Q24" s="2"/>
      <c r="R24" s="7">
        <f t="shared" si="4"/>
        <v>0</v>
      </c>
      <c r="S24" s="2"/>
      <c r="T24" s="6">
        <v>0</v>
      </c>
      <c r="U24" s="2"/>
      <c r="V24" s="7">
        <f t="shared" si="5"/>
        <v>0</v>
      </c>
      <c r="W24" s="2"/>
      <c r="X24" s="6">
        <f t="shared" si="6"/>
        <v>0</v>
      </c>
      <c r="Y24" s="2"/>
      <c r="Z24" s="7">
        <f t="shared" si="7"/>
        <v>0</v>
      </c>
    </row>
    <row r="25" spans="1:26" s="24" customFormat="1" hidden="1" outlineLevel="2" x14ac:dyDescent="0.3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3">
      <c r="A26" s="27"/>
      <c r="B26" s="11" t="str">
        <f>CONCATENATE("          ", "6118", " - ", "VACATION")</f>
        <v xml:space="preserve">          6118 - VACATION</v>
      </c>
      <c r="C26" s="11"/>
      <c r="D26" s="6">
        <v>287.66000000000003</v>
      </c>
      <c r="E26" s="2"/>
      <c r="F26" s="7">
        <f t="shared" si="0"/>
        <v>0</v>
      </c>
      <c r="G26" s="2"/>
      <c r="H26" s="6">
        <v>148.32</v>
      </c>
      <c r="I26" s="2"/>
      <c r="J26" s="7">
        <f t="shared" si="1"/>
        <v>0</v>
      </c>
      <c r="K26" s="2"/>
      <c r="L26" s="6">
        <f t="shared" si="2"/>
        <v>139.34000000000003</v>
      </c>
      <c r="M26" s="2"/>
      <c r="N26" s="7">
        <f t="shared" si="3"/>
        <v>0.93945523193096037</v>
      </c>
      <c r="O26" s="11"/>
      <c r="P26" s="6">
        <v>1532.36</v>
      </c>
      <c r="Q26" s="2"/>
      <c r="R26" s="7">
        <f t="shared" si="4"/>
        <v>0</v>
      </c>
      <c r="S26" s="2"/>
      <c r="T26" s="6">
        <v>815.76</v>
      </c>
      <c r="U26" s="2"/>
      <c r="V26" s="7">
        <f t="shared" si="5"/>
        <v>0</v>
      </c>
      <c r="W26" s="2"/>
      <c r="X26" s="6">
        <f t="shared" si="6"/>
        <v>716.59999999999991</v>
      </c>
      <c r="Y26" s="2"/>
      <c r="Z26" s="7">
        <f t="shared" si="7"/>
        <v>0.87844464058056282</v>
      </c>
    </row>
    <row r="27" spans="1:26" s="24" customFormat="1" hidden="1" outlineLevel="2" x14ac:dyDescent="0.3">
      <c r="A27" s="27"/>
      <c r="B27" s="11" t="str">
        <f>CONCATENATE("          ", "6119", " - ", "SICK LEAVE")</f>
        <v xml:space="preserve">          6119 - SICK LEAVE</v>
      </c>
      <c r="C27" s="11"/>
      <c r="D27" s="6">
        <v>230.26</v>
      </c>
      <c r="E27" s="2"/>
      <c r="F27" s="7">
        <f t="shared" si="0"/>
        <v>0</v>
      </c>
      <c r="G27" s="2"/>
      <c r="H27" s="6">
        <v>175.68</v>
      </c>
      <c r="I27" s="2"/>
      <c r="J27" s="7">
        <f t="shared" si="1"/>
        <v>0</v>
      </c>
      <c r="K27" s="2"/>
      <c r="L27" s="6">
        <f t="shared" si="2"/>
        <v>54.579999999999984</v>
      </c>
      <c r="M27" s="2"/>
      <c r="N27" s="7">
        <f t="shared" si="3"/>
        <v>0.31067850637522759</v>
      </c>
      <c r="O27" s="11"/>
      <c r="P27" s="6">
        <v>1226.56</v>
      </c>
      <c r="Q27" s="2"/>
      <c r="R27" s="7">
        <f t="shared" si="4"/>
        <v>0</v>
      </c>
      <c r="S27" s="2"/>
      <c r="T27" s="6">
        <v>966.24</v>
      </c>
      <c r="U27" s="2"/>
      <c r="V27" s="7">
        <f t="shared" si="5"/>
        <v>0</v>
      </c>
      <c r="W27" s="2"/>
      <c r="X27" s="6">
        <f t="shared" si="6"/>
        <v>260.31999999999994</v>
      </c>
      <c r="Y27" s="2"/>
      <c r="Z27" s="7">
        <f t="shared" si="7"/>
        <v>0.26941546613677753</v>
      </c>
    </row>
    <row r="28" spans="1:26" s="24" customFormat="1" hidden="1" outlineLevel="2" x14ac:dyDescent="0.3">
      <c r="A28" s="27"/>
      <c r="B28" s="11" t="str">
        <f>CONCATENATE("          ", "6156", " - ", "EMPLOYEE MEALS")</f>
        <v xml:space="preserve">          6156 - EMPLOYEE MEALS</v>
      </c>
      <c r="C28" s="11"/>
      <c r="D28" s="6">
        <v>193.04</v>
      </c>
      <c r="E28" s="2"/>
      <c r="F28" s="7">
        <f t="shared" si="0"/>
        <v>0</v>
      </c>
      <c r="G28" s="2"/>
      <c r="H28" s="6">
        <v>175</v>
      </c>
      <c r="I28" s="2"/>
      <c r="J28" s="7">
        <f t="shared" si="1"/>
        <v>0</v>
      </c>
      <c r="K28" s="2"/>
      <c r="L28" s="6">
        <f t="shared" si="2"/>
        <v>18.039999999999992</v>
      </c>
      <c r="M28" s="2"/>
      <c r="N28" s="7">
        <f t="shared" si="3"/>
        <v>0.10308571428571424</v>
      </c>
      <c r="O28" s="11"/>
      <c r="P28" s="6">
        <v>804.25</v>
      </c>
      <c r="Q28" s="2"/>
      <c r="R28" s="7">
        <f t="shared" si="4"/>
        <v>0</v>
      </c>
      <c r="S28" s="2"/>
      <c r="T28" s="6">
        <v>875</v>
      </c>
      <c r="U28" s="2"/>
      <c r="V28" s="7">
        <f t="shared" si="5"/>
        <v>0</v>
      </c>
      <c r="W28" s="2"/>
      <c r="X28" s="6">
        <f t="shared" si="6"/>
        <v>-70.75</v>
      </c>
      <c r="Y28" s="2"/>
      <c r="Z28" s="7">
        <f t="shared" si="7"/>
        <v>-8.0857142857142864E-2</v>
      </c>
    </row>
    <row r="29" spans="1:26" s="29" customFormat="1" outlineLevel="1" collapsed="1" x14ac:dyDescent="0.3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7062.34</v>
      </c>
      <c r="E29" s="1"/>
      <c r="F29" s="5">
        <f t="shared" ref="F29:F39" si="8">IF(D$12=0,0,D29/D$12)</f>
        <v>0</v>
      </c>
      <c r="G29" s="1"/>
      <c r="H29" s="1">
        <f>SUM(OSRRefH22_1x_0)</f>
        <v>7355.68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-293.34000000000015</v>
      </c>
      <c r="M29" s="1"/>
      <c r="N29" s="5">
        <f t="shared" ref="N29:N39" si="11">IF(H29=0,0,L29/H29)</f>
        <v>-3.9879385726404648E-2</v>
      </c>
      <c r="O29" s="14"/>
      <c r="P29" s="1">
        <f>SUM(OSRRefP22_1x_0)</f>
        <v>33978.79</v>
      </c>
      <c r="Q29" s="1"/>
      <c r="R29" s="5">
        <f t="shared" ref="R29:R39" si="12">IF(P$12=0,0,P29/P$12)</f>
        <v>0</v>
      </c>
      <c r="S29" s="1"/>
      <c r="T29" s="1">
        <f>SUM(OSRRefT22_1x_0)</f>
        <v>40456.240000000005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-6477.4500000000044</v>
      </c>
      <c r="Y29" s="1"/>
      <c r="Z29" s="5">
        <f t="shared" ref="Z29:Z39" si="15">IF(T29=0,0,X29/T29)</f>
        <v>-0.16011003494145781</v>
      </c>
    </row>
    <row r="30" spans="1:26" s="24" customFormat="1" hidden="1" outlineLevel="2" x14ac:dyDescent="0.3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/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0</v>
      </c>
      <c r="Y30" s="2"/>
      <c r="Z30" s="7">
        <f t="shared" si="15"/>
        <v>0</v>
      </c>
    </row>
    <row r="31" spans="1:26" s="24" customFormat="1" hidden="1" outlineLevel="2" x14ac:dyDescent="0.3">
      <c r="A31" s="27"/>
      <c r="B31" s="11" t="str">
        <f>CONCATENATE("          ", "6002", " - ", "STAFF SALARIES")</f>
        <v xml:space="preserve">          6002 - STAFF SALARIES</v>
      </c>
      <c r="C31" s="11"/>
      <c r="D31" s="6"/>
      <c r="E31" s="2"/>
      <c r="F31" s="7">
        <f t="shared" si="8"/>
        <v>0</v>
      </c>
      <c r="G31" s="2"/>
      <c r="H31" s="6">
        <v>0</v>
      </c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/>
      <c r="Q31" s="2"/>
      <c r="R31" s="7">
        <f t="shared" si="12"/>
        <v>0</v>
      </c>
      <c r="S31" s="2"/>
      <c r="T31" s="6">
        <v>0</v>
      </c>
      <c r="U31" s="2"/>
      <c r="V31" s="7">
        <f t="shared" si="13"/>
        <v>0</v>
      </c>
      <c r="W31" s="2"/>
      <c r="X31" s="6">
        <f t="shared" si="14"/>
        <v>0</v>
      </c>
      <c r="Y31" s="2"/>
      <c r="Z31" s="7">
        <f t="shared" si="15"/>
        <v>0</v>
      </c>
    </row>
    <row r="32" spans="1:26" s="24" customFormat="1" hidden="1" outlineLevel="2" x14ac:dyDescent="0.3">
      <c r="A32" s="27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3">
      <c r="A33" s="27"/>
      <c r="B33" s="11" t="str">
        <f>CONCATENATE("          ", "6004", " - ", "STAFF HOURLY")</f>
        <v xml:space="preserve">          6004 - STAFF HOURLY</v>
      </c>
      <c r="C33" s="11"/>
      <c r="D33" s="6">
        <v>5004.96</v>
      </c>
      <c r="E33" s="2"/>
      <c r="F33" s="7">
        <f t="shared" si="8"/>
        <v>0</v>
      </c>
      <c r="G33" s="2"/>
      <c r="H33" s="6">
        <v>4795.68</v>
      </c>
      <c r="I33" s="2"/>
      <c r="J33" s="7">
        <f t="shared" si="9"/>
        <v>0</v>
      </c>
      <c r="K33" s="2"/>
      <c r="L33" s="6">
        <f t="shared" si="10"/>
        <v>209.27999999999975</v>
      </c>
      <c r="M33" s="2"/>
      <c r="N33" s="7">
        <f t="shared" si="11"/>
        <v>4.3639275347812978E-2</v>
      </c>
      <c r="O33" s="11"/>
      <c r="P33" s="6">
        <v>24713.16</v>
      </c>
      <c r="Q33" s="2"/>
      <c r="R33" s="7">
        <f t="shared" si="12"/>
        <v>0</v>
      </c>
      <c r="S33" s="2"/>
      <c r="T33" s="6">
        <v>26376.240000000002</v>
      </c>
      <c r="U33" s="2"/>
      <c r="V33" s="7">
        <f t="shared" si="13"/>
        <v>0</v>
      </c>
      <c r="W33" s="2"/>
      <c r="X33" s="6">
        <f t="shared" si="14"/>
        <v>-1663.0800000000017</v>
      </c>
      <c r="Y33" s="2"/>
      <c r="Z33" s="7">
        <f t="shared" si="15"/>
        <v>-6.3052201526828749E-2</v>
      </c>
    </row>
    <row r="34" spans="1:26" s="24" customFormat="1" hidden="1" outlineLevel="2" x14ac:dyDescent="0.3">
      <c r="A34" s="27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3">
      <c r="A35" s="27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3">
      <c r="A36" s="27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>
        <v>0</v>
      </c>
      <c r="Q36" s="2"/>
      <c r="R36" s="7">
        <f t="shared" si="12"/>
        <v>0</v>
      </c>
      <c r="S36" s="2"/>
      <c r="T36" s="6">
        <v>8320</v>
      </c>
      <c r="U36" s="2"/>
      <c r="V36" s="7">
        <f t="shared" si="13"/>
        <v>0</v>
      </c>
      <c r="W36" s="2"/>
      <c r="X36" s="6">
        <f t="shared" si="14"/>
        <v>-8320</v>
      </c>
      <c r="Y36" s="2"/>
      <c r="Z36" s="7">
        <f t="shared" si="15"/>
        <v>-1</v>
      </c>
    </row>
    <row r="37" spans="1:26" s="24" customFormat="1" hidden="1" outlineLevel="2" x14ac:dyDescent="0.3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>
        <v>2057.38</v>
      </c>
      <c r="E37" s="2"/>
      <c r="F37" s="7">
        <f t="shared" si="8"/>
        <v>0</v>
      </c>
      <c r="G37" s="2"/>
      <c r="H37" s="6">
        <v>2560</v>
      </c>
      <c r="I37" s="2"/>
      <c r="J37" s="7">
        <f t="shared" si="9"/>
        <v>0</v>
      </c>
      <c r="K37" s="2"/>
      <c r="L37" s="6">
        <f t="shared" si="10"/>
        <v>-502.61999999999989</v>
      </c>
      <c r="M37" s="2"/>
      <c r="N37" s="7">
        <f t="shared" si="11"/>
        <v>-0.19633593749999995</v>
      </c>
      <c r="O37" s="11"/>
      <c r="P37" s="6">
        <v>9265.6299999999992</v>
      </c>
      <c r="Q37" s="2"/>
      <c r="R37" s="7">
        <f t="shared" si="12"/>
        <v>0</v>
      </c>
      <c r="S37" s="2"/>
      <c r="T37" s="6">
        <v>5760</v>
      </c>
      <c r="U37" s="2"/>
      <c r="V37" s="7">
        <f t="shared" si="13"/>
        <v>0</v>
      </c>
      <c r="W37" s="2"/>
      <c r="X37" s="6">
        <f t="shared" si="14"/>
        <v>3505.6299999999992</v>
      </c>
      <c r="Y37" s="2"/>
      <c r="Z37" s="7">
        <f t="shared" si="15"/>
        <v>0.60861631944444428</v>
      </c>
    </row>
    <row r="38" spans="1:26" s="24" customFormat="1" hidden="1" outlineLevel="2" x14ac:dyDescent="0.3">
      <c r="A38" s="27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3">
      <c r="A39" s="27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9" customFormat="1" outlineLevel="1" collapsed="1" x14ac:dyDescent="0.3">
      <c r="A40" s="28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346.42</v>
      </c>
      <c r="E40" s="1"/>
      <c r="F40" s="5">
        <f t="shared" ref="F40:F46" si="16">IF(D$12=0,0,D40/D$12)</f>
        <v>0</v>
      </c>
      <c r="G40" s="1"/>
      <c r="H40" s="1">
        <f>SUM(OSRRefH22_2x_0)</f>
        <v>417</v>
      </c>
      <c r="I40" s="1"/>
      <c r="J40" s="5">
        <f t="shared" ref="J40:J46" si="17">IF(H$12=0,0,H40/H$12)</f>
        <v>0</v>
      </c>
      <c r="K40" s="1"/>
      <c r="L40" s="1">
        <f t="shared" ref="L40:L46" si="18">+D40-H40</f>
        <v>-70.579999999999984</v>
      </c>
      <c r="M40" s="1"/>
      <c r="N40" s="5">
        <f t="shared" ref="N40:N46" si="19">IF(H40=0,0,L40/H40)</f>
        <v>-0.16925659472422058</v>
      </c>
      <c r="O40" s="14"/>
      <c r="P40" s="1">
        <f>SUM(OSRRefP22_2x_0)</f>
        <v>1092.8599999999999</v>
      </c>
      <c r="Q40" s="1"/>
      <c r="R40" s="5">
        <f t="shared" ref="R40:R46" si="20">IF(P$12=0,0,P40/P$12)</f>
        <v>0</v>
      </c>
      <c r="S40" s="1"/>
      <c r="T40" s="1">
        <f>SUM(OSRRefT22_2x_0)</f>
        <v>2085</v>
      </c>
      <c r="U40" s="1"/>
      <c r="V40" s="5">
        <f t="shared" ref="V40:V46" si="21">IF(T$12=0,0,T40/T$12)</f>
        <v>0</v>
      </c>
      <c r="W40" s="1"/>
      <c r="X40" s="1">
        <f t="shared" ref="X40:X46" si="22">+P40-T40</f>
        <v>-992.1400000000001</v>
      </c>
      <c r="Y40" s="1"/>
      <c r="Z40" s="5">
        <f t="shared" ref="Z40:Z46" si="23">IF(T40=0,0,X40/T40)</f>
        <v>-0.47584652278177464</v>
      </c>
    </row>
    <row r="41" spans="1:26" s="24" customFormat="1" hidden="1" outlineLevel="2" x14ac:dyDescent="0.3">
      <c r="A41" s="27"/>
      <c r="B41" s="11" t="str">
        <f>CONCATENATE("          ", "6362", " - ", "ADVERTISING EXPENSE")</f>
        <v xml:space="preserve">          6362 - ADVERTISING EXPENSE</v>
      </c>
      <c r="C41" s="11"/>
      <c r="D41" s="6">
        <v>346.42</v>
      </c>
      <c r="E41" s="2"/>
      <c r="F41" s="7">
        <f t="shared" si="16"/>
        <v>0</v>
      </c>
      <c r="G41" s="2"/>
      <c r="H41" s="6">
        <v>417</v>
      </c>
      <c r="I41" s="2"/>
      <c r="J41" s="7">
        <f t="shared" si="17"/>
        <v>0</v>
      </c>
      <c r="K41" s="2"/>
      <c r="L41" s="6">
        <f t="shared" si="18"/>
        <v>-70.579999999999984</v>
      </c>
      <c r="M41" s="2"/>
      <c r="N41" s="7">
        <f t="shared" si="19"/>
        <v>-0.16925659472422058</v>
      </c>
      <c r="O41" s="11"/>
      <c r="P41" s="6">
        <v>1092.8599999999999</v>
      </c>
      <c r="Q41" s="2"/>
      <c r="R41" s="7">
        <f t="shared" si="20"/>
        <v>0</v>
      </c>
      <c r="S41" s="2"/>
      <c r="T41" s="6">
        <v>2085</v>
      </c>
      <c r="U41" s="2"/>
      <c r="V41" s="7">
        <f t="shared" si="21"/>
        <v>0</v>
      </c>
      <c r="W41" s="2"/>
      <c r="X41" s="6">
        <f t="shared" si="22"/>
        <v>-992.1400000000001</v>
      </c>
      <c r="Y41" s="2"/>
      <c r="Z41" s="7">
        <f t="shared" si="23"/>
        <v>-0.47584652278177464</v>
      </c>
    </row>
    <row r="42" spans="1:26" s="29" customFormat="1" outlineLevel="1" collapsed="1" x14ac:dyDescent="0.3">
      <c r="A42" s="28"/>
      <c r="B42" s="14" t="str">
        <f>CONCATENATE("     ","Employees' Appreciation                           ")</f>
        <v xml:space="preserve">     Employees' Appreciation                           </v>
      </c>
      <c r="C42" s="14"/>
      <c r="D42" s="1">
        <f>SUM(OSRRefD22_3x_0)</f>
        <v>0</v>
      </c>
      <c r="E42" s="1"/>
      <c r="F42" s="5">
        <f t="shared" si="16"/>
        <v>0</v>
      </c>
      <c r="G42" s="1"/>
      <c r="H42" s="1">
        <f>SUM(OSRRefH22_3x_0)</f>
        <v>0</v>
      </c>
      <c r="I42" s="1"/>
      <c r="J42" s="5">
        <f t="shared" si="17"/>
        <v>0</v>
      </c>
      <c r="K42" s="1"/>
      <c r="L42" s="1">
        <f t="shared" si="18"/>
        <v>0</v>
      </c>
      <c r="M42" s="1"/>
      <c r="N42" s="5">
        <f t="shared" si="19"/>
        <v>0</v>
      </c>
      <c r="O42" s="14"/>
      <c r="P42" s="1">
        <f>SUM(OSRRefP22_3x_0)</f>
        <v>0</v>
      </c>
      <c r="Q42" s="1"/>
      <c r="R42" s="5">
        <f t="shared" si="20"/>
        <v>0</v>
      </c>
      <c r="S42" s="1"/>
      <c r="T42" s="1">
        <f>SUM(OSRRefT22_3x_0)</f>
        <v>500</v>
      </c>
      <c r="U42" s="1"/>
      <c r="V42" s="5">
        <f t="shared" si="21"/>
        <v>0</v>
      </c>
      <c r="W42" s="1"/>
      <c r="X42" s="1">
        <f t="shared" si="22"/>
        <v>-500</v>
      </c>
      <c r="Y42" s="1"/>
      <c r="Z42" s="5">
        <f t="shared" si="23"/>
        <v>-1</v>
      </c>
    </row>
    <row r="43" spans="1:26" s="24" customFormat="1" hidden="1" outlineLevel="2" x14ac:dyDescent="0.3">
      <c r="A43" s="27"/>
      <c r="B43" s="11" t="str">
        <f>CONCATENATE("          ", "6277", " - ", "EMPLOYEE APPRECIATION")</f>
        <v xml:space="preserve">          6277 - EMPLOYEE APPRECIATION</v>
      </c>
      <c r="C43" s="11"/>
      <c r="D43" s="6"/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0</v>
      </c>
      <c r="M43" s="2"/>
      <c r="N43" s="7">
        <f t="shared" si="19"/>
        <v>0</v>
      </c>
      <c r="O43" s="11"/>
      <c r="P43" s="6"/>
      <c r="Q43" s="2"/>
      <c r="R43" s="7">
        <f t="shared" si="20"/>
        <v>0</v>
      </c>
      <c r="S43" s="2"/>
      <c r="T43" s="6">
        <v>500</v>
      </c>
      <c r="U43" s="2"/>
      <c r="V43" s="7">
        <f t="shared" si="21"/>
        <v>0</v>
      </c>
      <c r="W43" s="2"/>
      <c r="X43" s="6">
        <f t="shared" si="22"/>
        <v>-500</v>
      </c>
      <c r="Y43" s="2"/>
      <c r="Z43" s="7">
        <f t="shared" si="23"/>
        <v>-1</v>
      </c>
    </row>
    <row r="44" spans="1:26" s="29" customFormat="1" outlineLevel="1" collapsed="1" x14ac:dyDescent="0.3">
      <c r="A44" s="28"/>
      <c r="B44" s="14" t="str">
        <f>CONCATENATE("     ","Repair and Maintenance                            ")</f>
        <v xml:space="preserve">     Repair and Maintenance                            </v>
      </c>
      <c r="C44" s="14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1600</v>
      </c>
      <c r="I44" s="1"/>
      <c r="J44" s="5">
        <f t="shared" si="17"/>
        <v>0</v>
      </c>
      <c r="K44" s="1"/>
      <c r="L44" s="1">
        <f t="shared" si="18"/>
        <v>-1600</v>
      </c>
      <c r="M44" s="1"/>
      <c r="N44" s="5">
        <f t="shared" si="19"/>
        <v>-1</v>
      </c>
      <c r="O44" s="14"/>
      <c r="P44" s="1">
        <f>SUM(OSRRefP22_4x_0)</f>
        <v>63.36</v>
      </c>
      <c r="Q44" s="1"/>
      <c r="R44" s="5">
        <f t="shared" si="20"/>
        <v>0</v>
      </c>
      <c r="S44" s="1"/>
      <c r="T44" s="1">
        <f>SUM(OSRRefT22_4x_0)</f>
        <v>8000</v>
      </c>
      <c r="U44" s="1"/>
      <c r="V44" s="5">
        <f t="shared" si="21"/>
        <v>0</v>
      </c>
      <c r="W44" s="1"/>
      <c r="X44" s="1">
        <f t="shared" si="22"/>
        <v>-7936.64</v>
      </c>
      <c r="Y44" s="1"/>
      <c r="Z44" s="5">
        <f t="shared" si="23"/>
        <v>-0.99208000000000007</v>
      </c>
    </row>
    <row r="45" spans="1:26" s="24" customFormat="1" hidden="1" outlineLevel="2" x14ac:dyDescent="0.3">
      <c r="A45" s="27"/>
      <c r="B45" s="11" t="str">
        <f>CONCATENATE("          ", "6371", " - ", "COMPUTER SOFTWARE MAINTENANCE")</f>
        <v xml:space="preserve">          6371 - COMPUTER SOFTWARE MAINTENANCE</v>
      </c>
      <c r="C45" s="11"/>
      <c r="D45" s="6"/>
      <c r="E45" s="2"/>
      <c r="F45" s="7">
        <f t="shared" si="16"/>
        <v>0</v>
      </c>
      <c r="G45" s="2"/>
      <c r="H45" s="6">
        <v>1600</v>
      </c>
      <c r="I45" s="2"/>
      <c r="J45" s="7">
        <f t="shared" si="17"/>
        <v>0</v>
      </c>
      <c r="K45" s="2"/>
      <c r="L45" s="6">
        <f t="shared" si="18"/>
        <v>-1600</v>
      </c>
      <c r="M45" s="2"/>
      <c r="N45" s="7">
        <f t="shared" si="19"/>
        <v>-1</v>
      </c>
      <c r="O45" s="11"/>
      <c r="P45" s="6"/>
      <c r="Q45" s="2"/>
      <c r="R45" s="7">
        <f t="shared" si="20"/>
        <v>0</v>
      </c>
      <c r="S45" s="2"/>
      <c r="T45" s="6">
        <v>8000</v>
      </c>
      <c r="U45" s="2"/>
      <c r="V45" s="7">
        <f t="shared" si="21"/>
        <v>0</v>
      </c>
      <c r="W45" s="2"/>
      <c r="X45" s="6">
        <f t="shared" si="22"/>
        <v>-8000</v>
      </c>
      <c r="Y45" s="2"/>
      <c r="Z45" s="7">
        <f t="shared" si="23"/>
        <v>-1</v>
      </c>
    </row>
    <row r="46" spans="1:26" s="24" customFormat="1" hidden="1" outlineLevel="2" x14ac:dyDescent="0.3">
      <c r="A46" s="27"/>
      <c r="B46" s="11" t="str">
        <f>CONCATENATE("          ", "6375", " - ", "OUTSIDE REPAIRS &amp; MAINTENANCE")</f>
        <v xml:space="preserve">          6375 - OUTSIDE REPAIRS &amp; MAINTENANCE</v>
      </c>
      <c r="C46" s="11"/>
      <c r="D46" s="6"/>
      <c r="E46" s="2"/>
      <c r="F46" s="7">
        <f t="shared" si="16"/>
        <v>0</v>
      </c>
      <c r="G46" s="2"/>
      <c r="H46" s="6"/>
      <c r="I46" s="2"/>
      <c r="J46" s="7">
        <f t="shared" si="17"/>
        <v>0</v>
      </c>
      <c r="K46" s="2"/>
      <c r="L46" s="6">
        <f t="shared" si="18"/>
        <v>0</v>
      </c>
      <c r="M46" s="2"/>
      <c r="N46" s="7">
        <f t="shared" si="19"/>
        <v>0</v>
      </c>
      <c r="O46" s="11"/>
      <c r="P46" s="6">
        <v>63.36</v>
      </c>
      <c r="Q46" s="2"/>
      <c r="R46" s="7">
        <f t="shared" si="20"/>
        <v>0</v>
      </c>
      <c r="S46" s="2"/>
      <c r="T46" s="6"/>
      <c r="U46" s="2"/>
      <c r="V46" s="7">
        <f t="shared" si="21"/>
        <v>0</v>
      </c>
      <c r="W46" s="2"/>
      <c r="X46" s="6">
        <f t="shared" si="22"/>
        <v>63.36</v>
      </c>
      <c r="Y46" s="2"/>
      <c r="Z46" s="7">
        <f t="shared" si="23"/>
        <v>0</v>
      </c>
    </row>
    <row r="47" spans="1:26" s="29" customFormat="1" outlineLevel="1" collapsed="1" x14ac:dyDescent="0.3">
      <c r="A47" s="28"/>
      <c r="B47" s="14" t="str">
        <f>CONCATENATE("     ","Supplies                                          ")</f>
        <v xml:space="preserve">     Supplies                                          </v>
      </c>
      <c r="C47" s="14"/>
      <c r="D47" s="1">
        <f>SUM(OSRRefD22_5x_0)</f>
        <v>0</v>
      </c>
      <c r="E47" s="1"/>
      <c r="F47" s="5">
        <f t="shared" ref="F47:F51" si="24">IF(D$12=0,0,D47/D$12)</f>
        <v>0</v>
      </c>
      <c r="G47" s="1"/>
      <c r="H47" s="1">
        <f>SUM(OSRRefH22_5x_0)</f>
        <v>600</v>
      </c>
      <c r="I47" s="1"/>
      <c r="J47" s="5">
        <f t="shared" ref="J47:J51" si="25">IF(H$12=0,0,H47/H$12)</f>
        <v>0</v>
      </c>
      <c r="K47" s="1"/>
      <c r="L47" s="1">
        <f t="shared" ref="L47:L51" si="26">+D47-H47</f>
        <v>-600</v>
      </c>
      <c r="M47" s="1"/>
      <c r="N47" s="5">
        <f t="shared" ref="N47:N51" si="27">IF(H47=0,0,L47/H47)</f>
        <v>-1</v>
      </c>
      <c r="O47" s="14"/>
      <c r="P47" s="1">
        <f>SUM(OSRRefP22_5x_0)</f>
        <v>4.5</v>
      </c>
      <c r="Q47" s="1"/>
      <c r="R47" s="5">
        <f t="shared" ref="R47:R51" si="28">IF(P$12=0,0,P47/P$12)</f>
        <v>0</v>
      </c>
      <c r="S47" s="1"/>
      <c r="T47" s="1">
        <f>SUM(OSRRefT22_5x_0)</f>
        <v>3000</v>
      </c>
      <c r="U47" s="1"/>
      <c r="V47" s="5">
        <f t="shared" ref="V47:V51" si="29">IF(T$12=0,0,T47/T$12)</f>
        <v>0</v>
      </c>
      <c r="W47" s="1"/>
      <c r="X47" s="1">
        <f t="shared" ref="X47:X51" si="30">+P47-T47</f>
        <v>-2995.5</v>
      </c>
      <c r="Y47" s="1"/>
      <c r="Z47" s="5">
        <f t="shared" ref="Z47:Z51" si="31">IF(T47=0,0,X47/T47)</f>
        <v>-0.99850000000000005</v>
      </c>
    </row>
    <row r="48" spans="1:26" s="24" customFormat="1" hidden="1" outlineLevel="2" x14ac:dyDescent="0.3">
      <c r="A48" s="27"/>
      <c r="B48" s="11" t="str">
        <f>CONCATENATE("          ", "6241", " - ", "OFFICE EXPENSE")</f>
        <v xml:space="preserve">          6241 - OFFICE EXPENSE</v>
      </c>
      <c r="C48" s="11"/>
      <c r="D48" s="6"/>
      <c r="E48" s="2"/>
      <c r="F48" s="7">
        <f t="shared" si="24"/>
        <v>0</v>
      </c>
      <c r="G48" s="2"/>
      <c r="H48" s="6">
        <v>600</v>
      </c>
      <c r="I48" s="2"/>
      <c r="J48" s="7">
        <f t="shared" si="25"/>
        <v>0</v>
      </c>
      <c r="K48" s="2"/>
      <c r="L48" s="6">
        <f t="shared" si="26"/>
        <v>-600</v>
      </c>
      <c r="M48" s="2"/>
      <c r="N48" s="7">
        <f t="shared" si="27"/>
        <v>-1</v>
      </c>
      <c r="O48" s="11"/>
      <c r="P48" s="6">
        <v>4.5</v>
      </c>
      <c r="Q48" s="2"/>
      <c r="R48" s="7">
        <f t="shared" si="28"/>
        <v>0</v>
      </c>
      <c r="S48" s="2"/>
      <c r="T48" s="6">
        <v>3000</v>
      </c>
      <c r="U48" s="2"/>
      <c r="V48" s="7">
        <f t="shared" si="29"/>
        <v>0</v>
      </c>
      <c r="W48" s="2"/>
      <c r="X48" s="6">
        <f t="shared" si="30"/>
        <v>-2995.5</v>
      </c>
      <c r="Y48" s="2"/>
      <c r="Z48" s="7">
        <f t="shared" si="31"/>
        <v>-0.99850000000000005</v>
      </c>
    </row>
    <row r="49" spans="1:26" s="29" customFormat="1" outlineLevel="1" collapsed="1" x14ac:dyDescent="0.3">
      <c r="A49" s="28"/>
      <c r="B49" s="14" t="str">
        <f>CONCATENATE("     ","Telephone/Data Lines                              ")</f>
        <v xml:space="preserve">     Telephone/Data Lines                              </v>
      </c>
      <c r="C49" s="14"/>
      <c r="D49" s="1">
        <f>SUM(OSRRefD22_6x_0)</f>
        <v>36</v>
      </c>
      <c r="E49" s="1"/>
      <c r="F49" s="5">
        <f t="shared" si="24"/>
        <v>0</v>
      </c>
      <c r="G49" s="1"/>
      <c r="H49" s="1">
        <f>SUM(OSRRefH22_6x_0)</f>
        <v>72</v>
      </c>
      <c r="I49" s="1"/>
      <c r="J49" s="5">
        <f t="shared" si="25"/>
        <v>0</v>
      </c>
      <c r="K49" s="1"/>
      <c r="L49" s="1">
        <f t="shared" si="26"/>
        <v>-36</v>
      </c>
      <c r="M49" s="1"/>
      <c r="N49" s="5">
        <f t="shared" si="27"/>
        <v>-0.5</v>
      </c>
      <c r="O49" s="14"/>
      <c r="P49" s="1">
        <f>SUM(OSRRefP22_6x_0)</f>
        <v>252</v>
      </c>
      <c r="Q49" s="1"/>
      <c r="R49" s="5">
        <f t="shared" si="28"/>
        <v>0</v>
      </c>
      <c r="S49" s="1"/>
      <c r="T49" s="1">
        <f>SUM(OSRRefT22_6x_0)</f>
        <v>360</v>
      </c>
      <c r="U49" s="1"/>
      <c r="V49" s="5">
        <f t="shared" si="29"/>
        <v>0</v>
      </c>
      <c r="W49" s="1"/>
      <c r="X49" s="1">
        <f t="shared" si="30"/>
        <v>-108</v>
      </c>
      <c r="Y49" s="1"/>
      <c r="Z49" s="5">
        <f t="shared" si="31"/>
        <v>-0.3</v>
      </c>
    </row>
    <row r="50" spans="1:26" s="24" customFormat="1" hidden="1" outlineLevel="2" x14ac:dyDescent="0.3">
      <c r="A50" s="27"/>
      <c r="B50" s="11" t="str">
        <f>CONCATENATE("          ", "6303", " - ", "DATA PHONE LINES")</f>
        <v xml:space="preserve">          6303 - DATA PHONE LINES</v>
      </c>
      <c r="C50" s="11"/>
      <c r="D50" s="6"/>
      <c r="E50" s="2"/>
      <c r="F50" s="7">
        <f t="shared" si="24"/>
        <v>0</v>
      </c>
      <c r="G50" s="2"/>
      <c r="H50" s="6">
        <v>36</v>
      </c>
      <c r="I50" s="2"/>
      <c r="J50" s="7">
        <f t="shared" si="25"/>
        <v>0</v>
      </c>
      <c r="K50" s="2"/>
      <c r="L50" s="6">
        <f t="shared" si="26"/>
        <v>-36</v>
      </c>
      <c r="M50" s="2"/>
      <c r="N50" s="7">
        <f t="shared" si="27"/>
        <v>-1</v>
      </c>
      <c r="O50" s="11"/>
      <c r="P50" s="6"/>
      <c r="Q50" s="2"/>
      <c r="R50" s="7">
        <f t="shared" si="28"/>
        <v>0</v>
      </c>
      <c r="S50" s="2"/>
      <c r="T50" s="6">
        <v>180</v>
      </c>
      <c r="U50" s="2"/>
      <c r="V50" s="7">
        <f t="shared" si="29"/>
        <v>0</v>
      </c>
      <c r="W50" s="2"/>
      <c r="X50" s="6">
        <f t="shared" si="30"/>
        <v>-180</v>
      </c>
      <c r="Y50" s="2"/>
      <c r="Z50" s="7">
        <f t="shared" si="31"/>
        <v>-1</v>
      </c>
    </row>
    <row r="51" spans="1:26" s="24" customFormat="1" hidden="1" outlineLevel="2" x14ac:dyDescent="0.3">
      <c r="A51" s="27"/>
      <c r="B51" s="11" t="str">
        <f>CONCATENATE("          ", "6309", " - ", "TELEPHONE")</f>
        <v xml:space="preserve">          6309 - TELEPHONE</v>
      </c>
      <c r="C51" s="11"/>
      <c r="D51" s="6">
        <v>36</v>
      </c>
      <c r="E51" s="2"/>
      <c r="F51" s="7">
        <f t="shared" si="24"/>
        <v>0</v>
      </c>
      <c r="G51" s="2"/>
      <c r="H51" s="6">
        <v>36</v>
      </c>
      <c r="I51" s="2"/>
      <c r="J51" s="7">
        <f t="shared" si="25"/>
        <v>0</v>
      </c>
      <c r="K51" s="2"/>
      <c r="L51" s="6">
        <f t="shared" si="26"/>
        <v>0</v>
      </c>
      <c r="M51" s="2"/>
      <c r="N51" s="7">
        <f t="shared" si="27"/>
        <v>0</v>
      </c>
      <c r="O51" s="11"/>
      <c r="P51" s="6">
        <v>252</v>
      </c>
      <c r="Q51" s="2"/>
      <c r="R51" s="7">
        <f t="shared" si="28"/>
        <v>0</v>
      </c>
      <c r="S51" s="2"/>
      <c r="T51" s="6">
        <v>180</v>
      </c>
      <c r="U51" s="2"/>
      <c r="V51" s="7">
        <f t="shared" si="29"/>
        <v>0</v>
      </c>
      <c r="W51" s="2"/>
      <c r="X51" s="6">
        <f t="shared" si="30"/>
        <v>72</v>
      </c>
      <c r="Y51" s="2"/>
      <c r="Z51" s="7">
        <f t="shared" si="31"/>
        <v>0.4</v>
      </c>
    </row>
    <row r="52" spans="1:26" s="29" customFormat="1" outlineLevel="1" collapsed="1" x14ac:dyDescent="0.3">
      <c r="A52" s="28"/>
      <c r="B52" s="14" t="str">
        <f>CONCATENATE("     ","Training                                          ")</f>
        <v xml:space="preserve">     Training                                          </v>
      </c>
      <c r="C52" s="14"/>
      <c r="D52" s="1">
        <f>SUM(OSRRefD22_7x_0)</f>
        <v>0</v>
      </c>
      <c r="E52" s="1"/>
      <c r="F52" s="5">
        <f t="shared" ref="F52:F53" si="32">IF(D$12=0,0,D52/D$12)</f>
        <v>0</v>
      </c>
      <c r="G52" s="1"/>
      <c r="H52" s="1">
        <f>SUM(OSRRefH22_7x_0)</f>
        <v>0</v>
      </c>
      <c r="I52" s="1"/>
      <c r="J52" s="5">
        <f t="shared" ref="J52:J53" si="33">IF(H$12=0,0,H52/H$12)</f>
        <v>0</v>
      </c>
      <c r="K52" s="1"/>
      <c r="L52" s="1">
        <f t="shared" ref="L52:L53" si="34">+D52-H52</f>
        <v>0</v>
      </c>
      <c r="M52" s="1"/>
      <c r="N52" s="5">
        <f t="shared" ref="N52:N53" si="35">IF(H52=0,0,L52/H52)</f>
        <v>0</v>
      </c>
      <c r="O52" s="14"/>
      <c r="P52" s="1">
        <f>SUM(OSRRefP22_7x_0)</f>
        <v>0</v>
      </c>
      <c r="Q52" s="1"/>
      <c r="R52" s="5">
        <f t="shared" ref="R52:R53" si="36">IF(P$12=0,0,P52/P$12)</f>
        <v>0</v>
      </c>
      <c r="S52" s="1"/>
      <c r="T52" s="1">
        <f>SUM(OSRRefT22_7x_0)</f>
        <v>1000</v>
      </c>
      <c r="U52" s="1"/>
      <c r="V52" s="5">
        <f t="shared" ref="V52:V53" si="37">IF(T$12=0,0,T52/T$12)</f>
        <v>0</v>
      </c>
      <c r="W52" s="1"/>
      <c r="X52" s="1">
        <f t="shared" ref="X52:X53" si="38">+P52-T52</f>
        <v>-1000</v>
      </c>
      <c r="Y52" s="1"/>
      <c r="Z52" s="5">
        <f t="shared" ref="Z52:Z53" si="39">IF(T52=0,0,X52/T52)</f>
        <v>-1</v>
      </c>
    </row>
    <row r="53" spans="1:26" s="24" customFormat="1" hidden="1" outlineLevel="2" x14ac:dyDescent="0.3">
      <c r="A53" s="27"/>
      <c r="B53" s="11" t="str">
        <f>CONCATENATE("          ", "6376", " - ", "TRAINING")</f>
        <v xml:space="preserve">          6376 - TRAINING</v>
      </c>
      <c r="C53" s="11"/>
      <c r="D53" s="6"/>
      <c r="E53" s="2"/>
      <c r="F53" s="7">
        <f t="shared" si="32"/>
        <v>0</v>
      </c>
      <c r="G53" s="2"/>
      <c r="H53" s="6"/>
      <c r="I53" s="2"/>
      <c r="J53" s="7">
        <f t="shared" si="33"/>
        <v>0</v>
      </c>
      <c r="K53" s="2"/>
      <c r="L53" s="6">
        <f t="shared" si="34"/>
        <v>0</v>
      </c>
      <c r="M53" s="2"/>
      <c r="N53" s="7">
        <f t="shared" si="35"/>
        <v>0</v>
      </c>
      <c r="O53" s="11"/>
      <c r="P53" s="6"/>
      <c r="Q53" s="2"/>
      <c r="R53" s="7">
        <f t="shared" si="36"/>
        <v>0</v>
      </c>
      <c r="S53" s="2"/>
      <c r="T53" s="6">
        <v>1000</v>
      </c>
      <c r="U53" s="2"/>
      <c r="V53" s="7">
        <f t="shared" si="37"/>
        <v>0</v>
      </c>
      <c r="W53" s="2"/>
      <c r="X53" s="6">
        <f t="shared" si="38"/>
        <v>-1000</v>
      </c>
      <c r="Y53" s="2"/>
      <c r="Z53" s="7">
        <f t="shared" si="39"/>
        <v>-1</v>
      </c>
    </row>
    <row r="54" spans="1:26" s="63" customFormat="1" x14ac:dyDescent="0.3">
      <c r="A54" s="36"/>
      <c r="B54" s="36"/>
      <c r="C54" s="36"/>
      <c r="D54" s="1"/>
      <c r="E54" s="1"/>
      <c r="F54" s="5"/>
      <c r="G54" s="1"/>
      <c r="H54" s="1"/>
      <c r="I54" s="1"/>
      <c r="J54" s="5"/>
      <c r="K54" s="1"/>
      <c r="L54" s="1"/>
      <c r="M54" s="1"/>
      <c r="N54" s="5"/>
      <c r="O54" s="36"/>
      <c r="P54" s="1"/>
      <c r="Q54" s="1"/>
      <c r="R54" s="5"/>
      <c r="S54" s="1"/>
      <c r="T54" s="1"/>
      <c r="U54" s="1"/>
      <c r="V54" s="5"/>
      <c r="W54" s="1"/>
      <c r="X54" s="1"/>
      <c r="Y54" s="1"/>
      <c r="Z54" s="5"/>
    </row>
    <row r="55" spans="1:26" s="23" customFormat="1" x14ac:dyDescent="0.3">
      <c r="A55" s="10"/>
      <c r="B55" s="25" t="s">
        <v>293</v>
      </c>
      <c r="C55" s="10"/>
      <c r="D55" s="4">
        <f>SUM(0)</f>
        <v>0</v>
      </c>
      <c r="E55" s="4"/>
      <c r="F55" s="12">
        <f>IF(D$12=0,0,D55/D$12)</f>
        <v>0</v>
      </c>
      <c r="G55" s="4"/>
      <c r="H55" s="4">
        <f>SUM(0)</f>
        <v>0</v>
      </c>
      <c r="I55" s="4"/>
      <c r="J55" s="12">
        <f>IF(H$12=0,0,H55/H$12)</f>
        <v>0</v>
      </c>
      <c r="K55" s="4"/>
      <c r="L55" s="4">
        <f>+D55-H55</f>
        <v>0</v>
      </c>
      <c r="M55" s="4"/>
      <c r="N55" s="12">
        <f>IF(H55=0,0,L55/H55)</f>
        <v>0</v>
      </c>
      <c r="O55" s="10"/>
      <c r="P55" s="4">
        <f>SUM(0)</f>
        <v>0</v>
      </c>
      <c r="Q55" s="4"/>
      <c r="R55" s="12">
        <f>IF(P$12=0,0,P55/P$12)</f>
        <v>0</v>
      </c>
      <c r="S55" s="4"/>
      <c r="T55" s="4">
        <f>SUM(0)</f>
        <v>0</v>
      </c>
      <c r="U55" s="4"/>
      <c r="V55" s="12">
        <f>IF(T$12=0,0,T55/T$12)</f>
        <v>0</v>
      </c>
      <c r="W55" s="4"/>
      <c r="X55" s="4">
        <f>+P55-T55</f>
        <v>0</v>
      </c>
      <c r="Y55" s="4"/>
      <c r="Z55" s="12">
        <f>IF(T55=0,0,X55/T55)</f>
        <v>0</v>
      </c>
    </row>
    <row r="56" spans="1:26" x14ac:dyDescent="0.3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x14ac:dyDescent="0.3">
      <c r="A57" s="10"/>
      <c r="B57" s="26" t="s">
        <v>277</v>
      </c>
      <c r="C57" s="26"/>
      <c r="D57" s="20">
        <f>+D16-D18+D55</f>
        <v>-9325.01</v>
      </c>
      <c r="E57" s="13"/>
      <c r="F57" s="22">
        <f>IF(D$12=0,0,D57/D$12)</f>
        <v>0</v>
      </c>
      <c r="G57" s="13"/>
      <c r="H57" s="20">
        <f>+H16-H18+H55</f>
        <v>-12236.75742769231</v>
      </c>
      <c r="I57" s="13"/>
      <c r="J57" s="22">
        <f>IF(H$12=0,0,H57/H$12)</f>
        <v>0</v>
      </c>
      <c r="K57" s="15"/>
      <c r="L57" s="20">
        <f>+D57-H57</f>
        <v>2911.7474276923094</v>
      </c>
      <c r="M57" s="15"/>
      <c r="N57" s="22">
        <f>IF(H57=0,0,L57/H57)</f>
        <v>-0.23795089874895284</v>
      </c>
      <c r="O57" s="25"/>
      <c r="P57" s="20">
        <f>+P16-P18+P55</f>
        <v>-45216.119999999995</v>
      </c>
      <c r="Q57" s="13"/>
      <c r="R57" s="22">
        <f>IF(P$12=0,0,P57/P$12)</f>
        <v>0</v>
      </c>
      <c r="S57" s="13"/>
      <c r="T57" s="20">
        <f>+T16-T18+T55</f>
        <v>-68006.895452307683</v>
      </c>
      <c r="U57" s="13"/>
      <c r="V57" s="22">
        <f>IF(T$12=0,0,T57/T$12)</f>
        <v>0</v>
      </c>
      <c r="W57" s="15"/>
      <c r="X57" s="20">
        <f>+P57-T57</f>
        <v>22790.775452307687</v>
      </c>
      <c r="Y57" s="15"/>
      <c r="Z57" s="22">
        <f>IF(T57=0,0,X57/T57)</f>
        <v>-0.33512447966824999</v>
      </c>
    </row>
    <row r="58" spans="1:26" x14ac:dyDescent="0.3">
      <c r="A58" s="9"/>
      <c r="B58" s="10"/>
      <c r="C58" s="9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x14ac:dyDescent="0.3">
      <c r="A59" s="52"/>
      <c r="B59" s="10" t="s">
        <v>128</v>
      </c>
      <c r="C59" s="10"/>
      <c r="D59" s="4"/>
      <c r="E59" s="4"/>
      <c r="F59" s="12">
        <f>IF(D$12=0,0,D59/D$12)</f>
        <v>0</v>
      </c>
      <c r="G59" s="4"/>
      <c r="H59" s="4"/>
      <c r="I59" s="4"/>
      <c r="J59" s="12">
        <f>IF(H$12=0,0,H59/H$12)</f>
        <v>0</v>
      </c>
      <c r="K59" s="4"/>
      <c r="L59" s="4">
        <f>+D59-H59</f>
        <v>0</v>
      </c>
      <c r="M59" s="4"/>
      <c r="N59" s="12">
        <f>IF(H59=0,0,L59/H59)</f>
        <v>0</v>
      </c>
      <c r="O59" s="10"/>
      <c r="P59" s="4"/>
      <c r="Q59" s="4"/>
      <c r="R59" s="12">
        <f>IF(P$12=0,0,P59/P$12)</f>
        <v>0</v>
      </c>
      <c r="S59" s="4"/>
      <c r="T59" s="4"/>
      <c r="U59" s="4"/>
      <c r="V59" s="12">
        <f>IF(T$12=0,0,T59/T$12)</f>
        <v>0</v>
      </c>
      <c r="W59" s="4"/>
      <c r="X59" s="4">
        <f>+P59-T59</f>
        <v>0</v>
      </c>
      <c r="Y59" s="4"/>
      <c r="Z59" s="12">
        <f>IF(T59=0,0,X59/T59)</f>
        <v>0</v>
      </c>
    </row>
    <row r="60" spans="1:26" x14ac:dyDescent="0.3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ht="15" thickBot="1" x14ac:dyDescent="0.35">
      <c r="A61" s="10"/>
      <c r="B61" s="26" t="s">
        <v>126</v>
      </c>
      <c r="C61" s="26"/>
      <c r="D61" s="33">
        <f>+D57-D59</f>
        <v>-9325.01</v>
      </c>
      <c r="E61" s="13"/>
      <c r="F61" s="34">
        <f>IF(D$12=0,0,D61/D$12)</f>
        <v>0</v>
      </c>
      <c r="G61" s="13"/>
      <c r="H61" s="33">
        <f>+H57-H59</f>
        <v>-12236.75742769231</v>
      </c>
      <c r="I61" s="13"/>
      <c r="J61" s="34">
        <f>IF(H$12=0,0,H61/H$12)</f>
        <v>0</v>
      </c>
      <c r="K61" s="15"/>
      <c r="L61" s="33">
        <f>D61-H61</f>
        <v>2911.7474276923094</v>
      </c>
      <c r="M61" s="15"/>
      <c r="N61" s="34">
        <f>IF(H61=0,0,L61/H61)</f>
        <v>-0.23795089874895284</v>
      </c>
      <c r="O61" s="25"/>
      <c r="P61" s="33">
        <f>+P57-P59</f>
        <v>-45216.119999999995</v>
      </c>
      <c r="Q61" s="13"/>
      <c r="R61" s="34">
        <f>IF(P$12=0,0,P61/P$12)</f>
        <v>0</v>
      </c>
      <c r="S61" s="13"/>
      <c r="T61" s="33">
        <f>+T57-T59</f>
        <v>-68006.895452307683</v>
      </c>
      <c r="U61" s="13"/>
      <c r="V61" s="34">
        <f>IF(T$12=0,0,T61/T$12)</f>
        <v>0</v>
      </c>
      <c r="W61" s="15"/>
      <c r="X61" s="33">
        <f>P61-T61</f>
        <v>22790.775452307687</v>
      </c>
      <c r="Y61" s="15"/>
      <c r="Z61" s="34">
        <f>IF(T61=0,0,X61/T61)</f>
        <v>-0.33512447966824999</v>
      </c>
    </row>
    <row r="62" spans="1:26" ht="15" thickTop="1" x14ac:dyDescent="0.3">
      <c r="A62" s="9"/>
      <c r="B62" s="9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x14ac:dyDescent="0.3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ht="15" thickBot="1" x14ac:dyDescent="0.35">
      <c r="A64" s="10"/>
      <c r="B64" s="26" t="s">
        <v>294</v>
      </c>
      <c r="C64" s="26"/>
      <c r="D64" s="35">
        <f>SUM(D61:D63)</f>
        <v>-9325.01</v>
      </c>
      <c r="E64" s="13"/>
      <c r="F64" s="32">
        <f>IF(D$12=0,0,D64/D$12)</f>
        <v>0</v>
      </c>
      <c r="G64" s="13"/>
      <c r="H64" s="35">
        <f>SUM(H61:H63)</f>
        <v>-12236.75742769231</v>
      </c>
      <c r="I64" s="13"/>
      <c r="J64" s="32">
        <f>IF(H$12=0,0,H64/H$12)</f>
        <v>0</v>
      </c>
      <c r="K64" s="15"/>
      <c r="L64" s="35">
        <f>+D64-H64</f>
        <v>2911.7474276923094</v>
      </c>
      <c r="M64" s="15"/>
      <c r="N64" s="32">
        <f>IF(H64=0,0,L64/H64)</f>
        <v>-0.23795089874895284</v>
      </c>
      <c r="O64" s="25"/>
      <c r="P64" s="35">
        <f>SUM(P61:P63)</f>
        <v>-45216.119999999995</v>
      </c>
      <c r="Q64" s="13"/>
      <c r="R64" s="32">
        <f>IF(P$12=0,0,P64/P$12)</f>
        <v>0</v>
      </c>
      <c r="S64" s="13"/>
      <c r="T64" s="35">
        <f>SUM(T61:T63)</f>
        <v>-68006.895452307683</v>
      </c>
      <c r="U64" s="13"/>
      <c r="V64" s="32">
        <f>IF(T$12=0,0,T64/T$12)</f>
        <v>0</v>
      </c>
      <c r="W64" s="15"/>
      <c r="X64" s="35">
        <f>+P64-T64</f>
        <v>22790.775452307687</v>
      </c>
      <c r="Y64" s="15"/>
      <c r="Z64" s="32">
        <f>IF(T64=0,0,X64/T64)</f>
        <v>-0.33512447966824999</v>
      </c>
    </row>
    <row r="65" spans="1:24" ht="15" thickTop="1" x14ac:dyDescent="0.3">
      <c r="A65" s="9"/>
      <c r="C65" s="9"/>
      <c r="D65" s="17"/>
      <c r="E65" s="17"/>
      <c r="G65" s="17"/>
      <c r="H65" s="17"/>
      <c r="I65" s="17"/>
      <c r="J65" s="42"/>
      <c r="K65" s="17"/>
      <c r="L65" s="17"/>
      <c r="M65" s="17"/>
      <c r="P65" s="17"/>
      <c r="Q65" s="17"/>
      <c r="R65" s="42"/>
      <c r="S65" s="17"/>
      <c r="T65" s="17"/>
      <c r="U65" s="17"/>
      <c r="V65" s="42"/>
      <c r="W65" s="17"/>
      <c r="X65" s="17"/>
    </row>
    <row r="66" spans="1:24" x14ac:dyDescent="0.3">
      <c r="A66" s="9"/>
      <c r="B66" s="60">
        <v>44543.753113078703</v>
      </c>
      <c r="D66" s="17"/>
      <c r="E66" s="17"/>
      <c r="G66" s="17"/>
      <c r="H66" s="17"/>
      <c r="I66" s="17"/>
      <c r="J66" s="42"/>
      <c r="K66" s="17"/>
      <c r="L66" s="17"/>
      <c r="M66" s="17"/>
      <c r="P66" s="17"/>
      <c r="Q66" s="17"/>
      <c r="R66" s="42"/>
      <c r="S66" s="17"/>
      <c r="T66" s="17"/>
      <c r="U66" s="17"/>
      <c r="V66" s="42"/>
      <c r="W66" s="17"/>
      <c r="X66" s="17"/>
    </row>
    <row r="67" spans="1:24" x14ac:dyDescent="0.3">
      <c r="A67" s="9"/>
      <c r="B67" s="58" t="s">
        <v>56</v>
      </c>
      <c r="D67" s="17"/>
      <c r="E67" s="17"/>
      <c r="G67" s="17"/>
      <c r="H67" s="17"/>
      <c r="I67" s="17"/>
      <c r="J67" s="42"/>
      <c r="K67" s="17"/>
      <c r="L67" s="17"/>
      <c r="M67" s="17"/>
      <c r="P67" s="17"/>
      <c r="Q67" s="17"/>
      <c r="R67" s="42"/>
      <c r="S67" s="17"/>
      <c r="T67" s="17"/>
      <c r="U67" s="17"/>
      <c r="V67" s="42"/>
      <c r="W67" s="17"/>
      <c r="X67" s="17"/>
    </row>
    <row r="68" spans="1:24" x14ac:dyDescent="0.3">
      <c r="A68" s="9"/>
      <c r="B68" s="55"/>
      <c r="D68" s="17"/>
      <c r="E68" s="17"/>
      <c r="G68" s="17"/>
      <c r="H68" s="17"/>
      <c r="I68" s="17"/>
      <c r="J68" s="42"/>
      <c r="K68" s="17"/>
      <c r="L68" s="17"/>
      <c r="M68" s="17"/>
      <c r="P68" s="17"/>
      <c r="Q68" s="17"/>
      <c r="R68" s="42"/>
      <c r="S68" s="17"/>
      <c r="T68" s="17"/>
      <c r="U68" s="17"/>
      <c r="V68" s="42"/>
      <c r="W68" s="17"/>
      <c r="X68" s="17"/>
    </row>
    <row r="69" spans="1:24" x14ac:dyDescent="0.3">
      <c r="D69" s="17"/>
      <c r="E69" s="17"/>
      <c r="G69" s="17"/>
      <c r="H69" s="17"/>
      <c r="I69" s="17"/>
      <c r="J69" s="42"/>
      <c r="K69" s="17"/>
      <c r="L69" s="17"/>
      <c r="M69" s="17"/>
      <c r="P69" s="17"/>
      <c r="Q69" s="17"/>
      <c r="R69" s="42"/>
      <c r="S69" s="17"/>
      <c r="T69" s="17"/>
      <c r="U69" s="17"/>
      <c r="V69" s="42"/>
      <c r="W69" s="17"/>
      <c r="X69" s="17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  <outlinePr summaryBelow="0" summaryRight="0"/>
  </sheetPr>
  <dimension ref="A2:Z17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107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310059.67000000004</v>
      </c>
      <c r="E12" s="4"/>
      <c r="F12" s="12"/>
      <c r="G12" s="4"/>
      <c r="H12" s="4">
        <f>SUM(OSRRefH13x_0)</f>
        <v>291666</v>
      </c>
      <c r="I12" s="4"/>
      <c r="J12" s="12"/>
      <c r="K12" s="4"/>
      <c r="L12" s="4">
        <f t="shared" ref="L12:L21" si="0">+D12-H12</f>
        <v>18393.670000000042</v>
      </c>
      <c r="M12" s="4"/>
      <c r="N12" s="12">
        <f t="shared" ref="N12:N21" si="1">IF(H12=0,0,L12/H12)</f>
        <v>6.3064155575212888E-2</v>
      </c>
      <c r="O12" s="10"/>
      <c r="P12" s="4">
        <f>SUM(OSRRefP13x_0)</f>
        <v>3226836.83</v>
      </c>
      <c r="Q12" s="4"/>
      <c r="R12" s="12"/>
      <c r="S12" s="4"/>
      <c r="T12" s="4">
        <f>SUM(OSRRefT13x_0)</f>
        <v>4670112</v>
      </c>
      <c r="U12" s="4"/>
      <c r="V12" s="12"/>
      <c r="W12" s="4"/>
      <c r="X12" s="4">
        <f t="shared" ref="X12:X21" si="2">+P12-T12</f>
        <v>-1443275.17</v>
      </c>
      <c r="Y12" s="4"/>
      <c r="Z12" s="12">
        <f t="shared" ref="Z12:Z21" si="3">IF(T12=0,0,X12/T12)</f>
        <v>-0.30904508714137902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--264894.44</f>
        <v>264894.44</v>
      </c>
      <c r="E13" s="2"/>
      <c r="F13" s="19"/>
      <c r="G13" s="2"/>
      <c r="H13" s="2">
        <v>240452</v>
      </c>
      <c r="I13" s="2"/>
      <c r="J13" s="19"/>
      <c r="K13" s="2"/>
      <c r="L13" s="2">
        <f t="shared" si="0"/>
        <v>24442.440000000002</v>
      </c>
      <c r="M13" s="2"/>
      <c r="N13" s="19">
        <f t="shared" si="1"/>
        <v>0.10165205529585948</v>
      </c>
      <c r="O13" s="11"/>
      <c r="P13" s="2">
        <f>--2642725.14</f>
        <v>2642725.14</v>
      </c>
      <c r="Q13" s="2"/>
      <c r="R13" s="19"/>
      <c r="S13" s="2"/>
      <c r="T13" s="2">
        <v>4431246</v>
      </c>
      <c r="U13" s="2"/>
      <c r="V13" s="19"/>
      <c r="W13" s="2"/>
      <c r="X13" s="2">
        <f t="shared" si="2"/>
        <v>-1788520.8599999999</v>
      </c>
      <c r="Y13" s="2"/>
      <c r="Z13" s="19">
        <f t="shared" si="3"/>
        <v>-0.40361579113414148</v>
      </c>
    </row>
    <row r="14" spans="1:26" s="24" customFormat="1" hidden="1" outlineLevel="1" x14ac:dyDescent="0.3">
      <c r="A14" s="44"/>
      <c r="B14" s="11" t="str">
        <f>CONCATENATE("          ", "4053", " - ", "TAXABLE SALES-FOOD")</f>
        <v xml:space="preserve">          4053 - TAXABLE SALES-FOOD</v>
      </c>
      <c r="C14" s="11"/>
      <c r="D14" s="2">
        <f>--84.35</f>
        <v>84.35</v>
      </c>
      <c r="E14" s="2"/>
      <c r="F14" s="19"/>
      <c r="G14" s="2"/>
      <c r="H14" s="2"/>
      <c r="I14" s="2"/>
      <c r="J14" s="19"/>
      <c r="K14" s="2"/>
      <c r="L14" s="2">
        <f t="shared" si="0"/>
        <v>84.35</v>
      </c>
      <c r="M14" s="2"/>
      <c r="N14" s="19">
        <f t="shared" si="1"/>
        <v>0</v>
      </c>
      <c r="O14" s="11"/>
      <c r="P14" s="2">
        <f>--627.97</f>
        <v>627.97</v>
      </c>
      <c r="Q14" s="2"/>
      <c r="R14" s="19"/>
      <c r="S14" s="2"/>
      <c r="T14" s="2"/>
      <c r="U14" s="2"/>
      <c r="V14" s="19"/>
      <c r="W14" s="2"/>
      <c r="X14" s="2">
        <f t="shared" si="2"/>
        <v>627.97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--62408.96</f>
        <v>62408.959999999999</v>
      </c>
      <c r="E15" s="2"/>
      <c r="F15" s="19"/>
      <c r="G15" s="2"/>
      <c r="H15" s="2">
        <v>51214</v>
      </c>
      <c r="I15" s="2"/>
      <c r="J15" s="19"/>
      <c r="K15" s="2"/>
      <c r="L15" s="2">
        <f t="shared" si="0"/>
        <v>11194.96</v>
      </c>
      <c r="M15" s="2"/>
      <c r="N15" s="19">
        <f t="shared" si="1"/>
        <v>0.21859179130706446</v>
      </c>
      <c r="O15" s="11"/>
      <c r="P15" s="2">
        <f>--696611.79</f>
        <v>696611.79</v>
      </c>
      <c r="Q15" s="2"/>
      <c r="R15" s="19"/>
      <c r="S15" s="2"/>
      <c r="T15" s="2">
        <v>238866</v>
      </c>
      <c r="U15" s="2"/>
      <c r="V15" s="19"/>
      <c r="W15" s="2"/>
      <c r="X15" s="2">
        <f t="shared" si="2"/>
        <v>457745.79000000004</v>
      </c>
      <c r="Y15" s="2"/>
      <c r="Z15" s="19">
        <f t="shared" si="3"/>
        <v>1.9163287784783101</v>
      </c>
    </row>
    <row r="16" spans="1:26" s="24" customFormat="1" hidden="1" outlineLevel="1" x14ac:dyDescent="0.3">
      <c r="A16" s="44"/>
      <c r="B16" s="11" t="str">
        <f>CONCATENATE("          ", "4141", " - ", "NON-TAXABLE SALES-LOGO GIFTS")</f>
        <v xml:space="preserve">          4141 - NON-TAXABLE SALES-LOGO GIFTS</v>
      </c>
      <c r="C16" s="11"/>
      <c r="D16" s="2">
        <f t="shared" ref="D16:D18" si="4">0</f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ref="P16:P18" si="5">0</f>
        <v>0</v>
      </c>
      <c r="Q16" s="2"/>
      <c r="R16" s="19"/>
      <c r="S16" s="2"/>
      <c r="T16" s="2"/>
      <c r="U16" s="2"/>
      <c r="V16" s="19"/>
      <c r="W16" s="2"/>
      <c r="X16" s="2">
        <f t="shared" si="2"/>
        <v>0</v>
      </c>
      <c r="Y16" s="2"/>
      <c r="Z16" s="19">
        <f t="shared" si="3"/>
        <v>0</v>
      </c>
    </row>
    <row r="17" spans="1:26" s="24" customFormat="1" hidden="1" outlineLevel="1" x14ac:dyDescent="0.3">
      <c r="A17" s="44"/>
      <c r="B17" s="11" t="str">
        <f>CONCATENATE("          ", "4146", " - ", "NON-TAXABLE SALES-COIN OP MACH")</f>
        <v xml:space="preserve">          4146 - NON-TAXABLE SALES-COIN OP MACH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 t="shared" si="5"/>
        <v>0</v>
      </c>
      <c r="Q17" s="2"/>
      <c r="R17" s="19"/>
      <c r="S17" s="2"/>
      <c r="T17" s="2"/>
      <c r="U17" s="2"/>
      <c r="V17" s="19"/>
      <c r="W17" s="2"/>
      <c r="X17" s="2">
        <f t="shared" si="2"/>
        <v>0</v>
      </c>
      <c r="Y17" s="2"/>
      <c r="Z17" s="19">
        <f t="shared" si="3"/>
        <v>0</v>
      </c>
    </row>
    <row r="18" spans="1:26" s="24" customFormat="1" hidden="1" outlineLevel="1" x14ac:dyDescent="0.3">
      <c r="A18" s="44"/>
      <c r="B18" s="11" t="str">
        <f>CONCATENATE("          ", "4153", " - ", "NON-TAXABLE SALES-FOOD")</f>
        <v xml:space="preserve">          4153 - NON-TAXABLE SALES-FOOD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 t="shared" si="5"/>
        <v>0</v>
      </c>
      <c r="Q18" s="2"/>
      <c r="R18" s="19"/>
      <c r="S18" s="2"/>
      <c r="T18" s="2"/>
      <c r="U18" s="2"/>
      <c r="V18" s="19"/>
      <c r="W18" s="2"/>
      <c r="X18" s="2">
        <f t="shared" si="2"/>
        <v>0</v>
      </c>
      <c r="Y18" s="2"/>
      <c r="Z18" s="19">
        <f t="shared" si="3"/>
        <v>0</v>
      </c>
    </row>
    <row r="19" spans="1:26" s="24" customFormat="1" hidden="1" outlineLevel="1" x14ac:dyDescent="0.3">
      <c r="A19" s="44"/>
      <c r="B19" s="11" t="str">
        <f>CONCATENATE("          ", "4200", " - ", "TAXABLE RETURNS")</f>
        <v xml:space="preserve">          4200 - TAXABLE RETURNS</v>
      </c>
      <c r="C19" s="11"/>
      <c r="D19" s="2">
        <f>-10145.23</f>
        <v>-10145.23</v>
      </c>
      <c r="E19" s="2"/>
      <c r="F19" s="19"/>
      <c r="G19" s="2"/>
      <c r="H19" s="2"/>
      <c r="I19" s="2"/>
      <c r="J19" s="19"/>
      <c r="K19" s="2"/>
      <c r="L19" s="2">
        <f t="shared" si="0"/>
        <v>-10145.23</v>
      </c>
      <c r="M19" s="2"/>
      <c r="N19" s="19">
        <f t="shared" si="1"/>
        <v>0</v>
      </c>
      <c r="O19" s="11"/>
      <c r="P19" s="2">
        <f>-72538.2</f>
        <v>-72538.2</v>
      </c>
      <c r="Q19" s="2"/>
      <c r="R19" s="19"/>
      <c r="S19" s="2"/>
      <c r="T19" s="2"/>
      <c r="U19" s="2"/>
      <c r="V19" s="19"/>
      <c r="W19" s="2"/>
      <c r="X19" s="2">
        <f t="shared" si="2"/>
        <v>-72538.2</v>
      </c>
      <c r="Y19" s="2"/>
      <c r="Z19" s="19">
        <f t="shared" si="3"/>
        <v>0</v>
      </c>
    </row>
    <row r="20" spans="1:26" s="24" customFormat="1" hidden="1" outlineLevel="1" x14ac:dyDescent="0.3">
      <c r="A20" s="44"/>
      <c r="B20" s="11" t="str">
        <f>CONCATENATE("          ", "4300", " - ", "NON-TAX RETURNS")</f>
        <v xml:space="preserve">          4300 - NON-TAX RETURNS</v>
      </c>
      <c r="C20" s="11"/>
      <c r="D20" s="2">
        <f>-700.92</f>
        <v>-700.92</v>
      </c>
      <c r="E20" s="2"/>
      <c r="F20" s="19"/>
      <c r="G20" s="2"/>
      <c r="H20" s="2"/>
      <c r="I20" s="2"/>
      <c r="J20" s="19"/>
      <c r="K20" s="2"/>
      <c r="L20" s="2">
        <f t="shared" si="0"/>
        <v>-700.92</v>
      </c>
      <c r="M20" s="2"/>
      <c r="N20" s="19">
        <f t="shared" si="1"/>
        <v>0</v>
      </c>
      <c r="O20" s="11"/>
      <c r="P20" s="2">
        <f>-26500.39</f>
        <v>-26500.39</v>
      </c>
      <c r="Q20" s="2"/>
      <c r="R20" s="19"/>
      <c r="S20" s="2"/>
      <c r="T20" s="2"/>
      <c r="U20" s="2"/>
      <c r="V20" s="19"/>
      <c r="W20" s="2"/>
      <c r="X20" s="2">
        <f t="shared" si="2"/>
        <v>-26500.39</v>
      </c>
      <c r="Y20" s="2"/>
      <c r="Z20" s="19">
        <f t="shared" si="3"/>
        <v>0</v>
      </c>
    </row>
    <row r="21" spans="1:26" s="24" customFormat="1" hidden="1" outlineLevel="1" x14ac:dyDescent="0.3">
      <c r="A21" s="44"/>
      <c r="B21" s="11" t="str">
        <f>CONCATENATE("          ", "4500", " - ", "SALES DISCOUNT")</f>
        <v xml:space="preserve">          4500 - SALES DISCOUNT</v>
      </c>
      <c r="C21" s="11"/>
      <c r="D21" s="2">
        <f>-6481.93</f>
        <v>-6481.93</v>
      </c>
      <c r="E21" s="2"/>
      <c r="F21" s="19"/>
      <c r="G21" s="2"/>
      <c r="H21" s="2"/>
      <c r="I21" s="2"/>
      <c r="J21" s="19"/>
      <c r="K21" s="2"/>
      <c r="L21" s="2">
        <f t="shared" si="0"/>
        <v>-6481.93</v>
      </c>
      <c r="M21" s="2"/>
      <c r="N21" s="19">
        <f t="shared" si="1"/>
        <v>0</v>
      </c>
      <c r="O21" s="11"/>
      <c r="P21" s="2">
        <f>-14089.48</f>
        <v>-14089.48</v>
      </c>
      <c r="Q21" s="2"/>
      <c r="R21" s="19"/>
      <c r="S21" s="2"/>
      <c r="T21" s="2"/>
      <c r="U21" s="2"/>
      <c r="V21" s="19"/>
      <c r="W21" s="2"/>
      <c r="X21" s="2">
        <f t="shared" si="2"/>
        <v>-14089.48</v>
      </c>
      <c r="Y21" s="2"/>
      <c r="Z21" s="19">
        <f t="shared" si="3"/>
        <v>0</v>
      </c>
    </row>
    <row r="22" spans="1:26" x14ac:dyDescent="0.3">
      <c r="A22" s="9"/>
      <c r="B22" s="10"/>
      <c r="C22" s="9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collapsed="1" x14ac:dyDescent="0.3">
      <c r="A23" s="10"/>
      <c r="B23" s="25" t="s">
        <v>257</v>
      </c>
      <c r="C23" s="10"/>
      <c r="D23" s="4">
        <f>SUM(OSRRefD16x_0)</f>
        <v>153443.26999999999</v>
      </c>
      <c r="E23" s="4"/>
      <c r="F23" s="12">
        <f t="shared" ref="F23:F52" si="6">IF(D$12=0,0,D23/D$12)</f>
        <v>0.4948830333206507</v>
      </c>
      <c r="G23" s="4"/>
      <c r="H23" s="4">
        <f>SUM(OSRRefH16x_0)</f>
        <v>144593</v>
      </c>
      <c r="I23" s="4"/>
      <c r="J23" s="12">
        <f t="shared" ref="J23:J52" si="7">IF(H$12=0,0,H23/H$12)</f>
        <v>0.49574856171099818</v>
      </c>
      <c r="K23" s="4"/>
      <c r="L23" s="4">
        <f t="shared" ref="L23:L52" si="8">+D23-H23</f>
        <v>8850.2699999999895</v>
      </c>
      <c r="M23" s="4"/>
      <c r="N23" s="12">
        <f t="shared" ref="N23:N52" si="9">IF(H23=0,0,L23/H23)</f>
        <v>6.1208149772118907E-2</v>
      </c>
      <c r="O23" s="10"/>
      <c r="P23" s="4">
        <f>SUM(OSRRefP16x_0)</f>
        <v>1992560.01</v>
      </c>
      <c r="Q23" s="4"/>
      <c r="R23" s="12">
        <f t="shared" ref="R23:R52" si="10">IF(P$12=0,0,P23/P$12)</f>
        <v>0.61749636407862618</v>
      </c>
      <c r="S23" s="4"/>
      <c r="T23" s="4">
        <f>SUM(OSRRefT16x_0)</f>
        <v>2946543</v>
      </c>
      <c r="U23" s="4"/>
      <c r="V23" s="12">
        <f t="shared" ref="V23:V52" si="11">IF(T$12=0,0,T23/T$12)</f>
        <v>0.6309362602010401</v>
      </c>
      <c r="W23" s="4"/>
      <c r="X23" s="4">
        <f t="shared" ref="X23:X52" si="12">+P23-T23</f>
        <v>-953982.99</v>
      </c>
      <c r="Y23" s="4"/>
      <c r="Z23" s="12">
        <f t="shared" ref="Z23:Z52" si="13">IF(T23=0,0,X23/T23)</f>
        <v>-0.32376347129500571</v>
      </c>
    </row>
    <row r="24" spans="1:26" s="24" customFormat="1" hidden="1" outlineLevel="1" x14ac:dyDescent="0.3">
      <c r="A24" s="44"/>
      <c r="B24" s="11" t="str">
        <f>CONCATENATE("          ", "5000", " - ", "PURCHASES @ COST")</f>
        <v xml:space="preserve">          5000 - PURCHASES @ COST</v>
      </c>
      <c r="C24" s="11"/>
      <c r="D24" s="2">
        <v>-67930.34</v>
      </c>
      <c r="E24" s="2"/>
      <c r="F24" s="19">
        <f t="shared" si="6"/>
        <v>-0.21908795813399398</v>
      </c>
      <c r="G24" s="2"/>
      <c r="H24" s="2">
        <v>144593</v>
      </c>
      <c r="I24" s="2"/>
      <c r="J24" s="19">
        <f t="shared" si="7"/>
        <v>0.49574856171099818</v>
      </c>
      <c r="K24" s="2"/>
      <c r="L24" s="2">
        <f t="shared" si="8"/>
        <v>-212523.34</v>
      </c>
      <c r="M24" s="2"/>
      <c r="N24" s="19">
        <f t="shared" si="9"/>
        <v>-1.4698037940979163</v>
      </c>
      <c r="O24" s="11"/>
      <c r="P24" s="2">
        <v>2248206.7799999998</v>
      </c>
      <c r="Q24" s="2"/>
      <c r="R24" s="19">
        <f t="shared" si="10"/>
        <v>0.6967215568814491</v>
      </c>
      <c r="S24" s="2"/>
      <c r="T24" s="2">
        <v>2946543</v>
      </c>
      <c r="U24" s="2"/>
      <c r="V24" s="19">
        <f t="shared" si="11"/>
        <v>0.6309362602010401</v>
      </c>
      <c r="W24" s="2"/>
      <c r="X24" s="2">
        <f t="shared" si="12"/>
        <v>-698336.2200000002</v>
      </c>
      <c r="Y24" s="2"/>
      <c r="Z24" s="19">
        <f t="shared" si="13"/>
        <v>-0.23700187643621701</v>
      </c>
    </row>
    <row r="25" spans="1:26" s="24" customFormat="1" hidden="1" outlineLevel="1" x14ac:dyDescent="0.3">
      <c r="A25" s="44"/>
      <c r="B25" s="11" t="str">
        <f>CONCATENATE("          ", "5001", " - ", "PURCHASES @ COST-NEW TEXT")</f>
        <v xml:space="preserve">          5001 - PURCHASES @ COST-NEW TEXT</v>
      </c>
      <c r="C25" s="11"/>
      <c r="D25" s="2"/>
      <c r="E25" s="2"/>
      <c r="F25" s="19">
        <f t="shared" si="6"/>
        <v>0</v>
      </c>
      <c r="G25" s="2"/>
      <c r="H25" s="2"/>
      <c r="I25" s="2"/>
      <c r="J25" s="19">
        <f t="shared" si="7"/>
        <v>0</v>
      </c>
      <c r="K25" s="2"/>
      <c r="L25" s="2">
        <f t="shared" si="8"/>
        <v>0</v>
      </c>
      <c r="M25" s="2"/>
      <c r="N25" s="19">
        <f t="shared" si="9"/>
        <v>0</v>
      </c>
      <c r="O25" s="11"/>
      <c r="P25" s="2">
        <v>0</v>
      </c>
      <c r="Q25" s="2"/>
      <c r="R25" s="19">
        <f t="shared" si="10"/>
        <v>0</v>
      </c>
      <c r="S25" s="2"/>
      <c r="T25" s="2"/>
      <c r="U25" s="2"/>
      <c r="V25" s="19">
        <f t="shared" si="11"/>
        <v>0</v>
      </c>
      <c r="W25" s="2"/>
      <c r="X25" s="2">
        <f t="shared" si="12"/>
        <v>0</v>
      </c>
      <c r="Y25" s="2"/>
      <c r="Z25" s="19">
        <f t="shared" si="13"/>
        <v>0</v>
      </c>
    </row>
    <row r="26" spans="1:26" s="24" customFormat="1" hidden="1" outlineLevel="1" x14ac:dyDescent="0.3">
      <c r="A26" s="44"/>
      <c r="B26" s="11" t="str">
        <f>CONCATENATE("          ", "5002", " - ", "PURCHASES @ COST-USED TEXT")</f>
        <v xml:space="preserve">          5002 - PURCHASES @ COST-USED TEXT</v>
      </c>
      <c r="C26" s="11"/>
      <c r="D26" s="2"/>
      <c r="E26" s="2"/>
      <c r="F26" s="19">
        <f t="shared" si="6"/>
        <v>0</v>
      </c>
      <c r="G26" s="2"/>
      <c r="H26" s="2"/>
      <c r="I26" s="2"/>
      <c r="J26" s="19">
        <f t="shared" si="7"/>
        <v>0</v>
      </c>
      <c r="K26" s="2"/>
      <c r="L26" s="2">
        <f t="shared" si="8"/>
        <v>0</v>
      </c>
      <c r="M26" s="2"/>
      <c r="N26" s="19">
        <f t="shared" si="9"/>
        <v>0</v>
      </c>
      <c r="O26" s="11"/>
      <c r="P26" s="2">
        <v>0</v>
      </c>
      <c r="Q26" s="2"/>
      <c r="R26" s="19">
        <f t="shared" si="10"/>
        <v>0</v>
      </c>
      <c r="S26" s="2"/>
      <c r="T26" s="2"/>
      <c r="U26" s="2"/>
      <c r="V26" s="19">
        <f t="shared" si="11"/>
        <v>0</v>
      </c>
      <c r="W26" s="2"/>
      <c r="X26" s="2">
        <f t="shared" si="12"/>
        <v>0</v>
      </c>
      <c r="Y26" s="2"/>
      <c r="Z26" s="19">
        <f t="shared" si="13"/>
        <v>0</v>
      </c>
    </row>
    <row r="27" spans="1:26" s="24" customFormat="1" hidden="1" outlineLevel="1" x14ac:dyDescent="0.3">
      <c r="A27" s="44"/>
      <c r="B27" s="11" t="str">
        <f>CONCATENATE("          ", "5004", " - ", "PURCHASES @ COST-DIGITAL TEXT")</f>
        <v xml:space="preserve">          5004 - PURCHASES @ COST-DIGITAL TEXT</v>
      </c>
      <c r="C27" s="11"/>
      <c r="D27" s="2"/>
      <c r="E27" s="2"/>
      <c r="F27" s="19">
        <f t="shared" si="6"/>
        <v>0</v>
      </c>
      <c r="G27" s="2"/>
      <c r="H27" s="2"/>
      <c r="I27" s="2"/>
      <c r="J27" s="19">
        <f t="shared" si="7"/>
        <v>0</v>
      </c>
      <c r="K27" s="2"/>
      <c r="L27" s="2">
        <f t="shared" si="8"/>
        <v>0</v>
      </c>
      <c r="M27" s="2"/>
      <c r="N27" s="19">
        <f t="shared" si="9"/>
        <v>0</v>
      </c>
      <c r="O27" s="11"/>
      <c r="P27" s="2">
        <v>0</v>
      </c>
      <c r="Q27" s="2"/>
      <c r="R27" s="19">
        <f t="shared" si="10"/>
        <v>0</v>
      </c>
      <c r="S27" s="2"/>
      <c r="T27" s="2"/>
      <c r="U27" s="2"/>
      <c r="V27" s="19">
        <f t="shared" si="11"/>
        <v>0</v>
      </c>
      <c r="W27" s="2"/>
      <c r="X27" s="2">
        <f t="shared" si="12"/>
        <v>0</v>
      </c>
      <c r="Y27" s="2"/>
      <c r="Z27" s="19">
        <f t="shared" si="13"/>
        <v>0</v>
      </c>
    </row>
    <row r="28" spans="1:26" s="24" customFormat="1" hidden="1" outlineLevel="1" x14ac:dyDescent="0.3">
      <c r="A28" s="44"/>
      <c r="B28" s="11" t="str">
        <f>CONCATENATE("          ", "5026", " - ", "PURCHASES @ COST-WRITING INSTR")</f>
        <v xml:space="preserve">          5026 - PURCHASES @ COST-WRITING INSTR</v>
      </c>
      <c r="C28" s="11"/>
      <c r="D28" s="2"/>
      <c r="E28" s="2"/>
      <c r="F28" s="19">
        <f t="shared" si="6"/>
        <v>0</v>
      </c>
      <c r="G28" s="2"/>
      <c r="H28" s="2"/>
      <c r="I28" s="2"/>
      <c r="J28" s="19">
        <f t="shared" si="7"/>
        <v>0</v>
      </c>
      <c r="K28" s="2"/>
      <c r="L28" s="2">
        <f t="shared" si="8"/>
        <v>0</v>
      </c>
      <c r="M28" s="2"/>
      <c r="N28" s="19">
        <f t="shared" si="9"/>
        <v>0</v>
      </c>
      <c r="O28" s="11"/>
      <c r="P28" s="2">
        <v>0</v>
      </c>
      <c r="Q28" s="2"/>
      <c r="R28" s="19">
        <f t="shared" si="10"/>
        <v>0</v>
      </c>
      <c r="S28" s="2"/>
      <c r="T28" s="2"/>
      <c r="U28" s="2"/>
      <c r="V28" s="19">
        <f t="shared" si="11"/>
        <v>0</v>
      </c>
      <c r="W28" s="2"/>
      <c r="X28" s="2">
        <f t="shared" si="12"/>
        <v>0</v>
      </c>
      <c r="Y28" s="2"/>
      <c r="Z28" s="19">
        <f t="shared" si="13"/>
        <v>0</v>
      </c>
    </row>
    <row r="29" spans="1:26" s="24" customFormat="1" hidden="1" outlineLevel="1" x14ac:dyDescent="0.3">
      <c r="A29" s="44"/>
      <c r="B29" s="11" t="str">
        <f>CONCATENATE("          ", "5027", " - ", "PURCHASES @ COST-SCHOOL SUPPLI")</f>
        <v xml:space="preserve">          5027 - PURCHASES @ COST-SCHOOL SUPPLI</v>
      </c>
      <c r="C29" s="11"/>
      <c r="D29" s="2"/>
      <c r="E29" s="2"/>
      <c r="F29" s="19">
        <f t="shared" si="6"/>
        <v>0</v>
      </c>
      <c r="G29" s="2"/>
      <c r="H29" s="2"/>
      <c r="I29" s="2"/>
      <c r="J29" s="19">
        <f t="shared" si="7"/>
        <v>0</v>
      </c>
      <c r="K29" s="2"/>
      <c r="L29" s="2">
        <f t="shared" si="8"/>
        <v>0</v>
      </c>
      <c r="M29" s="2"/>
      <c r="N29" s="19">
        <f t="shared" si="9"/>
        <v>0</v>
      </c>
      <c r="O29" s="11"/>
      <c r="P29" s="2">
        <v>0</v>
      </c>
      <c r="Q29" s="2"/>
      <c r="R29" s="19">
        <f t="shared" si="10"/>
        <v>0</v>
      </c>
      <c r="S29" s="2"/>
      <c r="T29" s="2"/>
      <c r="U29" s="2"/>
      <c r="V29" s="19">
        <f t="shared" si="11"/>
        <v>0</v>
      </c>
      <c r="W29" s="2"/>
      <c r="X29" s="2">
        <f t="shared" si="12"/>
        <v>0</v>
      </c>
      <c r="Y29" s="2"/>
      <c r="Z29" s="19">
        <f t="shared" si="13"/>
        <v>0</v>
      </c>
    </row>
    <row r="30" spans="1:26" s="24" customFormat="1" hidden="1" outlineLevel="1" x14ac:dyDescent="0.3">
      <c r="A30" s="44"/>
      <c r="B30" s="11" t="str">
        <f>CONCATENATE("          ", "5028", " - ", "PURCHASES @ COST-ART/TECH")</f>
        <v xml:space="preserve">          5028 - PURCHASES @ COST-ART/TECH</v>
      </c>
      <c r="C30" s="11"/>
      <c r="D30" s="2"/>
      <c r="E30" s="2"/>
      <c r="F30" s="19">
        <f t="shared" si="6"/>
        <v>0</v>
      </c>
      <c r="G30" s="2"/>
      <c r="H30" s="2"/>
      <c r="I30" s="2"/>
      <c r="J30" s="19">
        <f t="shared" si="7"/>
        <v>0</v>
      </c>
      <c r="K30" s="2"/>
      <c r="L30" s="2">
        <f t="shared" si="8"/>
        <v>0</v>
      </c>
      <c r="M30" s="2"/>
      <c r="N30" s="19">
        <f t="shared" si="9"/>
        <v>0</v>
      </c>
      <c r="O30" s="11"/>
      <c r="P30" s="2">
        <v>0</v>
      </c>
      <c r="Q30" s="2"/>
      <c r="R30" s="19">
        <f t="shared" si="10"/>
        <v>0</v>
      </c>
      <c r="S30" s="2"/>
      <c r="T30" s="2"/>
      <c r="U30" s="2"/>
      <c r="V30" s="19">
        <f t="shared" si="11"/>
        <v>0</v>
      </c>
      <c r="W30" s="2"/>
      <c r="X30" s="2">
        <f t="shared" si="12"/>
        <v>0</v>
      </c>
      <c r="Y30" s="2"/>
      <c r="Z30" s="19">
        <f t="shared" si="13"/>
        <v>0</v>
      </c>
    </row>
    <row r="31" spans="1:26" s="24" customFormat="1" hidden="1" outlineLevel="1" x14ac:dyDescent="0.3">
      <c r="A31" s="44"/>
      <c r="B31" s="11" t="str">
        <f>CONCATENATE("          ", "5031", " - ", "PURCHASES @ COST-FOOD")</f>
        <v xml:space="preserve">          5031 - PURCHASES @ COST-FOOD</v>
      </c>
      <c r="C31" s="11"/>
      <c r="D31" s="2"/>
      <c r="E31" s="2"/>
      <c r="F31" s="19">
        <f t="shared" si="6"/>
        <v>0</v>
      </c>
      <c r="G31" s="2"/>
      <c r="H31" s="2"/>
      <c r="I31" s="2"/>
      <c r="J31" s="19">
        <f t="shared" si="7"/>
        <v>0</v>
      </c>
      <c r="K31" s="2"/>
      <c r="L31" s="2">
        <f t="shared" si="8"/>
        <v>0</v>
      </c>
      <c r="M31" s="2"/>
      <c r="N31" s="19">
        <f t="shared" si="9"/>
        <v>0</v>
      </c>
      <c r="O31" s="11"/>
      <c r="P31" s="2">
        <v>0</v>
      </c>
      <c r="Q31" s="2"/>
      <c r="R31" s="19">
        <f t="shared" si="10"/>
        <v>0</v>
      </c>
      <c r="S31" s="2"/>
      <c r="T31" s="2"/>
      <c r="U31" s="2"/>
      <c r="V31" s="19">
        <f t="shared" si="11"/>
        <v>0</v>
      </c>
      <c r="W31" s="2"/>
      <c r="X31" s="2">
        <f t="shared" si="12"/>
        <v>0</v>
      </c>
      <c r="Y31" s="2"/>
      <c r="Z31" s="19">
        <f t="shared" si="13"/>
        <v>0</v>
      </c>
    </row>
    <row r="32" spans="1:26" s="24" customFormat="1" hidden="1" outlineLevel="1" x14ac:dyDescent="0.3">
      <c r="A32" s="44"/>
      <c r="B32" s="11" t="str">
        <f>CONCATENATE("          ", "5040", " - ", "PURCHASES @ COST-LOGO CLOTHING")</f>
        <v xml:space="preserve">          5040 - PURCHASES @ COST-LOGO CLOTHING</v>
      </c>
      <c r="C32" s="11"/>
      <c r="D32" s="2"/>
      <c r="E32" s="2"/>
      <c r="F32" s="19">
        <f t="shared" si="6"/>
        <v>0</v>
      </c>
      <c r="G32" s="2"/>
      <c r="H32" s="2"/>
      <c r="I32" s="2"/>
      <c r="J32" s="19">
        <f t="shared" si="7"/>
        <v>0</v>
      </c>
      <c r="K32" s="2"/>
      <c r="L32" s="2">
        <f t="shared" si="8"/>
        <v>0</v>
      </c>
      <c r="M32" s="2"/>
      <c r="N32" s="19">
        <f t="shared" si="9"/>
        <v>0</v>
      </c>
      <c r="O32" s="11"/>
      <c r="P32" s="2">
        <v>0</v>
      </c>
      <c r="Q32" s="2"/>
      <c r="R32" s="19">
        <f t="shared" si="10"/>
        <v>0</v>
      </c>
      <c r="S32" s="2"/>
      <c r="T32" s="2"/>
      <c r="U32" s="2"/>
      <c r="V32" s="19">
        <f t="shared" si="11"/>
        <v>0</v>
      </c>
      <c r="W32" s="2"/>
      <c r="X32" s="2">
        <f t="shared" si="12"/>
        <v>0</v>
      </c>
      <c r="Y32" s="2"/>
      <c r="Z32" s="19">
        <f t="shared" si="13"/>
        <v>0</v>
      </c>
    </row>
    <row r="33" spans="1:26" s="24" customFormat="1" hidden="1" outlineLevel="1" x14ac:dyDescent="0.3">
      <c r="A33" s="44"/>
      <c r="B33" s="11" t="str">
        <f>CONCATENATE("          ", "5041", " - ", "PURCHASES @ COST-LOGO GIFTS")</f>
        <v xml:space="preserve">          5041 - PURCHASES @ COST-LOGO GIFTS</v>
      </c>
      <c r="C33" s="11"/>
      <c r="D33" s="2"/>
      <c r="E33" s="2"/>
      <c r="F33" s="19">
        <f t="shared" si="6"/>
        <v>0</v>
      </c>
      <c r="G33" s="2"/>
      <c r="H33" s="2"/>
      <c r="I33" s="2"/>
      <c r="J33" s="19">
        <f t="shared" si="7"/>
        <v>0</v>
      </c>
      <c r="K33" s="2"/>
      <c r="L33" s="2">
        <f t="shared" si="8"/>
        <v>0</v>
      </c>
      <c r="M33" s="2"/>
      <c r="N33" s="19">
        <f t="shared" si="9"/>
        <v>0</v>
      </c>
      <c r="O33" s="11"/>
      <c r="P33" s="2">
        <v>0</v>
      </c>
      <c r="Q33" s="2"/>
      <c r="R33" s="19">
        <f t="shared" si="10"/>
        <v>0</v>
      </c>
      <c r="S33" s="2"/>
      <c r="T33" s="2"/>
      <c r="U33" s="2"/>
      <c r="V33" s="19">
        <f t="shared" si="11"/>
        <v>0</v>
      </c>
      <c r="W33" s="2"/>
      <c r="X33" s="2">
        <f t="shared" si="12"/>
        <v>0</v>
      </c>
      <c r="Y33" s="2"/>
      <c r="Z33" s="19">
        <f t="shared" si="13"/>
        <v>0</v>
      </c>
    </row>
    <row r="34" spans="1:26" s="24" customFormat="1" hidden="1" outlineLevel="1" x14ac:dyDescent="0.3">
      <c r="A34" s="44"/>
      <c r="B34" s="11" t="str">
        <f>CONCATENATE("          ", "5042", " - ", "PURCHASES @ COST-EVERYDAY GIFT")</f>
        <v xml:space="preserve">          5042 - PURCHASES @ COST-EVERYDAY GIFT</v>
      </c>
      <c r="C34" s="11"/>
      <c r="D34" s="2"/>
      <c r="E34" s="2"/>
      <c r="F34" s="19">
        <f t="shared" si="6"/>
        <v>0</v>
      </c>
      <c r="G34" s="2"/>
      <c r="H34" s="2"/>
      <c r="I34" s="2"/>
      <c r="J34" s="19">
        <f t="shared" si="7"/>
        <v>0</v>
      </c>
      <c r="K34" s="2"/>
      <c r="L34" s="2">
        <f t="shared" si="8"/>
        <v>0</v>
      </c>
      <c r="M34" s="2"/>
      <c r="N34" s="19">
        <f t="shared" si="9"/>
        <v>0</v>
      </c>
      <c r="O34" s="11"/>
      <c r="P34" s="2">
        <v>0</v>
      </c>
      <c r="Q34" s="2"/>
      <c r="R34" s="19">
        <f t="shared" si="10"/>
        <v>0</v>
      </c>
      <c r="S34" s="2"/>
      <c r="T34" s="2"/>
      <c r="U34" s="2"/>
      <c r="V34" s="19">
        <f t="shared" si="11"/>
        <v>0</v>
      </c>
      <c r="W34" s="2"/>
      <c r="X34" s="2">
        <f t="shared" si="12"/>
        <v>0</v>
      </c>
      <c r="Y34" s="2"/>
      <c r="Z34" s="19">
        <f t="shared" si="13"/>
        <v>0</v>
      </c>
    </row>
    <row r="35" spans="1:26" s="24" customFormat="1" hidden="1" outlineLevel="1" x14ac:dyDescent="0.3">
      <c r="A35" s="44"/>
      <c r="B35" s="11" t="str">
        <f>CONCATENATE("          ", "5043", " - ", "PURCHASES @ COST-CARDS")</f>
        <v xml:space="preserve">          5043 - PURCHASES @ COST-CARDS</v>
      </c>
      <c r="C35" s="11"/>
      <c r="D35" s="2"/>
      <c r="E35" s="2"/>
      <c r="F35" s="19">
        <f t="shared" si="6"/>
        <v>0</v>
      </c>
      <c r="G35" s="2"/>
      <c r="H35" s="2"/>
      <c r="I35" s="2"/>
      <c r="J35" s="19">
        <f t="shared" si="7"/>
        <v>0</v>
      </c>
      <c r="K35" s="2"/>
      <c r="L35" s="2">
        <f t="shared" si="8"/>
        <v>0</v>
      </c>
      <c r="M35" s="2"/>
      <c r="N35" s="19">
        <f t="shared" si="9"/>
        <v>0</v>
      </c>
      <c r="O35" s="11"/>
      <c r="P35" s="2">
        <v>0</v>
      </c>
      <c r="Q35" s="2"/>
      <c r="R35" s="19">
        <f t="shared" si="10"/>
        <v>0</v>
      </c>
      <c r="S35" s="2"/>
      <c r="T35" s="2"/>
      <c r="U35" s="2"/>
      <c r="V35" s="19">
        <f t="shared" si="11"/>
        <v>0</v>
      </c>
      <c r="W35" s="2"/>
      <c r="X35" s="2">
        <f t="shared" si="12"/>
        <v>0</v>
      </c>
      <c r="Y35" s="2"/>
      <c r="Z35" s="19">
        <f t="shared" si="13"/>
        <v>0</v>
      </c>
    </row>
    <row r="36" spans="1:26" s="24" customFormat="1" hidden="1" outlineLevel="1" x14ac:dyDescent="0.3">
      <c r="A36" s="44"/>
      <c r="B36" s="11" t="str">
        <f>CONCATENATE("          ", "5044", " - ", "PURCHASES @ COST-ACCESSORIES")</f>
        <v xml:space="preserve">          5044 - PURCHASES @ COST-ACCESSORIES</v>
      </c>
      <c r="C36" s="11"/>
      <c r="D36" s="2"/>
      <c r="E36" s="2"/>
      <c r="F36" s="19">
        <f t="shared" si="6"/>
        <v>0</v>
      </c>
      <c r="G36" s="2"/>
      <c r="H36" s="2"/>
      <c r="I36" s="2"/>
      <c r="J36" s="19">
        <f t="shared" si="7"/>
        <v>0</v>
      </c>
      <c r="K36" s="2"/>
      <c r="L36" s="2">
        <f t="shared" si="8"/>
        <v>0</v>
      </c>
      <c r="M36" s="2"/>
      <c r="N36" s="19">
        <f t="shared" si="9"/>
        <v>0</v>
      </c>
      <c r="O36" s="11"/>
      <c r="P36" s="2">
        <v>0</v>
      </c>
      <c r="Q36" s="2"/>
      <c r="R36" s="19">
        <f t="shared" si="10"/>
        <v>0</v>
      </c>
      <c r="S36" s="2"/>
      <c r="T36" s="2"/>
      <c r="U36" s="2"/>
      <c r="V36" s="19">
        <f t="shared" si="11"/>
        <v>0</v>
      </c>
      <c r="W36" s="2"/>
      <c r="X36" s="2">
        <f t="shared" si="12"/>
        <v>0</v>
      </c>
      <c r="Y36" s="2"/>
      <c r="Z36" s="19">
        <f t="shared" si="13"/>
        <v>0</v>
      </c>
    </row>
    <row r="37" spans="1:26" s="24" customFormat="1" hidden="1" outlineLevel="1" x14ac:dyDescent="0.3">
      <c r="A37" s="44"/>
      <c r="B37" s="11" t="str">
        <f>CONCATENATE("          ", "5045", " - ", "PURCHASES @ COST-SPECIAL ORDER")</f>
        <v xml:space="preserve">          5045 - PURCHASES @ COST-SPECIAL ORDER</v>
      </c>
      <c r="C37" s="11"/>
      <c r="D37" s="2"/>
      <c r="E37" s="2"/>
      <c r="F37" s="19">
        <f t="shared" si="6"/>
        <v>0</v>
      </c>
      <c r="G37" s="2"/>
      <c r="H37" s="2"/>
      <c r="I37" s="2"/>
      <c r="J37" s="19">
        <f t="shared" si="7"/>
        <v>0</v>
      </c>
      <c r="K37" s="2"/>
      <c r="L37" s="2">
        <f t="shared" si="8"/>
        <v>0</v>
      </c>
      <c r="M37" s="2"/>
      <c r="N37" s="19">
        <f t="shared" si="9"/>
        <v>0</v>
      </c>
      <c r="O37" s="11"/>
      <c r="P37" s="2">
        <v>0</v>
      </c>
      <c r="Q37" s="2"/>
      <c r="R37" s="19">
        <f t="shared" si="10"/>
        <v>0</v>
      </c>
      <c r="S37" s="2"/>
      <c r="T37" s="2"/>
      <c r="U37" s="2"/>
      <c r="V37" s="19">
        <f t="shared" si="11"/>
        <v>0</v>
      </c>
      <c r="W37" s="2"/>
      <c r="X37" s="2">
        <f t="shared" si="12"/>
        <v>0</v>
      </c>
      <c r="Y37" s="2"/>
      <c r="Z37" s="19">
        <f t="shared" si="13"/>
        <v>0</v>
      </c>
    </row>
    <row r="38" spans="1:26" s="24" customFormat="1" hidden="1" outlineLevel="1" x14ac:dyDescent="0.3">
      <c r="A38" s="44"/>
      <c r="B38" s="11" t="str">
        <f>CONCATENATE("          ", "5053", " - ", "PURCHASES @ COST-FOOD")</f>
        <v xml:space="preserve">          5053 - PURCHASES @ COST-FOOD</v>
      </c>
      <c r="C38" s="11"/>
      <c r="D38" s="2">
        <v>3858.46</v>
      </c>
      <c r="E38" s="2"/>
      <c r="F38" s="19">
        <f t="shared" si="6"/>
        <v>1.2444249843909076E-2</v>
      </c>
      <c r="G38" s="2"/>
      <c r="H38" s="2"/>
      <c r="I38" s="2"/>
      <c r="J38" s="19">
        <f t="shared" si="7"/>
        <v>0</v>
      </c>
      <c r="K38" s="2"/>
      <c r="L38" s="2">
        <f t="shared" si="8"/>
        <v>3858.46</v>
      </c>
      <c r="M38" s="2"/>
      <c r="N38" s="19">
        <f t="shared" si="9"/>
        <v>0</v>
      </c>
      <c r="O38" s="11"/>
      <c r="P38" s="2">
        <v>39941.46</v>
      </c>
      <c r="Q38" s="2"/>
      <c r="R38" s="19">
        <f t="shared" si="10"/>
        <v>1.2377898884958494E-2</v>
      </c>
      <c r="S38" s="2"/>
      <c r="T38" s="2"/>
      <c r="U38" s="2"/>
      <c r="V38" s="19">
        <f t="shared" si="11"/>
        <v>0</v>
      </c>
      <c r="W38" s="2"/>
      <c r="X38" s="2">
        <f t="shared" si="12"/>
        <v>39941.46</v>
      </c>
      <c r="Y38" s="2"/>
      <c r="Z38" s="19">
        <f t="shared" si="13"/>
        <v>0</v>
      </c>
    </row>
    <row r="39" spans="1:26" s="24" customFormat="1" hidden="1" outlineLevel="1" x14ac:dyDescent="0.3">
      <c r="A39" s="44"/>
      <c r="B39" s="11" t="str">
        <f>CONCATENATE("          ", "5059", " - ", "PURCHASES @ COST-FOOD")</f>
        <v xml:space="preserve">          5059 - PURCHASES @ COST-FOOD</v>
      </c>
      <c r="C39" s="11"/>
      <c r="D39" s="2">
        <v>11508.72</v>
      </c>
      <c r="E39" s="2"/>
      <c r="F39" s="19">
        <f t="shared" si="6"/>
        <v>3.71177586559387E-2</v>
      </c>
      <c r="G39" s="2"/>
      <c r="H39" s="2"/>
      <c r="I39" s="2"/>
      <c r="J39" s="19">
        <f t="shared" si="7"/>
        <v>0</v>
      </c>
      <c r="K39" s="2"/>
      <c r="L39" s="2">
        <f t="shared" si="8"/>
        <v>11508.72</v>
      </c>
      <c r="M39" s="2"/>
      <c r="N39" s="19">
        <f t="shared" si="9"/>
        <v>0</v>
      </c>
      <c r="O39" s="11"/>
      <c r="P39" s="2">
        <v>-1208.44</v>
      </c>
      <c r="Q39" s="2"/>
      <c r="R39" s="19">
        <f t="shared" si="10"/>
        <v>-3.7449677924991328E-4</v>
      </c>
      <c r="S39" s="2"/>
      <c r="T39" s="2"/>
      <c r="U39" s="2"/>
      <c r="V39" s="19">
        <f t="shared" si="11"/>
        <v>0</v>
      </c>
      <c r="W39" s="2"/>
      <c r="X39" s="2">
        <f t="shared" si="12"/>
        <v>-1208.44</v>
      </c>
      <c r="Y39" s="2"/>
      <c r="Z39" s="19">
        <f t="shared" si="13"/>
        <v>0</v>
      </c>
    </row>
    <row r="40" spans="1:26" s="24" customFormat="1" hidden="1" outlineLevel="1" x14ac:dyDescent="0.3">
      <c r="A40" s="44"/>
      <c r="B40" s="11" t="str">
        <f>CONCATENATE("          ", "5200", " - ", "PURCHASES OFFSET")</f>
        <v xml:space="preserve">          5200 - PURCHASES OFFSET</v>
      </c>
      <c r="C40" s="11"/>
      <c r="D40" s="2">
        <v>57137.78</v>
      </c>
      <c r="E40" s="2"/>
      <c r="F40" s="19">
        <f t="shared" si="6"/>
        <v>0.18427994843702178</v>
      </c>
      <c r="G40" s="2"/>
      <c r="H40" s="2"/>
      <c r="I40" s="2"/>
      <c r="J40" s="19">
        <f t="shared" si="7"/>
        <v>0</v>
      </c>
      <c r="K40" s="2"/>
      <c r="L40" s="2">
        <f t="shared" si="8"/>
        <v>57137.78</v>
      </c>
      <c r="M40" s="2"/>
      <c r="N40" s="19">
        <f t="shared" si="9"/>
        <v>0</v>
      </c>
      <c r="O40" s="11"/>
      <c r="P40" s="2">
        <v>-2055217.21</v>
      </c>
      <c r="Q40" s="2"/>
      <c r="R40" s="19">
        <f t="shared" si="10"/>
        <v>-0.6369138937837151</v>
      </c>
      <c r="S40" s="2"/>
      <c r="T40" s="2"/>
      <c r="U40" s="2"/>
      <c r="V40" s="19">
        <f t="shared" si="11"/>
        <v>0</v>
      </c>
      <c r="W40" s="2"/>
      <c r="X40" s="2">
        <f t="shared" si="12"/>
        <v>-2055217.21</v>
      </c>
      <c r="Y40" s="2"/>
      <c r="Z40" s="19">
        <f t="shared" si="13"/>
        <v>0</v>
      </c>
    </row>
    <row r="41" spans="1:26" s="24" customFormat="1" hidden="1" outlineLevel="1" x14ac:dyDescent="0.3">
      <c r="A41" s="44"/>
      <c r="B41" s="11" t="str">
        <f>CONCATENATE("          ", "5300", " - ", "COG$ OFFSET")</f>
        <v xml:space="preserve">          5300 - COG$ OFFSET</v>
      </c>
      <c r="C41" s="11"/>
      <c r="D41" s="2">
        <v>137747.54999999999</v>
      </c>
      <c r="E41" s="2"/>
      <c r="F41" s="19">
        <f t="shared" si="6"/>
        <v>0.44426142232558002</v>
      </c>
      <c r="G41" s="2"/>
      <c r="H41" s="2"/>
      <c r="I41" s="2"/>
      <c r="J41" s="19">
        <f t="shared" si="7"/>
        <v>0</v>
      </c>
      <c r="K41" s="2"/>
      <c r="L41" s="2">
        <f t="shared" si="8"/>
        <v>137747.54999999999</v>
      </c>
      <c r="M41" s="2"/>
      <c r="N41" s="19">
        <f t="shared" si="9"/>
        <v>0</v>
      </c>
      <c r="O41" s="11"/>
      <c r="P41" s="2">
        <v>1700080.36</v>
      </c>
      <c r="Q41" s="2"/>
      <c r="R41" s="19">
        <f t="shared" si="10"/>
        <v>0.52685662447952164</v>
      </c>
      <c r="S41" s="2"/>
      <c r="T41" s="2"/>
      <c r="U41" s="2"/>
      <c r="V41" s="19">
        <f t="shared" si="11"/>
        <v>0</v>
      </c>
      <c r="W41" s="2"/>
      <c r="X41" s="2">
        <f t="shared" si="12"/>
        <v>1700080.36</v>
      </c>
      <c r="Y41" s="2"/>
      <c r="Z41" s="19">
        <f t="shared" si="13"/>
        <v>0</v>
      </c>
    </row>
    <row r="42" spans="1:26" s="24" customFormat="1" hidden="1" outlineLevel="1" x14ac:dyDescent="0.3">
      <c r="A42" s="44"/>
      <c r="B42" s="11" t="str">
        <f>CONCATENATE("          ", "5500", " - ", "FREIGHT-IN")</f>
        <v xml:space="preserve">          5500 - FREIGHT-IN</v>
      </c>
      <c r="C42" s="11"/>
      <c r="D42" s="2">
        <v>11121.1</v>
      </c>
      <c r="E42" s="2"/>
      <c r="F42" s="19">
        <f t="shared" si="6"/>
        <v>3.5867612192195128E-2</v>
      </c>
      <c r="G42" s="2"/>
      <c r="H42" s="2"/>
      <c r="I42" s="2"/>
      <c r="J42" s="19">
        <f t="shared" si="7"/>
        <v>0</v>
      </c>
      <c r="K42" s="2"/>
      <c r="L42" s="2">
        <f t="shared" si="8"/>
        <v>11121.1</v>
      </c>
      <c r="M42" s="2"/>
      <c r="N42" s="19">
        <f t="shared" si="9"/>
        <v>0</v>
      </c>
      <c r="O42" s="11"/>
      <c r="P42" s="2">
        <v>60757.06</v>
      </c>
      <c r="Q42" s="2"/>
      <c r="R42" s="19">
        <f t="shared" si="10"/>
        <v>1.8828674395661958E-2</v>
      </c>
      <c r="S42" s="2"/>
      <c r="T42" s="2"/>
      <c r="U42" s="2"/>
      <c r="V42" s="19">
        <f t="shared" si="11"/>
        <v>0</v>
      </c>
      <c r="W42" s="2"/>
      <c r="X42" s="2">
        <f t="shared" si="12"/>
        <v>60757.06</v>
      </c>
      <c r="Y42" s="2"/>
      <c r="Z42" s="19">
        <f t="shared" si="13"/>
        <v>0</v>
      </c>
    </row>
    <row r="43" spans="1:26" s="24" customFormat="1" hidden="1" outlineLevel="1" x14ac:dyDescent="0.3">
      <c r="A43" s="44"/>
      <c r="B43" s="11" t="str">
        <f>CONCATENATE("          ", "5501", " - ", "FREIGHT-IN-NEW TEXT")</f>
        <v xml:space="preserve">          5501 - FREIGHT-IN-NEW TEXT</v>
      </c>
      <c r="C43" s="11"/>
      <c r="D43" s="2"/>
      <c r="E43" s="2"/>
      <c r="F43" s="19">
        <f t="shared" si="6"/>
        <v>0</v>
      </c>
      <c r="G43" s="2"/>
      <c r="H43" s="2"/>
      <c r="I43" s="2"/>
      <c r="J43" s="19">
        <f t="shared" si="7"/>
        <v>0</v>
      </c>
      <c r="K43" s="2"/>
      <c r="L43" s="2">
        <f t="shared" si="8"/>
        <v>0</v>
      </c>
      <c r="M43" s="2"/>
      <c r="N43" s="19">
        <f t="shared" si="9"/>
        <v>0</v>
      </c>
      <c r="O43" s="11"/>
      <c r="P43" s="2">
        <v>0</v>
      </c>
      <c r="Q43" s="2"/>
      <c r="R43" s="19">
        <f t="shared" si="10"/>
        <v>0</v>
      </c>
      <c r="S43" s="2"/>
      <c r="T43" s="2"/>
      <c r="U43" s="2"/>
      <c r="V43" s="19">
        <f t="shared" si="11"/>
        <v>0</v>
      </c>
      <c r="W43" s="2"/>
      <c r="X43" s="2">
        <f t="shared" si="12"/>
        <v>0</v>
      </c>
      <c r="Y43" s="2"/>
      <c r="Z43" s="19">
        <f t="shared" si="13"/>
        <v>0</v>
      </c>
    </row>
    <row r="44" spans="1:26" s="24" customFormat="1" hidden="1" outlineLevel="1" x14ac:dyDescent="0.3">
      <c r="A44" s="44"/>
      <c r="B44" s="11" t="str">
        <f>CONCATENATE("          ", "5502", " - ", "FREIGHT-IN-USED TEXT")</f>
        <v xml:space="preserve">          5502 - FREIGHT-IN-USED TEXT</v>
      </c>
      <c r="C44" s="11"/>
      <c r="D44" s="2"/>
      <c r="E44" s="2"/>
      <c r="F44" s="19">
        <f t="shared" si="6"/>
        <v>0</v>
      </c>
      <c r="G44" s="2"/>
      <c r="H44" s="2"/>
      <c r="I44" s="2"/>
      <c r="J44" s="19">
        <f t="shared" si="7"/>
        <v>0</v>
      </c>
      <c r="K44" s="2"/>
      <c r="L44" s="2">
        <f t="shared" si="8"/>
        <v>0</v>
      </c>
      <c r="M44" s="2"/>
      <c r="N44" s="19">
        <f t="shared" si="9"/>
        <v>0</v>
      </c>
      <c r="O44" s="11"/>
      <c r="P44" s="2">
        <v>0</v>
      </c>
      <c r="Q44" s="2"/>
      <c r="R44" s="19">
        <f t="shared" si="10"/>
        <v>0</v>
      </c>
      <c r="S44" s="2"/>
      <c r="T44" s="2"/>
      <c r="U44" s="2"/>
      <c r="V44" s="19">
        <f t="shared" si="11"/>
        <v>0</v>
      </c>
      <c r="W44" s="2"/>
      <c r="X44" s="2">
        <f t="shared" si="12"/>
        <v>0</v>
      </c>
      <c r="Y44" s="2"/>
      <c r="Z44" s="19">
        <f t="shared" si="13"/>
        <v>0</v>
      </c>
    </row>
    <row r="45" spans="1:26" s="24" customFormat="1" hidden="1" outlineLevel="1" x14ac:dyDescent="0.3">
      <c r="A45" s="44"/>
      <c r="B45" s="11" t="str">
        <f>CONCATENATE("          ", "5518", " - ", "FREIGHT-IN-STUDY GUIDES")</f>
        <v xml:space="preserve">          5518 - FREIGHT-IN-STUDY GUIDES</v>
      </c>
      <c r="C45" s="11"/>
      <c r="D45" s="2"/>
      <c r="E45" s="2"/>
      <c r="F45" s="19">
        <f t="shared" si="6"/>
        <v>0</v>
      </c>
      <c r="G45" s="2"/>
      <c r="H45" s="2"/>
      <c r="I45" s="2"/>
      <c r="J45" s="19">
        <f t="shared" si="7"/>
        <v>0</v>
      </c>
      <c r="K45" s="2"/>
      <c r="L45" s="2">
        <f t="shared" si="8"/>
        <v>0</v>
      </c>
      <c r="M45" s="2"/>
      <c r="N45" s="19">
        <f t="shared" si="9"/>
        <v>0</v>
      </c>
      <c r="O45" s="11"/>
      <c r="P45" s="2">
        <v>0</v>
      </c>
      <c r="Q45" s="2"/>
      <c r="R45" s="19">
        <f t="shared" si="10"/>
        <v>0</v>
      </c>
      <c r="S45" s="2"/>
      <c r="T45" s="2"/>
      <c r="U45" s="2"/>
      <c r="V45" s="19">
        <f t="shared" si="11"/>
        <v>0</v>
      </c>
      <c r="W45" s="2"/>
      <c r="X45" s="2">
        <f t="shared" si="12"/>
        <v>0</v>
      </c>
      <c r="Y45" s="2"/>
      <c r="Z45" s="19">
        <f t="shared" si="13"/>
        <v>0</v>
      </c>
    </row>
    <row r="46" spans="1:26" s="24" customFormat="1" hidden="1" outlineLevel="1" x14ac:dyDescent="0.3">
      <c r="A46" s="44"/>
      <c r="B46" s="11" t="str">
        <f>CONCATENATE("          ", "5527", " - ", "FREIGHT-IN-SCHOOL SUPPLIES")</f>
        <v xml:space="preserve">          5527 - FREIGHT-IN-SCHOOL SUPPLIES</v>
      </c>
      <c r="C46" s="11"/>
      <c r="D46" s="2"/>
      <c r="E46" s="2"/>
      <c r="F46" s="19">
        <f t="shared" si="6"/>
        <v>0</v>
      </c>
      <c r="G46" s="2"/>
      <c r="H46" s="2"/>
      <c r="I46" s="2"/>
      <c r="J46" s="19">
        <f t="shared" si="7"/>
        <v>0</v>
      </c>
      <c r="K46" s="2"/>
      <c r="L46" s="2">
        <f t="shared" si="8"/>
        <v>0</v>
      </c>
      <c r="M46" s="2"/>
      <c r="N46" s="19">
        <f t="shared" si="9"/>
        <v>0</v>
      </c>
      <c r="O46" s="11"/>
      <c r="P46" s="2">
        <v>0</v>
      </c>
      <c r="Q46" s="2"/>
      <c r="R46" s="19">
        <f t="shared" si="10"/>
        <v>0</v>
      </c>
      <c r="S46" s="2"/>
      <c r="T46" s="2"/>
      <c r="U46" s="2"/>
      <c r="V46" s="19">
        <f t="shared" si="11"/>
        <v>0</v>
      </c>
      <c r="W46" s="2"/>
      <c r="X46" s="2">
        <f t="shared" si="12"/>
        <v>0</v>
      </c>
      <c r="Y46" s="2"/>
      <c r="Z46" s="19">
        <f t="shared" si="13"/>
        <v>0</v>
      </c>
    </row>
    <row r="47" spans="1:26" s="24" customFormat="1" hidden="1" outlineLevel="1" x14ac:dyDescent="0.3">
      <c r="A47" s="44"/>
      <c r="B47" s="11" t="str">
        <f>CONCATENATE("          ", "5528", " - ", "FREIGHT-IN-ART/TECH")</f>
        <v xml:space="preserve">          5528 - FREIGHT-IN-ART/TECH</v>
      </c>
      <c r="C47" s="11"/>
      <c r="D47" s="2"/>
      <c r="E47" s="2"/>
      <c r="F47" s="19">
        <f t="shared" si="6"/>
        <v>0</v>
      </c>
      <c r="G47" s="2"/>
      <c r="H47" s="2"/>
      <c r="I47" s="2"/>
      <c r="J47" s="19">
        <f t="shared" si="7"/>
        <v>0</v>
      </c>
      <c r="K47" s="2"/>
      <c r="L47" s="2">
        <f t="shared" si="8"/>
        <v>0</v>
      </c>
      <c r="M47" s="2"/>
      <c r="N47" s="19">
        <f t="shared" si="9"/>
        <v>0</v>
      </c>
      <c r="O47" s="11"/>
      <c r="P47" s="2">
        <v>0</v>
      </c>
      <c r="Q47" s="2"/>
      <c r="R47" s="19">
        <f t="shared" si="10"/>
        <v>0</v>
      </c>
      <c r="S47" s="2"/>
      <c r="T47" s="2"/>
      <c r="U47" s="2"/>
      <c r="V47" s="19">
        <f t="shared" si="11"/>
        <v>0</v>
      </c>
      <c r="W47" s="2"/>
      <c r="X47" s="2">
        <f t="shared" si="12"/>
        <v>0</v>
      </c>
      <c r="Y47" s="2"/>
      <c r="Z47" s="19">
        <f t="shared" si="13"/>
        <v>0</v>
      </c>
    </row>
    <row r="48" spans="1:26" s="24" customFormat="1" hidden="1" outlineLevel="1" x14ac:dyDescent="0.3">
      <c r="A48" s="44"/>
      <c r="B48" s="11" t="str">
        <f>CONCATENATE("          ", "5540", " - ", "FREIGHT-IN-LOGO CLOTHING")</f>
        <v xml:space="preserve">          5540 - FREIGHT-IN-LOGO CLOTHING</v>
      </c>
      <c r="C48" s="11"/>
      <c r="D48" s="2"/>
      <c r="E48" s="2"/>
      <c r="F48" s="19">
        <f t="shared" si="6"/>
        <v>0</v>
      </c>
      <c r="G48" s="2"/>
      <c r="H48" s="2"/>
      <c r="I48" s="2"/>
      <c r="J48" s="19">
        <f t="shared" si="7"/>
        <v>0</v>
      </c>
      <c r="K48" s="2"/>
      <c r="L48" s="2">
        <f t="shared" si="8"/>
        <v>0</v>
      </c>
      <c r="M48" s="2"/>
      <c r="N48" s="19">
        <f t="shared" si="9"/>
        <v>0</v>
      </c>
      <c r="O48" s="11"/>
      <c r="P48" s="2">
        <v>0</v>
      </c>
      <c r="Q48" s="2"/>
      <c r="R48" s="19">
        <f t="shared" si="10"/>
        <v>0</v>
      </c>
      <c r="S48" s="2"/>
      <c r="T48" s="2"/>
      <c r="U48" s="2"/>
      <c r="V48" s="19">
        <f t="shared" si="11"/>
        <v>0</v>
      </c>
      <c r="W48" s="2"/>
      <c r="X48" s="2">
        <f t="shared" si="12"/>
        <v>0</v>
      </c>
      <c r="Y48" s="2"/>
      <c r="Z48" s="19">
        <f t="shared" si="13"/>
        <v>0</v>
      </c>
    </row>
    <row r="49" spans="1:26" s="24" customFormat="1" hidden="1" outlineLevel="1" x14ac:dyDescent="0.3">
      <c r="A49" s="44"/>
      <c r="B49" s="11" t="str">
        <f>CONCATENATE("          ", "5541", " - ", "FREIGHT-IN-LOGO GIFTS")</f>
        <v xml:space="preserve">          5541 - FREIGHT-IN-LOGO GIFTS</v>
      </c>
      <c r="C49" s="11"/>
      <c r="D49" s="2"/>
      <c r="E49" s="2"/>
      <c r="F49" s="19">
        <f t="shared" si="6"/>
        <v>0</v>
      </c>
      <c r="G49" s="2"/>
      <c r="H49" s="2"/>
      <c r="I49" s="2"/>
      <c r="J49" s="19">
        <f t="shared" si="7"/>
        <v>0</v>
      </c>
      <c r="K49" s="2"/>
      <c r="L49" s="2">
        <f t="shared" si="8"/>
        <v>0</v>
      </c>
      <c r="M49" s="2"/>
      <c r="N49" s="19">
        <f t="shared" si="9"/>
        <v>0</v>
      </c>
      <c r="O49" s="11"/>
      <c r="P49" s="2">
        <v>0</v>
      </c>
      <c r="Q49" s="2"/>
      <c r="R49" s="19">
        <f t="shared" si="10"/>
        <v>0</v>
      </c>
      <c r="S49" s="2"/>
      <c r="T49" s="2"/>
      <c r="U49" s="2"/>
      <c r="V49" s="19">
        <f t="shared" si="11"/>
        <v>0</v>
      </c>
      <c r="W49" s="2"/>
      <c r="X49" s="2">
        <f t="shared" si="12"/>
        <v>0</v>
      </c>
      <c r="Y49" s="2"/>
      <c r="Z49" s="19">
        <f t="shared" si="13"/>
        <v>0</v>
      </c>
    </row>
    <row r="50" spans="1:26" s="24" customFormat="1" hidden="1" outlineLevel="1" x14ac:dyDescent="0.3">
      <c r="A50" s="44"/>
      <c r="B50" s="11" t="str">
        <f>CONCATENATE("          ", "5542", " - ", "FREIGHT-IN-EVERYDAY GIFTS")</f>
        <v xml:space="preserve">          5542 - FREIGHT-IN-EVERYDAY GIFTS</v>
      </c>
      <c r="C50" s="11"/>
      <c r="D50" s="2"/>
      <c r="E50" s="2"/>
      <c r="F50" s="19">
        <f t="shared" si="6"/>
        <v>0</v>
      </c>
      <c r="G50" s="2"/>
      <c r="H50" s="2"/>
      <c r="I50" s="2"/>
      <c r="J50" s="19">
        <f t="shared" si="7"/>
        <v>0</v>
      </c>
      <c r="K50" s="2"/>
      <c r="L50" s="2">
        <f t="shared" si="8"/>
        <v>0</v>
      </c>
      <c r="M50" s="2"/>
      <c r="N50" s="19">
        <f t="shared" si="9"/>
        <v>0</v>
      </c>
      <c r="O50" s="11"/>
      <c r="P50" s="2">
        <v>0</v>
      </c>
      <c r="Q50" s="2"/>
      <c r="R50" s="19">
        <f t="shared" si="10"/>
        <v>0</v>
      </c>
      <c r="S50" s="2"/>
      <c r="T50" s="2"/>
      <c r="U50" s="2"/>
      <c r="V50" s="19">
        <f t="shared" si="11"/>
        <v>0</v>
      </c>
      <c r="W50" s="2"/>
      <c r="X50" s="2">
        <f t="shared" si="12"/>
        <v>0</v>
      </c>
      <c r="Y50" s="2"/>
      <c r="Z50" s="19">
        <f t="shared" si="13"/>
        <v>0</v>
      </c>
    </row>
    <row r="51" spans="1:26" s="24" customFormat="1" hidden="1" outlineLevel="1" x14ac:dyDescent="0.3">
      <c r="A51" s="44"/>
      <c r="B51" s="11" t="str">
        <f>CONCATENATE("          ", "5544", " - ", "FREIGHT-IN-ACCESSORIES")</f>
        <v xml:space="preserve">          5544 - FREIGHT-IN-ACCESSORIES</v>
      </c>
      <c r="C51" s="11"/>
      <c r="D51" s="2"/>
      <c r="E51" s="2"/>
      <c r="F51" s="19">
        <f t="shared" si="6"/>
        <v>0</v>
      </c>
      <c r="G51" s="2"/>
      <c r="H51" s="2"/>
      <c r="I51" s="2"/>
      <c r="J51" s="19">
        <f t="shared" si="7"/>
        <v>0</v>
      </c>
      <c r="K51" s="2"/>
      <c r="L51" s="2">
        <f t="shared" si="8"/>
        <v>0</v>
      </c>
      <c r="M51" s="2"/>
      <c r="N51" s="19">
        <f t="shared" si="9"/>
        <v>0</v>
      </c>
      <c r="O51" s="11"/>
      <c r="P51" s="2">
        <v>0</v>
      </c>
      <c r="Q51" s="2"/>
      <c r="R51" s="19">
        <f t="shared" si="10"/>
        <v>0</v>
      </c>
      <c r="S51" s="2"/>
      <c r="T51" s="2"/>
      <c r="U51" s="2"/>
      <c r="V51" s="19">
        <f t="shared" si="11"/>
        <v>0</v>
      </c>
      <c r="W51" s="2"/>
      <c r="X51" s="2">
        <f t="shared" si="12"/>
        <v>0</v>
      </c>
      <c r="Y51" s="2"/>
      <c r="Z51" s="19">
        <f t="shared" si="13"/>
        <v>0</v>
      </c>
    </row>
    <row r="52" spans="1:26" s="24" customFormat="1" hidden="1" outlineLevel="1" x14ac:dyDescent="0.3">
      <c r="A52" s="44"/>
      <c r="B52" s="11" t="str">
        <f>CONCATENATE("          ", "5545", " - ", "FREIGHT-IN-SPECIAL ORDERS")</f>
        <v xml:space="preserve">          5545 - FREIGHT-IN-SPECIAL ORDERS</v>
      </c>
      <c r="C52" s="11"/>
      <c r="D52" s="2"/>
      <c r="E52" s="2"/>
      <c r="F52" s="19">
        <f t="shared" si="6"/>
        <v>0</v>
      </c>
      <c r="G52" s="2"/>
      <c r="H52" s="2"/>
      <c r="I52" s="2"/>
      <c r="J52" s="19">
        <f t="shared" si="7"/>
        <v>0</v>
      </c>
      <c r="K52" s="2"/>
      <c r="L52" s="2">
        <f t="shared" si="8"/>
        <v>0</v>
      </c>
      <c r="M52" s="2"/>
      <c r="N52" s="19">
        <f t="shared" si="9"/>
        <v>0</v>
      </c>
      <c r="O52" s="11"/>
      <c r="P52" s="2">
        <v>0</v>
      </c>
      <c r="Q52" s="2"/>
      <c r="R52" s="19">
        <f t="shared" si="10"/>
        <v>0</v>
      </c>
      <c r="S52" s="2"/>
      <c r="T52" s="2"/>
      <c r="U52" s="2"/>
      <c r="V52" s="19">
        <f t="shared" si="11"/>
        <v>0</v>
      </c>
      <c r="W52" s="2"/>
      <c r="X52" s="2">
        <f t="shared" si="12"/>
        <v>0</v>
      </c>
      <c r="Y52" s="2"/>
      <c r="Z52" s="19">
        <f t="shared" si="13"/>
        <v>0</v>
      </c>
    </row>
    <row r="53" spans="1:26" x14ac:dyDescent="0.3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3">
      <c r="A54" s="10"/>
      <c r="B54" s="26" t="s">
        <v>108</v>
      </c>
      <c r="C54" s="26"/>
      <c r="D54" s="20">
        <f>D12-D23</f>
        <v>156616.40000000005</v>
      </c>
      <c r="E54" s="13"/>
      <c r="F54" s="22">
        <f>IF(D$12=0,0,D54/D$12)</f>
        <v>0.50511696667934924</v>
      </c>
      <c r="G54" s="13"/>
      <c r="H54" s="20">
        <f>H12-H23</f>
        <v>147073</v>
      </c>
      <c r="I54" s="13"/>
      <c r="J54" s="22">
        <f>IF(H$12=0,0,H54/H$12)</f>
        <v>0.50425143828900176</v>
      </c>
      <c r="K54" s="15"/>
      <c r="L54" s="20">
        <f>+D54-H54</f>
        <v>9543.4000000000524</v>
      </c>
      <c r="M54" s="15"/>
      <c r="N54" s="22">
        <f>IF(H54=0,0,L54/H54)</f>
        <v>6.4888864713441977E-2</v>
      </c>
      <c r="O54" s="25"/>
      <c r="P54" s="20">
        <f>P12-P23</f>
        <v>1234276.82</v>
      </c>
      <c r="Q54" s="13"/>
      <c r="R54" s="22">
        <f>IF(P$12=0,0,P54/P$12)</f>
        <v>0.38250363592137382</v>
      </c>
      <c r="S54" s="13"/>
      <c r="T54" s="20">
        <f>T12-T23</f>
        <v>1723569</v>
      </c>
      <c r="U54" s="13"/>
      <c r="V54" s="22">
        <f>IF(T$12=0,0,T54/T$12)</f>
        <v>0.36906373979895984</v>
      </c>
      <c r="W54" s="15"/>
      <c r="X54" s="20">
        <f>+P54-T54</f>
        <v>-489292.17999999993</v>
      </c>
      <c r="Y54" s="15"/>
      <c r="Z54" s="22">
        <f>IF(T54=0,0,X54/T54)</f>
        <v>-0.28388314015858951</v>
      </c>
    </row>
    <row r="55" spans="1:26" x14ac:dyDescent="0.3">
      <c r="A55" s="9"/>
      <c r="B55" s="10"/>
      <c r="C55" s="9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6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3">
      <c r="A56" s="10"/>
      <c r="B56" s="25" t="s">
        <v>295</v>
      </c>
      <c r="C56" s="10"/>
      <c r="D56" s="21">
        <f>SUM(OSRRefD22x_0)</f>
        <v>282093.9599999999</v>
      </c>
      <c r="E56" s="21"/>
      <c r="F56" s="30">
        <f t="shared" ref="F56:F67" si="14">IF(D$12=0,0,D56/D$12)</f>
        <v>0.90980539326510879</v>
      </c>
      <c r="G56" s="21"/>
      <c r="H56" s="21">
        <f>SUM(OSRRefH22x_0)</f>
        <v>319535.9622369128</v>
      </c>
      <c r="I56" s="21"/>
      <c r="J56" s="30">
        <f t="shared" ref="J56:J67" si="15">IF(H$12=0,0,H56/H$12)</f>
        <v>1.0955543746508432</v>
      </c>
      <c r="K56" s="4"/>
      <c r="L56" s="21">
        <f t="shared" ref="L56:L67" si="16">+D56-H56</f>
        <v>-37442.0022369129</v>
      </c>
      <c r="M56" s="4"/>
      <c r="N56" s="30">
        <f t="shared" ref="N56:N67" si="17">IF(H56=0,0,L56/H56)</f>
        <v>-0.11717617627386918</v>
      </c>
      <c r="O56" s="10"/>
      <c r="P56" s="21">
        <f>SUM(OSRRefP22x_0)</f>
        <v>1687433.8399999992</v>
      </c>
      <c r="Q56" s="21"/>
      <c r="R56" s="30">
        <f t="shared" ref="R56:R67" si="18">IF(P$12=0,0,P56/P$12)</f>
        <v>0.52293745513001322</v>
      </c>
      <c r="S56" s="21"/>
      <c r="T56" s="21">
        <f>SUM(OSRRefT22x_0)</f>
        <v>1903546.9562482133</v>
      </c>
      <c r="U56" s="21"/>
      <c r="V56" s="30">
        <f t="shared" ref="V56:V67" si="19">IF(T$12=0,0,T56/T$12)</f>
        <v>0.40760199246789225</v>
      </c>
      <c r="W56" s="4"/>
      <c r="X56" s="21">
        <f t="shared" ref="X56:X67" si="20">+P56-T56</f>
        <v>-216113.11624821415</v>
      </c>
      <c r="Y56" s="4"/>
      <c r="Z56" s="30">
        <f t="shared" ref="Z56:Z67" si="21">IF(T56=0,0,X56/T56)</f>
        <v>-0.11353180205975126</v>
      </c>
    </row>
    <row r="57" spans="1:26" s="29" customFormat="1" outlineLevel="1" collapsed="1" x14ac:dyDescent="0.3">
      <c r="A57" s="28"/>
      <c r="B57" s="14" t="str">
        <f>CONCATENATE("     ","*Benefits                                         ")</f>
        <v xml:space="preserve">     *Benefits                                         </v>
      </c>
      <c r="C57" s="14"/>
      <c r="D57" s="1">
        <f>SUM(OSRRefD22_0x_0)</f>
        <v>51732.02</v>
      </c>
      <c r="E57" s="1"/>
      <c r="F57" s="5">
        <f t="shared" si="14"/>
        <v>0.16684536882852255</v>
      </c>
      <c r="G57" s="1"/>
      <c r="H57" s="1">
        <f>SUM(OSRRefH22_0x_0)</f>
        <v>46924.208422428237</v>
      </c>
      <c r="I57" s="1"/>
      <c r="J57" s="5">
        <f t="shared" si="15"/>
        <v>0.1608833680388809</v>
      </c>
      <c r="K57" s="1"/>
      <c r="L57" s="1">
        <f t="shared" si="16"/>
        <v>4807.8115775717597</v>
      </c>
      <c r="M57" s="1"/>
      <c r="N57" s="5">
        <f t="shared" si="17"/>
        <v>0.10245908752024431</v>
      </c>
      <c r="O57" s="14"/>
      <c r="P57" s="1">
        <f>SUM(OSRRefP22_0x_0)</f>
        <v>258655.79000000004</v>
      </c>
      <c r="Q57" s="1"/>
      <c r="R57" s="5">
        <f t="shared" si="18"/>
        <v>8.0157691146719695E-2</v>
      </c>
      <c r="S57" s="1"/>
      <c r="T57" s="1">
        <f>SUM(OSRRefT22_0x_0)</f>
        <v>269283.51498008601</v>
      </c>
      <c r="U57" s="1"/>
      <c r="V57" s="5">
        <f t="shared" si="19"/>
        <v>5.7661040030750017E-2</v>
      </c>
      <c r="W57" s="1"/>
      <c r="X57" s="1">
        <f t="shared" si="20"/>
        <v>-10627.724980085972</v>
      </c>
      <c r="Y57" s="1"/>
      <c r="Z57" s="5">
        <f t="shared" si="21"/>
        <v>-3.9466675042740401E-2</v>
      </c>
    </row>
    <row r="58" spans="1:26" s="24" customFormat="1" hidden="1" outlineLevel="2" x14ac:dyDescent="0.3">
      <c r="A58" s="27"/>
      <c r="B58" s="11" t="str">
        <f>CONCATENATE("          ", "6111", " - ", "F.I.C.A.")</f>
        <v xml:space="preserve">          6111 - F.I.C.A.</v>
      </c>
      <c r="C58" s="11"/>
      <c r="D58" s="6">
        <v>9049.4699999999993</v>
      </c>
      <c r="E58" s="2"/>
      <c r="F58" s="7">
        <f t="shared" si="14"/>
        <v>2.9186220832912575E-2</v>
      </c>
      <c r="G58" s="2"/>
      <c r="H58" s="6">
        <v>9205.6939925951501</v>
      </c>
      <c r="I58" s="2"/>
      <c r="J58" s="7">
        <f t="shared" si="15"/>
        <v>3.1562451545929765E-2</v>
      </c>
      <c r="K58" s="2"/>
      <c r="L58" s="6">
        <f t="shared" si="16"/>
        <v>-156.22399259515078</v>
      </c>
      <c r="M58" s="2"/>
      <c r="N58" s="7">
        <f t="shared" si="17"/>
        <v>-1.697036559338316E-2</v>
      </c>
      <c r="O58" s="11"/>
      <c r="P58" s="6">
        <v>49950.9</v>
      </c>
      <c r="Q58" s="2"/>
      <c r="R58" s="7">
        <f t="shared" si="18"/>
        <v>1.5479834473068166E-2</v>
      </c>
      <c r="S58" s="2"/>
      <c r="T58" s="6">
        <v>54599.382741965703</v>
      </c>
      <c r="U58" s="2"/>
      <c r="V58" s="7">
        <f t="shared" si="19"/>
        <v>1.1691236257709816E-2</v>
      </c>
      <c r="W58" s="2"/>
      <c r="X58" s="6">
        <f t="shared" si="20"/>
        <v>-4648.4827419657013</v>
      </c>
      <c r="Y58" s="2"/>
      <c r="Z58" s="7">
        <f t="shared" si="21"/>
        <v>-8.513800904919068E-2</v>
      </c>
    </row>
    <row r="59" spans="1:26" s="24" customFormat="1" hidden="1" outlineLevel="2" x14ac:dyDescent="0.3">
      <c r="A59" s="27"/>
      <c r="B59" s="11" t="str">
        <f>CONCATENATE("          ", "6112", " - ", "COMPENSATION INSURANCE")</f>
        <v xml:space="preserve">          6112 - COMPENSATION INSURANCE</v>
      </c>
      <c r="C59" s="11"/>
      <c r="D59" s="6">
        <v>2480.96</v>
      </c>
      <c r="E59" s="2"/>
      <c r="F59" s="7">
        <f t="shared" si="14"/>
        <v>8.0015566036047182E-3</v>
      </c>
      <c r="G59" s="2"/>
      <c r="H59" s="6">
        <v>2754.3170408646101</v>
      </c>
      <c r="I59" s="2"/>
      <c r="J59" s="7">
        <f t="shared" si="15"/>
        <v>9.4433942964370545E-3</v>
      </c>
      <c r="K59" s="2"/>
      <c r="L59" s="6">
        <f t="shared" si="16"/>
        <v>-273.3570408646101</v>
      </c>
      <c r="M59" s="2"/>
      <c r="N59" s="7">
        <f t="shared" si="17"/>
        <v>-9.9246759472105053E-2</v>
      </c>
      <c r="O59" s="11"/>
      <c r="P59" s="6">
        <v>13010.83</v>
      </c>
      <c r="Q59" s="2"/>
      <c r="R59" s="7">
        <f t="shared" si="18"/>
        <v>4.0320693872829012E-3</v>
      </c>
      <c r="S59" s="2"/>
      <c r="T59" s="6">
        <v>17004.573949755399</v>
      </c>
      <c r="U59" s="2"/>
      <c r="V59" s="7">
        <f t="shared" si="19"/>
        <v>3.6411490666081237E-3</v>
      </c>
      <c r="W59" s="2"/>
      <c r="X59" s="6">
        <f t="shared" si="20"/>
        <v>-3993.7439497553987</v>
      </c>
      <c r="Y59" s="2"/>
      <c r="Z59" s="7">
        <f t="shared" si="21"/>
        <v>-0.23486292344377416</v>
      </c>
    </row>
    <row r="60" spans="1:26" s="24" customFormat="1" hidden="1" outlineLevel="2" x14ac:dyDescent="0.3">
      <c r="A60" s="27"/>
      <c r="B60" s="11" t="str">
        <f>CONCATENATE("          ", "6113", " - ", "GROUP INSURANCE")</f>
        <v xml:space="preserve">          6113 - GROUP INSURANCE</v>
      </c>
      <c r="C60" s="11"/>
      <c r="D60" s="6">
        <v>17975.22</v>
      </c>
      <c r="E60" s="2"/>
      <c r="F60" s="7">
        <f t="shared" si="14"/>
        <v>5.7973421696539892E-2</v>
      </c>
      <c r="G60" s="2"/>
      <c r="H60" s="6">
        <v>17692.9230769231</v>
      </c>
      <c r="I60" s="2"/>
      <c r="J60" s="7">
        <f t="shared" si="15"/>
        <v>6.0661589204511666E-2</v>
      </c>
      <c r="K60" s="2"/>
      <c r="L60" s="6">
        <f t="shared" si="16"/>
        <v>282.29692307690129</v>
      </c>
      <c r="M60" s="2"/>
      <c r="N60" s="7">
        <f t="shared" si="17"/>
        <v>1.5955358074500506E-2</v>
      </c>
      <c r="O60" s="11"/>
      <c r="P60" s="6">
        <v>90256.33</v>
      </c>
      <c r="Q60" s="2"/>
      <c r="R60" s="7">
        <f t="shared" si="18"/>
        <v>2.7970528029457258E-2</v>
      </c>
      <c r="S60" s="2"/>
      <c r="T60" s="6">
        <v>95543.576923076893</v>
      </c>
      <c r="U60" s="2"/>
      <c r="V60" s="7">
        <f t="shared" si="19"/>
        <v>2.0458519393769761E-2</v>
      </c>
      <c r="W60" s="2"/>
      <c r="X60" s="6">
        <f t="shared" si="20"/>
        <v>-5287.2469230768911</v>
      </c>
      <c r="Y60" s="2"/>
      <c r="Z60" s="7">
        <f t="shared" si="21"/>
        <v>-5.5338590969162764E-2</v>
      </c>
    </row>
    <row r="61" spans="1:26" s="24" customFormat="1" hidden="1" outlineLevel="2" x14ac:dyDescent="0.3">
      <c r="A61" s="27"/>
      <c r="B61" s="11" t="str">
        <f>CONCATENATE("          ", "6114", " - ", "STATE UNEMPLOYMENT INSURANCE")</f>
        <v xml:space="preserve">          6114 - STATE UNEMPLOYMENT INSURANCE</v>
      </c>
      <c r="C61" s="11"/>
      <c r="D61" s="6">
        <v>443.79</v>
      </c>
      <c r="E61" s="2"/>
      <c r="F61" s="7">
        <f t="shared" si="14"/>
        <v>1.4313051420070206E-3</v>
      </c>
      <c r="G61" s="2"/>
      <c r="H61" s="6">
        <v>328.11438900692298</v>
      </c>
      <c r="I61" s="2"/>
      <c r="J61" s="7">
        <f t="shared" si="15"/>
        <v>1.1249661908036006E-3</v>
      </c>
      <c r="K61" s="2"/>
      <c r="L61" s="6">
        <f t="shared" si="16"/>
        <v>115.67561099307704</v>
      </c>
      <c r="M61" s="2"/>
      <c r="N61" s="7">
        <f t="shared" si="17"/>
        <v>0.35254659615258865</v>
      </c>
      <c r="O61" s="11"/>
      <c r="P61" s="6">
        <v>2343.8200000000002</v>
      </c>
      <c r="Q61" s="2"/>
      <c r="R61" s="7">
        <f t="shared" si="18"/>
        <v>7.2635219054444729E-4</v>
      </c>
      <c r="S61" s="2"/>
      <c r="T61" s="6">
        <v>2067.3059231919201</v>
      </c>
      <c r="U61" s="2"/>
      <c r="V61" s="7">
        <f t="shared" si="19"/>
        <v>4.4266731144604674E-4</v>
      </c>
      <c r="W61" s="2"/>
      <c r="X61" s="6">
        <f t="shared" si="20"/>
        <v>276.51407680808006</v>
      </c>
      <c r="Y61" s="2"/>
      <c r="Z61" s="7">
        <f t="shared" si="21"/>
        <v>0.13375576091860772</v>
      </c>
    </row>
    <row r="62" spans="1:26" s="24" customFormat="1" hidden="1" outlineLevel="2" x14ac:dyDescent="0.3">
      <c r="A62" s="27"/>
      <c r="B62" s="11" t="str">
        <f>CONCATENATE("          ", "6115", " - ", "P.E.R.S.")</f>
        <v xml:space="preserve">          6115 - P.E.R.S.</v>
      </c>
      <c r="C62" s="11"/>
      <c r="D62" s="6">
        <v>8571.01</v>
      </c>
      <c r="E62" s="2"/>
      <c r="F62" s="7">
        <f t="shared" si="14"/>
        <v>2.764309850423307E-2</v>
      </c>
      <c r="G62" s="2"/>
      <c r="H62" s="6">
        <v>4613.5268585692302</v>
      </c>
      <c r="I62" s="2"/>
      <c r="J62" s="7">
        <f t="shared" si="15"/>
        <v>1.5817842527305996E-2</v>
      </c>
      <c r="K62" s="2"/>
      <c r="L62" s="6">
        <f t="shared" si="16"/>
        <v>3957.48314143077</v>
      </c>
      <c r="M62" s="2"/>
      <c r="N62" s="7">
        <f t="shared" si="17"/>
        <v>0.85779995711525658</v>
      </c>
      <c r="O62" s="11"/>
      <c r="P62" s="6">
        <v>36904.04</v>
      </c>
      <c r="Q62" s="2"/>
      <c r="R62" s="7">
        <f t="shared" si="18"/>
        <v>1.1436599352313703E-2</v>
      </c>
      <c r="S62" s="2"/>
      <c r="T62" s="6">
        <v>27191.991183669201</v>
      </c>
      <c r="U62" s="2"/>
      <c r="V62" s="7">
        <f t="shared" si="19"/>
        <v>5.8225565433268414E-3</v>
      </c>
      <c r="W62" s="2"/>
      <c r="X62" s="6">
        <f t="shared" si="20"/>
        <v>9712.0488163308</v>
      </c>
      <c r="Y62" s="2"/>
      <c r="Z62" s="7">
        <f t="shared" si="21"/>
        <v>0.35716578277517252</v>
      </c>
    </row>
    <row r="63" spans="1:26" s="24" customFormat="1" hidden="1" outlineLevel="2" x14ac:dyDescent="0.3">
      <c r="A63" s="27"/>
      <c r="B63" s="11" t="str">
        <f>CONCATENATE("          ", "6116", " - ", "EDUCATIONAL BENEFITS")</f>
        <v xml:space="preserve">          6116 - EDUCATIONAL BENEFITS</v>
      </c>
      <c r="C63" s="11"/>
      <c r="D63" s="6"/>
      <c r="E63" s="2"/>
      <c r="F63" s="7">
        <f t="shared" si="14"/>
        <v>0</v>
      </c>
      <c r="G63" s="2"/>
      <c r="H63" s="6">
        <v>0</v>
      </c>
      <c r="I63" s="2"/>
      <c r="J63" s="7">
        <f t="shared" si="15"/>
        <v>0</v>
      </c>
      <c r="K63" s="2"/>
      <c r="L63" s="6">
        <f t="shared" si="16"/>
        <v>0</v>
      </c>
      <c r="M63" s="2"/>
      <c r="N63" s="7">
        <f t="shared" si="17"/>
        <v>0</v>
      </c>
      <c r="O63" s="11"/>
      <c r="P63" s="6"/>
      <c r="Q63" s="2"/>
      <c r="R63" s="7">
        <f t="shared" si="18"/>
        <v>0</v>
      </c>
      <c r="S63" s="2"/>
      <c r="T63" s="6">
        <v>0</v>
      </c>
      <c r="U63" s="2"/>
      <c r="V63" s="7">
        <f t="shared" si="19"/>
        <v>0</v>
      </c>
      <c r="W63" s="2"/>
      <c r="X63" s="6">
        <f t="shared" si="20"/>
        <v>0</v>
      </c>
      <c r="Y63" s="2"/>
      <c r="Z63" s="7">
        <f t="shared" si="21"/>
        <v>0</v>
      </c>
    </row>
    <row r="64" spans="1:26" s="24" customFormat="1" hidden="1" outlineLevel="2" x14ac:dyDescent="0.3">
      <c r="A64" s="27"/>
      <c r="B64" s="11" t="str">
        <f>CONCATENATE("          ", "6117", " - ", "RETIREMENT STAFF HOURLY")</f>
        <v xml:space="preserve">          6117 - RETIREMENT STAFF HOURLY</v>
      </c>
      <c r="C64" s="11"/>
      <c r="D64" s="6">
        <v>588.41999999999996</v>
      </c>
      <c r="E64" s="2"/>
      <c r="F64" s="7">
        <f t="shared" si="14"/>
        <v>1.8977637433465625E-3</v>
      </c>
      <c r="G64" s="2"/>
      <c r="H64" s="6"/>
      <c r="I64" s="2"/>
      <c r="J64" s="7">
        <f t="shared" si="15"/>
        <v>0</v>
      </c>
      <c r="K64" s="2"/>
      <c r="L64" s="6">
        <f t="shared" si="16"/>
        <v>588.41999999999996</v>
      </c>
      <c r="M64" s="2"/>
      <c r="N64" s="7">
        <f t="shared" si="17"/>
        <v>0</v>
      </c>
      <c r="O64" s="11"/>
      <c r="P64" s="6">
        <v>3104.14</v>
      </c>
      <c r="Q64" s="2"/>
      <c r="R64" s="7">
        <f t="shared" si="18"/>
        <v>9.6197612818247149E-4</v>
      </c>
      <c r="S64" s="2"/>
      <c r="T64" s="6"/>
      <c r="U64" s="2"/>
      <c r="V64" s="7">
        <f t="shared" si="19"/>
        <v>0</v>
      </c>
      <c r="W64" s="2"/>
      <c r="X64" s="6">
        <f t="shared" si="20"/>
        <v>3104.14</v>
      </c>
      <c r="Y64" s="2"/>
      <c r="Z64" s="7">
        <f t="shared" si="21"/>
        <v>0</v>
      </c>
    </row>
    <row r="65" spans="1:26" s="24" customFormat="1" hidden="1" outlineLevel="2" x14ac:dyDescent="0.3">
      <c r="A65" s="27"/>
      <c r="B65" s="11" t="str">
        <f>CONCATENATE("          ", "6118", " - ", "VACATION")</f>
        <v xml:space="preserve">          6118 - VACATION</v>
      </c>
      <c r="C65" s="11"/>
      <c r="D65" s="6">
        <v>5724.91</v>
      </c>
      <c r="E65" s="2"/>
      <c r="F65" s="7">
        <f t="shared" si="14"/>
        <v>1.8463897610418018E-2</v>
      </c>
      <c r="G65" s="2"/>
      <c r="H65" s="6">
        <v>4024.5376188230798</v>
      </c>
      <c r="I65" s="2"/>
      <c r="J65" s="7">
        <f t="shared" si="15"/>
        <v>1.3798446232413376E-2</v>
      </c>
      <c r="K65" s="2"/>
      <c r="L65" s="6">
        <f t="shared" si="16"/>
        <v>1700.37238117692</v>
      </c>
      <c r="M65" s="2"/>
      <c r="N65" s="7">
        <f t="shared" si="17"/>
        <v>0.42250130132319907</v>
      </c>
      <c r="O65" s="11"/>
      <c r="P65" s="6">
        <v>28972.51</v>
      </c>
      <c r="Q65" s="2"/>
      <c r="R65" s="7">
        <f t="shared" si="18"/>
        <v>8.978610176579643E-3</v>
      </c>
      <c r="S65" s="2"/>
      <c r="T65" s="6">
        <v>24248.4376727577</v>
      </c>
      <c r="U65" s="2"/>
      <c r="V65" s="7">
        <f t="shared" si="19"/>
        <v>5.1922604153300175E-3</v>
      </c>
      <c r="W65" s="2"/>
      <c r="X65" s="6">
        <f t="shared" si="20"/>
        <v>4724.0723272422983</v>
      </c>
      <c r="Y65" s="2"/>
      <c r="Z65" s="7">
        <f t="shared" si="21"/>
        <v>0.1948196577031284</v>
      </c>
    </row>
    <row r="66" spans="1:26" s="24" customFormat="1" hidden="1" outlineLevel="2" x14ac:dyDescent="0.3">
      <c r="A66" s="27"/>
      <c r="B66" s="11" t="str">
        <f>CONCATENATE("          ", "6119", " - ", "SICK LEAVE")</f>
        <v xml:space="preserve">          6119 - SICK LEAVE</v>
      </c>
      <c r="C66" s="11"/>
      <c r="D66" s="6">
        <v>3903.07</v>
      </c>
      <c r="E66" s="2"/>
      <c r="F66" s="7">
        <f t="shared" si="14"/>
        <v>1.2588125375996174E-2</v>
      </c>
      <c r="G66" s="2"/>
      <c r="H66" s="6">
        <v>5855.0954456461504</v>
      </c>
      <c r="I66" s="2"/>
      <c r="J66" s="7">
        <f t="shared" si="15"/>
        <v>2.0074658841435583E-2</v>
      </c>
      <c r="K66" s="2"/>
      <c r="L66" s="6">
        <f t="shared" si="16"/>
        <v>-1952.0254456461503</v>
      </c>
      <c r="M66" s="2"/>
      <c r="N66" s="7">
        <f t="shared" si="17"/>
        <v>-0.33338917593524059</v>
      </c>
      <c r="O66" s="11"/>
      <c r="P66" s="6">
        <v>21072.65</v>
      </c>
      <c r="Q66" s="2"/>
      <c r="R66" s="7">
        <f t="shared" si="18"/>
        <v>6.5304355659037156E-3</v>
      </c>
      <c r="S66" s="2"/>
      <c r="T66" s="6">
        <v>36378.2465856692</v>
      </c>
      <c r="U66" s="2"/>
      <c r="V66" s="7">
        <f t="shared" si="19"/>
        <v>7.7895876128172515E-3</v>
      </c>
      <c r="W66" s="2"/>
      <c r="X66" s="6">
        <f t="shared" si="20"/>
        <v>-15305.596585669198</v>
      </c>
      <c r="Y66" s="2"/>
      <c r="Z66" s="7">
        <f t="shared" si="21"/>
        <v>-0.42073486278744027</v>
      </c>
    </row>
    <row r="67" spans="1:26" s="24" customFormat="1" hidden="1" outlineLevel="2" x14ac:dyDescent="0.3">
      <c r="A67" s="27"/>
      <c r="B67" s="11" t="str">
        <f>CONCATENATE("          ", "6156", " - ", "EMPLOYEE MEALS")</f>
        <v xml:space="preserve">          6156 - EMPLOYEE MEALS</v>
      </c>
      <c r="C67" s="11"/>
      <c r="D67" s="6">
        <v>2995.17</v>
      </c>
      <c r="E67" s="2"/>
      <c r="F67" s="7">
        <f t="shared" si="14"/>
        <v>9.659979319464539E-3</v>
      </c>
      <c r="G67" s="2"/>
      <c r="H67" s="6">
        <v>2450</v>
      </c>
      <c r="I67" s="2"/>
      <c r="J67" s="7">
        <f t="shared" si="15"/>
        <v>8.4000192000438859E-3</v>
      </c>
      <c r="K67" s="2"/>
      <c r="L67" s="6">
        <f t="shared" si="16"/>
        <v>545.17000000000007</v>
      </c>
      <c r="M67" s="2"/>
      <c r="N67" s="7">
        <f t="shared" si="17"/>
        <v>0.22251836734693881</v>
      </c>
      <c r="O67" s="11"/>
      <c r="P67" s="6">
        <v>13040.57</v>
      </c>
      <c r="Q67" s="2"/>
      <c r="R67" s="7">
        <f t="shared" si="18"/>
        <v>4.0412858433873768E-3</v>
      </c>
      <c r="S67" s="2"/>
      <c r="T67" s="6">
        <v>12250</v>
      </c>
      <c r="U67" s="2"/>
      <c r="V67" s="7">
        <f t="shared" si="19"/>
        <v>2.6230634297421561E-3</v>
      </c>
      <c r="W67" s="2"/>
      <c r="X67" s="6">
        <f t="shared" si="20"/>
        <v>790.56999999999971</v>
      </c>
      <c r="Y67" s="2"/>
      <c r="Z67" s="7">
        <f t="shared" si="21"/>
        <v>6.4536326530612226E-2</v>
      </c>
    </row>
    <row r="68" spans="1:26" s="29" customFormat="1" outlineLevel="1" collapsed="1" x14ac:dyDescent="0.3">
      <c r="A68" s="28"/>
      <c r="B68" s="14" t="str">
        <f>CONCATENATE("     ","*Payroll                                          ")</f>
        <v xml:space="preserve">     *Payroll                                          </v>
      </c>
      <c r="C68" s="14"/>
      <c r="D68" s="1">
        <f>SUM(OSRRefD22_1x_0)</f>
        <v>125576.45000000001</v>
      </c>
      <c r="E68" s="1"/>
      <c r="F68" s="5">
        <f t="shared" ref="F68:F78" si="22">IF(D$12=0,0,D68/D$12)</f>
        <v>0.4050073651952219</v>
      </c>
      <c r="G68" s="1"/>
      <c r="H68" s="1">
        <f>SUM(OSRRefH22_1x_0)</f>
        <v>148696.25381448457</v>
      </c>
      <c r="I68" s="1"/>
      <c r="J68" s="5">
        <f t="shared" ref="J68:J78" si="23">IF(H$12=0,0,H68/H$12)</f>
        <v>0.50981689265970176</v>
      </c>
      <c r="K68" s="1"/>
      <c r="L68" s="1">
        <f t="shared" ref="L68:L78" si="24">+D68-H68</f>
        <v>-23119.803814484563</v>
      </c>
      <c r="M68" s="1"/>
      <c r="N68" s="5">
        <f t="shared" ref="N68:N78" si="25">IF(H68=0,0,L68/H68)</f>
        <v>-0.15548343163593845</v>
      </c>
      <c r="O68" s="14"/>
      <c r="P68" s="1">
        <f>SUM(OSRRefP22_1x_0)</f>
        <v>823488.66</v>
      </c>
      <c r="Q68" s="1"/>
      <c r="R68" s="5">
        <f t="shared" ref="R68:R78" si="26">IF(P$12=0,0,P68/P$12)</f>
        <v>0.2551999693148414</v>
      </c>
      <c r="S68" s="1"/>
      <c r="T68" s="1">
        <f>SUM(OSRRefT22_1x_0)</f>
        <v>940702.69126812741</v>
      </c>
      <c r="U68" s="1"/>
      <c r="V68" s="5">
        <f t="shared" ref="V68:V78" si="27">IF(T$12=0,0,T68/T$12)</f>
        <v>0.20143043491636334</v>
      </c>
      <c r="W68" s="1"/>
      <c r="X68" s="1">
        <f t="shared" ref="X68:X78" si="28">+P68-T68</f>
        <v>-117214.03126812738</v>
      </c>
      <c r="Y68" s="1"/>
      <c r="Z68" s="5">
        <f t="shared" ref="Z68:Z78" si="29">IF(T68=0,0,X68/T68)</f>
        <v>-0.12460263200705354</v>
      </c>
    </row>
    <row r="69" spans="1:26" s="24" customFormat="1" hidden="1" outlineLevel="2" x14ac:dyDescent="0.3">
      <c r="A69" s="27"/>
      <c r="B69" s="11" t="str">
        <f>CONCATENATE("          ", "6001", " - ", "ADMINISTRATIVE SALARIES")</f>
        <v xml:space="preserve">          6001 - ADMINISTRATIVE SALARIES</v>
      </c>
      <c r="C69" s="11"/>
      <c r="D69" s="6">
        <v>4192.43</v>
      </c>
      <c r="E69" s="2"/>
      <c r="F69" s="7">
        <f t="shared" si="22"/>
        <v>1.3521365097240797E-2</v>
      </c>
      <c r="G69" s="2"/>
      <c r="H69" s="6">
        <v>4139.8076923076896</v>
      </c>
      <c r="I69" s="2"/>
      <c r="J69" s="7">
        <f t="shared" si="23"/>
        <v>1.4193658816275087E-2</v>
      </c>
      <c r="K69" s="2"/>
      <c r="L69" s="6">
        <f t="shared" si="24"/>
        <v>52.622307692310642</v>
      </c>
      <c r="M69" s="2"/>
      <c r="N69" s="7">
        <f t="shared" si="25"/>
        <v>1.2711292795095253E-2</v>
      </c>
      <c r="O69" s="11"/>
      <c r="P69" s="6">
        <v>23676.51</v>
      </c>
      <c r="Q69" s="2"/>
      <c r="R69" s="7">
        <f t="shared" si="26"/>
        <v>7.3373744156750549E-3</v>
      </c>
      <c r="S69" s="2"/>
      <c r="T69" s="6">
        <v>22768.942307692301</v>
      </c>
      <c r="U69" s="2"/>
      <c r="V69" s="7">
        <f t="shared" si="27"/>
        <v>4.8754595837727874E-3</v>
      </c>
      <c r="W69" s="2"/>
      <c r="X69" s="6">
        <f t="shared" si="28"/>
        <v>907.56769230769714</v>
      </c>
      <c r="Y69" s="2"/>
      <c r="Z69" s="7">
        <f t="shared" si="29"/>
        <v>3.9859896873693727E-2</v>
      </c>
    </row>
    <row r="70" spans="1:26" s="24" customFormat="1" hidden="1" outlineLevel="2" x14ac:dyDescent="0.3">
      <c r="A70" s="27"/>
      <c r="B70" s="11" t="str">
        <f>CONCATENATE("          ", "6002", " - ", "STAFF SALARIES")</f>
        <v xml:space="preserve">          6002 - STAFF SALARIES</v>
      </c>
      <c r="C70" s="11"/>
      <c r="D70" s="6">
        <v>39449.300000000003</v>
      </c>
      <c r="E70" s="2"/>
      <c r="F70" s="7">
        <f t="shared" si="22"/>
        <v>0.12723131647530941</v>
      </c>
      <c r="G70" s="2"/>
      <c r="H70" s="6">
        <v>44231.773854176899</v>
      </c>
      <c r="I70" s="2"/>
      <c r="J70" s="7">
        <f t="shared" si="23"/>
        <v>0.15165214270493269</v>
      </c>
      <c r="K70" s="2"/>
      <c r="L70" s="6">
        <f t="shared" si="24"/>
        <v>-4782.4738541768966</v>
      </c>
      <c r="M70" s="2"/>
      <c r="N70" s="7">
        <f t="shared" si="25"/>
        <v>-0.10812304001064334</v>
      </c>
      <c r="O70" s="11"/>
      <c r="P70" s="6">
        <v>289015.34999999998</v>
      </c>
      <c r="Q70" s="2"/>
      <c r="R70" s="7">
        <f t="shared" si="26"/>
        <v>8.9566149522348162E-2</v>
      </c>
      <c r="S70" s="2"/>
      <c r="T70" s="6">
        <v>261239.34273643501</v>
      </c>
      <c r="U70" s="2"/>
      <c r="V70" s="7">
        <f t="shared" si="27"/>
        <v>5.5938560517699576E-2</v>
      </c>
      <c r="W70" s="2"/>
      <c r="X70" s="6">
        <f t="shared" si="28"/>
        <v>27776.00726356497</v>
      </c>
      <c r="Y70" s="2"/>
      <c r="Z70" s="7">
        <f t="shared" si="29"/>
        <v>0.10632398233978199</v>
      </c>
    </row>
    <row r="71" spans="1:26" s="24" customFormat="1" hidden="1" outlineLevel="2" x14ac:dyDescent="0.3">
      <c r="A71" s="27"/>
      <c r="B71" s="11" t="str">
        <f>CONCATENATE("          ", "6003", " - ", "STAFF HOURLY-9 MONTH")</f>
        <v xml:space="preserve">          6003 - STAFF HOURLY-9 MONTH</v>
      </c>
      <c r="C71" s="11"/>
      <c r="D71" s="6"/>
      <c r="E71" s="2"/>
      <c r="F71" s="7">
        <f t="shared" si="22"/>
        <v>0</v>
      </c>
      <c r="G71" s="2"/>
      <c r="H71" s="6">
        <v>0</v>
      </c>
      <c r="I71" s="2"/>
      <c r="J71" s="7">
        <f t="shared" si="23"/>
        <v>0</v>
      </c>
      <c r="K71" s="2"/>
      <c r="L71" s="6">
        <f t="shared" si="24"/>
        <v>0</v>
      </c>
      <c r="M71" s="2"/>
      <c r="N71" s="7">
        <f t="shared" si="25"/>
        <v>0</v>
      </c>
      <c r="O71" s="11"/>
      <c r="P71" s="6"/>
      <c r="Q71" s="2"/>
      <c r="R71" s="7">
        <f t="shared" si="26"/>
        <v>0</v>
      </c>
      <c r="S71" s="2"/>
      <c r="T71" s="6">
        <v>0</v>
      </c>
      <c r="U71" s="2"/>
      <c r="V71" s="7">
        <f t="shared" si="27"/>
        <v>0</v>
      </c>
      <c r="W71" s="2"/>
      <c r="X71" s="6">
        <f t="shared" si="28"/>
        <v>0</v>
      </c>
      <c r="Y71" s="2"/>
      <c r="Z71" s="7">
        <f t="shared" si="29"/>
        <v>0</v>
      </c>
    </row>
    <row r="72" spans="1:26" s="24" customFormat="1" hidden="1" outlineLevel="2" x14ac:dyDescent="0.3">
      <c r="A72" s="27"/>
      <c r="B72" s="11" t="str">
        <f>CONCATENATE("          ", "6004", " - ", "STAFF HOURLY")</f>
        <v xml:space="preserve">          6004 - STAFF HOURLY</v>
      </c>
      <c r="C72" s="11"/>
      <c r="D72" s="6">
        <v>21095.77</v>
      </c>
      <c r="E72" s="2"/>
      <c r="F72" s="7">
        <f t="shared" si="22"/>
        <v>6.8037774793477654E-2</v>
      </c>
      <c r="G72" s="2"/>
      <c r="H72" s="6">
        <v>35950.089767999998</v>
      </c>
      <c r="I72" s="2"/>
      <c r="J72" s="7">
        <f t="shared" si="23"/>
        <v>0.12325773236510254</v>
      </c>
      <c r="K72" s="2"/>
      <c r="L72" s="6">
        <f t="shared" si="24"/>
        <v>-14854.319767999998</v>
      </c>
      <c r="M72" s="2"/>
      <c r="N72" s="7">
        <f t="shared" si="25"/>
        <v>-0.41319284218372576</v>
      </c>
      <c r="O72" s="11"/>
      <c r="P72" s="6">
        <v>111080.52</v>
      </c>
      <c r="Q72" s="2"/>
      <c r="R72" s="7">
        <f t="shared" si="26"/>
        <v>3.4423965589855998E-2</v>
      </c>
      <c r="S72" s="2"/>
      <c r="T72" s="6">
        <v>198522.10622399999</v>
      </c>
      <c r="U72" s="2"/>
      <c r="V72" s="7">
        <f t="shared" si="27"/>
        <v>4.2509067496454042E-2</v>
      </c>
      <c r="W72" s="2"/>
      <c r="X72" s="6">
        <f t="shared" si="28"/>
        <v>-87441.586223999984</v>
      </c>
      <c r="Y72" s="2"/>
      <c r="Z72" s="7">
        <f t="shared" si="29"/>
        <v>-0.44046271665754111</v>
      </c>
    </row>
    <row r="73" spans="1:26" s="24" customFormat="1" hidden="1" outlineLevel="2" x14ac:dyDescent="0.3">
      <c r="A73" s="27"/>
      <c r="B73" s="11" t="str">
        <f>CONCATENATE("          ", "6005", " - ", "TEMPORARY WAGES-HOURLY")</f>
        <v xml:space="preserve">          6005 - TEMPORARY WAGES-HOURLY</v>
      </c>
      <c r="C73" s="11"/>
      <c r="D73" s="6">
        <v>9559.1299999999992</v>
      </c>
      <c r="E73" s="2"/>
      <c r="F73" s="7">
        <f t="shared" si="22"/>
        <v>3.0829968954040356E-2</v>
      </c>
      <c r="G73" s="2"/>
      <c r="H73" s="6">
        <v>3080</v>
      </c>
      <c r="I73" s="2"/>
      <c r="J73" s="7">
        <f t="shared" si="23"/>
        <v>1.0560024137198028E-2</v>
      </c>
      <c r="K73" s="2"/>
      <c r="L73" s="6">
        <f t="shared" si="24"/>
        <v>6479.1299999999992</v>
      </c>
      <c r="M73" s="2"/>
      <c r="N73" s="7">
        <f t="shared" si="25"/>
        <v>2.1036136363636362</v>
      </c>
      <c r="O73" s="11"/>
      <c r="P73" s="6">
        <v>56896.7</v>
      </c>
      <c r="Q73" s="2"/>
      <c r="R73" s="7">
        <f t="shared" si="26"/>
        <v>1.7632344923991707E-2</v>
      </c>
      <c r="S73" s="2"/>
      <c r="T73" s="6">
        <v>18171</v>
      </c>
      <c r="U73" s="2"/>
      <c r="V73" s="7">
        <f t="shared" si="27"/>
        <v>3.8909131087220177E-3</v>
      </c>
      <c r="W73" s="2"/>
      <c r="X73" s="6">
        <f t="shared" si="28"/>
        <v>38725.699999999997</v>
      </c>
      <c r="Y73" s="2"/>
      <c r="Z73" s="7">
        <f t="shared" si="29"/>
        <v>2.131181553024049</v>
      </c>
    </row>
    <row r="74" spans="1:26" s="24" customFormat="1" hidden="1" outlineLevel="2" x14ac:dyDescent="0.3">
      <c r="A74" s="27"/>
      <c r="B74" s="11" t="str">
        <f>CONCATENATE("          ", "6006", " - ", "TEMPORARY PART TIME")</f>
        <v xml:space="preserve">          6006 - TEMPORARY PART TIME</v>
      </c>
      <c r="C74" s="11"/>
      <c r="D74" s="6"/>
      <c r="E74" s="2"/>
      <c r="F74" s="7">
        <f t="shared" si="22"/>
        <v>0</v>
      </c>
      <c r="G74" s="2"/>
      <c r="H74" s="6">
        <v>0</v>
      </c>
      <c r="I74" s="2"/>
      <c r="J74" s="7">
        <f t="shared" si="23"/>
        <v>0</v>
      </c>
      <c r="K74" s="2"/>
      <c r="L74" s="6">
        <f t="shared" si="24"/>
        <v>0</v>
      </c>
      <c r="M74" s="2"/>
      <c r="N74" s="7">
        <f t="shared" si="25"/>
        <v>0</v>
      </c>
      <c r="O74" s="11"/>
      <c r="P74" s="6">
        <v>9877.6200000000008</v>
      </c>
      <c r="Q74" s="2"/>
      <c r="R74" s="7">
        <f t="shared" si="26"/>
        <v>3.0610844366741655E-3</v>
      </c>
      <c r="S74" s="2"/>
      <c r="T74" s="6">
        <v>0</v>
      </c>
      <c r="U74" s="2"/>
      <c r="V74" s="7">
        <f t="shared" si="27"/>
        <v>0</v>
      </c>
      <c r="W74" s="2"/>
      <c r="X74" s="6">
        <f t="shared" si="28"/>
        <v>9877.6200000000008</v>
      </c>
      <c r="Y74" s="2"/>
      <c r="Z74" s="7">
        <f t="shared" si="29"/>
        <v>0</v>
      </c>
    </row>
    <row r="75" spans="1:26" s="24" customFormat="1" hidden="1" outlineLevel="2" x14ac:dyDescent="0.3">
      <c r="A75" s="27"/>
      <c r="B75" s="11" t="str">
        <f>CONCATENATE("          ", "6007", " - ", "STUDENT HOURLY")</f>
        <v xml:space="preserve">          6007 - STUDENT HOURLY</v>
      </c>
      <c r="C75" s="11"/>
      <c r="D75" s="6">
        <v>44217.89</v>
      </c>
      <c r="E75" s="2"/>
      <c r="F75" s="7">
        <f t="shared" si="22"/>
        <v>0.14261090453976163</v>
      </c>
      <c r="G75" s="2"/>
      <c r="H75" s="6">
        <v>28465.200000000001</v>
      </c>
      <c r="I75" s="2"/>
      <c r="J75" s="7">
        <f t="shared" si="23"/>
        <v>9.759519450330173E-2</v>
      </c>
      <c r="K75" s="2"/>
      <c r="L75" s="6">
        <f t="shared" si="24"/>
        <v>15752.689999999999</v>
      </c>
      <c r="M75" s="2"/>
      <c r="N75" s="7">
        <f t="shared" si="25"/>
        <v>0.55340169751134716</v>
      </c>
      <c r="O75" s="11"/>
      <c r="P75" s="6">
        <v>282236.28999999998</v>
      </c>
      <c r="Q75" s="2"/>
      <c r="R75" s="7">
        <f t="shared" si="26"/>
        <v>8.746531196620809E-2</v>
      </c>
      <c r="S75" s="2"/>
      <c r="T75" s="6">
        <v>187048.48</v>
      </c>
      <c r="U75" s="2"/>
      <c r="V75" s="7">
        <f t="shared" si="27"/>
        <v>4.0052247140967931E-2</v>
      </c>
      <c r="W75" s="2"/>
      <c r="X75" s="6">
        <f t="shared" si="28"/>
        <v>95187.809999999969</v>
      </c>
      <c r="Y75" s="2"/>
      <c r="Z75" s="7">
        <f t="shared" si="29"/>
        <v>0.50889379052959938</v>
      </c>
    </row>
    <row r="76" spans="1:26" s="24" customFormat="1" hidden="1" outlineLevel="2" x14ac:dyDescent="0.3">
      <c r="A76" s="27"/>
      <c r="B76" s="11" t="str">
        <f>CONCATENATE("          ", "6008", " - ", "STUDENT HOURLY-FICA EXEMPT")</f>
        <v xml:space="preserve">          6008 - STUDENT HOURLY-FICA EXEMPT</v>
      </c>
      <c r="C76" s="11"/>
      <c r="D76" s="6">
        <v>7061.93</v>
      </c>
      <c r="E76" s="2"/>
      <c r="F76" s="7">
        <f t="shared" si="22"/>
        <v>2.2776035335392054E-2</v>
      </c>
      <c r="G76" s="2"/>
      <c r="H76" s="6">
        <v>32829.3825</v>
      </c>
      <c r="I76" s="2"/>
      <c r="J76" s="7">
        <f t="shared" si="23"/>
        <v>0.11255814013289173</v>
      </c>
      <c r="K76" s="2"/>
      <c r="L76" s="6">
        <f t="shared" si="24"/>
        <v>-25767.452499999999</v>
      </c>
      <c r="M76" s="2"/>
      <c r="N76" s="7">
        <f t="shared" si="25"/>
        <v>-0.78488995338246159</v>
      </c>
      <c r="O76" s="11"/>
      <c r="P76" s="6">
        <v>50705.67</v>
      </c>
      <c r="Q76" s="2"/>
      <c r="R76" s="7">
        <f t="shared" si="26"/>
        <v>1.571373846008817E-2</v>
      </c>
      <c r="S76" s="2"/>
      <c r="T76" s="6">
        <v>252952.82</v>
      </c>
      <c r="U76" s="2"/>
      <c r="V76" s="7">
        <f t="shared" si="27"/>
        <v>5.4164187068746962E-2</v>
      </c>
      <c r="W76" s="2"/>
      <c r="X76" s="6">
        <f t="shared" si="28"/>
        <v>-202247.15000000002</v>
      </c>
      <c r="Y76" s="2"/>
      <c r="Z76" s="7">
        <f t="shared" si="29"/>
        <v>-0.79954495071452458</v>
      </c>
    </row>
    <row r="77" spans="1:26" s="24" customFormat="1" hidden="1" outlineLevel="2" x14ac:dyDescent="0.3">
      <c r="A77" s="27"/>
      <c r="B77" s="11" t="str">
        <f>CONCATENATE("          ", "6009", " - ", "TEMPORARY-SEASONAL")</f>
        <v xml:space="preserve">          6009 - TEMPORARY-SEASONAL</v>
      </c>
      <c r="C77" s="11"/>
      <c r="D77" s="6"/>
      <c r="E77" s="2"/>
      <c r="F77" s="7">
        <f t="shared" si="22"/>
        <v>0</v>
      </c>
      <c r="G77" s="2"/>
      <c r="H77" s="6">
        <v>0</v>
      </c>
      <c r="I77" s="2"/>
      <c r="J77" s="7">
        <f t="shared" si="23"/>
        <v>0</v>
      </c>
      <c r="K77" s="2"/>
      <c r="L77" s="6">
        <f t="shared" si="24"/>
        <v>0</v>
      </c>
      <c r="M77" s="2"/>
      <c r="N77" s="7">
        <f t="shared" si="25"/>
        <v>0</v>
      </c>
      <c r="O77" s="11"/>
      <c r="P77" s="6"/>
      <c r="Q77" s="2"/>
      <c r="R77" s="7">
        <f t="shared" si="26"/>
        <v>0</v>
      </c>
      <c r="S77" s="2"/>
      <c r="T77" s="6">
        <v>0</v>
      </c>
      <c r="U77" s="2"/>
      <c r="V77" s="7">
        <f t="shared" si="27"/>
        <v>0</v>
      </c>
      <c r="W77" s="2"/>
      <c r="X77" s="6">
        <f t="shared" si="28"/>
        <v>0</v>
      </c>
      <c r="Y77" s="2"/>
      <c r="Z77" s="7">
        <f t="shared" si="29"/>
        <v>0</v>
      </c>
    </row>
    <row r="78" spans="1:26" s="24" customFormat="1" hidden="1" outlineLevel="2" x14ac:dyDescent="0.3">
      <c r="A78" s="27"/>
      <c r="B78" s="11" t="str">
        <f>CONCATENATE("          ", "6010", " - ", "GRATUITY")</f>
        <v xml:space="preserve">          6010 - GRATUITY</v>
      </c>
      <c r="C78" s="11"/>
      <c r="D78" s="6"/>
      <c r="E78" s="2"/>
      <c r="F78" s="7">
        <f t="shared" si="22"/>
        <v>0</v>
      </c>
      <c r="G78" s="2"/>
      <c r="H78" s="6">
        <v>0</v>
      </c>
      <c r="I78" s="2"/>
      <c r="J78" s="7">
        <f t="shared" si="23"/>
        <v>0</v>
      </c>
      <c r="K78" s="2"/>
      <c r="L78" s="6">
        <f t="shared" si="24"/>
        <v>0</v>
      </c>
      <c r="M78" s="2"/>
      <c r="N78" s="7">
        <f t="shared" si="25"/>
        <v>0</v>
      </c>
      <c r="O78" s="11"/>
      <c r="P78" s="6"/>
      <c r="Q78" s="2"/>
      <c r="R78" s="7">
        <f t="shared" si="26"/>
        <v>0</v>
      </c>
      <c r="S78" s="2"/>
      <c r="T78" s="6">
        <v>0</v>
      </c>
      <c r="U78" s="2"/>
      <c r="V78" s="7">
        <f t="shared" si="27"/>
        <v>0</v>
      </c>
      <c r="W78" s="2"/>
      <c r="X78" s="6">
        <f t="shared" si="28"/>
        <v>0</v>
      </c>
      <c r="Y78" s="2"/>
      <c r="Z78" s="7">
        <f t="shared" si="29"/>
        <v>0</v>
      </c>
    </row>
    <row r="79" spans="1:26" s="29" customFormat="1" outlineLevel="1" collapsed="1" x14ac:dyDescent="0.3">
      <c r="A79" s="28"/>
      <c r="B79" s="14" t="str">
        <f>CONCATENATE("     ","Advertising/Promo                                 ")</f>
        <v xml:space="preserve">     Advertising/Promo                                 </v>
      </c>
      <c r="C79" s="14"/>
      <c r="D79" s="1">
        <f>SUM(OSRRefD22_2x_0)</f>
        <v>1685.96</v>
      </c>
      <c r="E79" s="1"/>
      <c r="F79" s="5">
        <f t="shared" ref="F79:F87" si="30">IF(D$12=0,0,D79/D$12)</f>
        <v>5.4375340075669947E-3</v>
      </c>
      <c r="G79" s="1"/>
      <c r="H79" s="1">
        <f>SUM(OSRRefH22_2x_0)</f>
        <v>300</v>
      </c>
      <c r="I79" s="1"/>
      <c r="J79" s="5">
        <f t="shared" ref="J79:J87" si="31">IF(H$12=0,0,H79/H$12)</f>
        <v>1.0285737795972104E-3</v>
      </c>
      <c r="K79" s="1"/>
      <c r="L79" s="1">
        <f t="shared" ref="L79:L87" si="32">+D79-H79</f>
        <v>1385.96</v>
      </c>
      <c r="M79" s="1"/>
      <c r="N79" s="5">
        <f t="shared" ref="N79:N87" si="33">IF(H79=0,0,L79/H79)</f>
        <v>4.6198666666666668</v>
      </c>
      <c r="O79" s="14"/>
      <c r="P79" s="1">
        <f>SUM(OSRRefP22_2x_0)</f>
        <v>4923.91</v>
      </c>
      <c r="Q79" s="1"/>
      <c r="R79" s="5">
        <f t="shared" ref="R79:R87" si="34">IF(P$12=0,0,P79/P$12)</f>
        <v>1.5259246932544772E-3</v>
      </c>
      <c r="S79" s="1"/>
      <c r="T79" s="1">
        <f>SUM(OSRRefT22_2x_0)</f>
        <v>4500</v>
      </c>
      <c r="U79" s="1"/>
      <c r="V79" s="5">
        <f t="shared" ref="V79:V87" si="35">IF(T$12=0,0,T79/T$12)</f>
        <v>9.6357432112977167E-4</v>
      </c>
      <c r="W79" s="1"/>
      <c r="X79" s="1">
        <f t="shared" ref="X79:X87" si="36">+P79-T79</f>
        <v>423.90999999999985</v>
      </c>
      <c r="Y79" s="1"/>
      <c r="Z79" s="5">
        <f t="shared" ref="Z79:Z87" si="37">IF(T79=0,0,X79/T79)</f>
        <v>9.4202222222222187E-2</v>
      </c>
    </row>
    <row r="80" spans="1:26" s="24" customFormat="1" hidden="1" outlineLevel="2" x14ac:dyDescent="0.3">
      <c r="A80" s="27"/>
      <c r="B80" s="11" t="str">
        <f>CONCATENATE("          ", "6362", " - ", "ADVERTISING EXPENSE")</f>
        <v xml:space="preserve">          6362 - ADVERTISING EXPENSE</v>
      </c>
      <c r="C80" s="11"/>
      <c r="D80" s="6">
        <v>1685.96</v>
      </c>
      <c r="E80" s="2"/>
      <c r="F80" s="7">
        <f t="shared" si="30"/>
        <v>5.4375340075669947E-3</v>
      </c>
      <c r="G80" s="2"/>
      <c r="H80" s="6">
        <v>300</v>
      </c>
      <c r="I80" s="2"/>
      <c r="J80" s="7">
        <f t="shared" si="31"/>
        <v>1.0285737795972104E-3</v>
      </c>
      <c r="K80" s="2"/>
      <c r="L80" s="6">
        <f t="shared" si="32"/>
        <v>1385.96</v>
      </c>
      <c r="M80" s="2"/>
      <c r="N80" s="7">
        <f t="shared" si="33"/>
        <v>4.6198666666666668</v>
      </c>
      <c r="O80" s="11"/>
      <c r="P80" s="6">
        <v>4923.91</v>
      </c>
      <c r="Q80" s="2"/>
      <c r="R80" s="7">
        <f t="shared" si="34"/>
        <v>1.5259246932544772E-3</v>
      </c>
      <c r="S80" s="2"/>
      <c r="T80" s="6">
        <v>4500</v>
      </c>
      <c r="U80" s="2"/>
      <c r="V80" s="7">
        <f t="shared" si="35"/>
        <v>9.6357432112977167E-4</v>
      </c>
      <c r="W80" s="2"/>
      <c r="X80" s="6">
        <f t="shared" si="36"/>
        <v>423.90999999999985</v>
      </c>
      <c r="Y80" s="2"/>
      <c r="Z80" s="7">
        <f t="shared" si="37"/>
        <v>9.4202222222222187E-2</v>
      </c>
    </row>
    <row r="81" spans="1:26" s="29" customFormat="1" outlineLevel="1" collapsed="1" x14ac:dyDescent="0.3">
      <c r="A81" s="28"/>
      <c r="B81" s="14" t="str">
        <f>CONCATENATE("     ","Bad Debts/Over/Short                              ")</f>
        <v xml:space="preserve">     Bad Debts/Over/Short                              </v>
      </c>
      <c r="C81" s="14"/>
      <c r="D81" s="1">
        <f>SUM(OSRRefD22_3x_0)</f>
        <v>-38.71</v>
      </c>
      <c r="E81" s="1"/>
      <c r="F81" s="5">
        <f t="shared" si="30"/>
        <v>-1.2484693672027707E-4</v>
      </c>
      <c r="G81" s="1"/>
      <c r="H81" s="1">
        <f>SUM(OSRRefH22_3x_0)</f>
        <v>235</v>
      </c>
      <c r="I81" s="1"/>
      <c r="J81" s="5">
        <f t="shared" si="31"/>
        <v>8.0571612735114823E-4</v>
      </c>
      <c r="K81" s="1"/>
      <c r="L81" s="1">
        <f t="shared" si="32"/>
        <v>-273.70999999999998</v>
      </c>
      <c r="M81" s="1"/>
      <c r="N81" s="5">
        <f t="shared" si="33"/>
        <v>-1.1647234042553192</v>
      </c>
      <c r="O81" s="14"/>
      <c r="P81" s="1">
        <f>SUM(OSRRefP22_3x_0)</f>
        <v>186.96</v>
      </c>
      <c r="Q81" s="1"/>
      <c r="R81" s="5">
        <f t="shared" si="34"/>
        <v>5.793909325126923E-5</v>
      </c>
      <c r="S81" s="1"/>
      <c r="T81" s="1">
        <f>SUM(OSRRefT22_3x_0)</f>
        <v>1175</v>
      </c>
      <c r="U81" s="1"/>
      <c r="V81" s="5">
        <f t="shared" si="35"/>
        <v>2.5159996162832924E-4</v>
      </c>
      <c r="W81" s="1"/>
      <c r="X81" s="1">
        <f t="shared" si="36"/>
        <v>-988.04</v>
      </c>
      <c r="Y81" s="1"/>
      <c r="Z81" s="5">
        <f t="shared" si="37"/>
        <v>-0.84088510638297864</v>
      </c>
    </row>
    <row r="82" spans="1:26" s="24" customFormat="1" hidden="1" outlineLevel="2" x14ac:dyDescent="0.3">
      <c r="A82" s="27"/>
      <c r="B82" s="11" t="str">
        <f>CONCATENATE("          ", "6272", " - ", "CASH (OVER/SHORT)")</f>
        <v xml:space="preserve">          6272 - CASH (OVER/SHORT)</v>
      </c>
      <c r="C82" s="11"/>
      <c r="D82" s="6">
        <v>-38.71</v>
      </c>
      <c r="E82" s="2"/>
      <c r="F82" s="7">
        <f t="shared" si="30"/>
        <v>-1.2484693672027707E-4</v>
      </c>
      <c r="G82" s="2"/>
      <c r="H82" s="6">
        <v>235</v>
      </c>
      <c r="I82" s="2"/>
      <c r="J82" s="7">
        <f t="shared" si="31"/>
        <v>8.0571612735114823E-4</v>
      </c>
      <c r="K82" s="2"/>
      <c r="L82" s="6">
        <f t="shared" si="32"/>
        <v>-273.70999999999998</v>
      </c>
      <c r="M82" s="2"/>
      <c r="N82" s="7">
        <f t="shared" si="33"/>
        <v>-1.1647234042553192</v>
      </c>
      <c r="O82" s="11"/>
      <c r="P82" s="6">
        <v>186.96</v>
      </c>
      <c r="Q82" s="2"/>
      <c r="R82" s="7">
        <f t="shared" si="34"/>
        <v>5.793909325126923E-5</v>
      </c>
      <c r="S82" s="2"/>
      <c r="T82" s="6">
        <v>1175</v>
      </c>
      <c r="U82" s="2"/>
      <c r="V82" s="7">
        <f t="shared" si="35"/>
        <v>2.5159996162832924E-4</v>
      </c>
      <c r="W82" s="2"/>
      <c r="X82" s="6">
        <f t="shared" si="36"/>
        <v>-988.04</v>
      </c>
      <c r="Y82" s="2"/>
      <c r="Z82" s="7">
        <f t="shared" si="37"/>
        <v>-0.84088510638297864</v>
      </c>
    </row>
    <row r="83" spans="1:26" s="29" customFormat="1" outlineLevel="1" collapsed="1" x14ac:dyDescent="0.3">
      <c r="A83" s="28"/>
      <c r="B83" s="14" t="str">
        <f>CONCATENATE("     ","Bank/card Fees                                    ")</f>
        <v xml:space="preserve">     Bank/card Fees                                    </v>
      </c>
      <c r="C83" s="14"/>
      <c r="D83" s="1">
        <f>SUM(OSRRefD22_4x_0)</f>
        <v>8597.08</v>
      </c>
      <c r="E83" s="1"/>
      <c r="F83" s="5">
        <f t="shared" si="30"/>
        <v>2.7727179094269173E-2</v>
      </c>
      <c r="G83" s="1"/>
      <c r="H83" s="1">
        <f>SUM(OSRRefH22_4x_0)</f>
        <v>8152.5</v>
      </c>
      <c r="I83" s="1"/>
      <c r="J83" s="5">
        <f t="shared" si="31"/>
        <v>2.7951492460554197E-2</v>
      </c>
      <c r="K83" s="1"/>
      <c r="L83" s="1">
        <f t="shared" si="32"/>
        <v>444.57999999999993</v>
      </c>
      <c r="M83" s="1"/>
      <c r="N83" s="5">
        <f t="shared" si="33"/>
        <v>5.4532965348052735E-2</v>
      </c>
      <c r="O83" s="14"/>
      <c r="P83" s="1">
        <f>SUM(OSRRefP22_4x_0)</f>
        <v>61577.760000000002</v>
      </c>
      <c r="Q83" s="1"/>
      <c r="R83" s="5">
        <f t="shared" si="34"/>
        <v>1.9083010156419965E-2</v>
      </c>
      <c r="S83" s="1"/>
      <c r="T83" s="1">
        <f>SUM(OSRRefT22_4x_0)</f>
        <v>98109.75</v>
      </c>
      <c r="U83" s="1"/>
      <c r="V83" s="5">
        <f t="shared" si="35"/>
        <v>2.1008007944991469E-2</v>
      </c>
      <c r="W83" s="1"/>
      <c r="X83" s="1">
        <f t="shared" si="36"/>
        <v>-36531.99</v>
      </c>
      <c r="Y83" s="1"/>
      <c r="Z83" s="5">
        <f t="shared" si="37"/>
        <v>-0.3723584047457057</v>
      </c>
    </row>
    <row r="84" spans="1:26" s="24" customFormat="1" hidden="1" outlineLevel="2" x14ac:dyDescent="0.3">
      <c r="A84" s="27"/>
      <c r="B84" s="11" t="str">
        <f>CONCATENATE("          ", "6381", " - ", "BANK/CREDIT CARD FEES")</f>
        <v xml:space="preserve">          6381 - BANK/CREDIT CARD FEES</v>
      </c>
      <c r="C84" s="11"/>
      <c r="D84" s="6">
        <v>8597.08</v>
      </c>
      <c r="E84" s="2"/>
      <c r="F84" s="7">
        <f t="shared" si="30"/>
        <v>2.7727179094269173E-2</v>
      </c>
      <c r="G84" s="2"/>
      <c r="H84" s="6">
        <v>8152.5</v>
      </c>
      <c r="I84" s="2"/>
      <c r="J84" s="7">
        <f t="shared" si="31"/>
        <v>2.7951492460554197E-2</v>
      </c>
      <c r="K84" s="2"/>
      <c r="L84" s="6">
        <f t="shared" si="32"/>
        <v>444.57999999999993</v>
      </c>
      <c r="M84" s="2"/>
      <c r="N84" s="7">
        <f t="shared" si="33"/>
        <v>5.4532965348052735E-2</v>
      </c>
      <c r="O84" s="11"/>
      <c r="P84" s="6">
        <v>61577.760000000002</v>
      </c>
      <c r="Q84" s="2"/>
      <c r="R84" s="7">
        <f t="shared" si="34"/>
        <v>1.9083010156419965E-2</v>
      </c>
      <c r="S84" s="2"/>
      <c r="T84" s="6">
        <v>98109.75</v>
      </c>
      <c r="U84" s="2"/>
      <c r="V84" s="7">
        <f t="shared" si="35"/>
        <v>2.1008007944991469E-2</v>
      </c>
      <c r="W84" s="2"/>
      <c r="X84" s="6">
        <f t="shared" si="36"/>
        <v>-36531.99</v>
      </c>
      <c r="Y84" s="2"/>
      <c r="Z84" s="7">
        <f t="shared" si="37"/>
        <v>-0.3723584047457057</v>
      </c>
    </row>
    <row r="85" spans="1:26" s="29" customFormat="1" outlineLevel="1" collapsed="1" x14ac:dyDescent="0.3">
      <c r="A85" s="28"/>
      <c r="B85" s="14" t="str">
        <f>CONCATENATE("     ","Depreciation                                      ")</f>
        <v xml:space="preserve">     Depreciation                                      </v>
      </c>
      <c r="C85" s="14"/>
      <c r="D85" s="1">
        <f>SUM(OSRRefD22_5x_0)</f>
        <v>36939.599999999999</v>
      </c>
      <c r="E85" s="1"/>
      <c r="F85" s="5">
        <f t="shared" si="30"/>
        <v>0.11913706803596867</v>
      </c>
      <c r="G85" s="1"/>
      <c r="H85" s="1">
        <f>SUM(OSRRefH22_5x_0)</f>
        <v>36818</v>
      </c>
      <c r="I85" s="1"/>
      <c r="J85" s="5">
        <f t="shared" si="31"/>
        <v>0.12623343139070031</v>
      </c>
      <c r="K85" s="1"/>
      <c r="L85" s="1">
        <f t="shared" si="32"/>
        <v>121.59999999999854</v>
      </c>
      <c r="M85" s="1"/>
      <c r="N85" s="5">
        <f t="shared" si="33"/>
        <v>3.3027323591721044E-3</v>
      </c>
      <c r="O85" s="14"/>
      <c r="P85" s="1">
        <f>SUM(OSRRefP22_5x_0)</f>
        <v>187447.86</v>
      </c>
      <c r="Q85" s="1"/>
      <c r="R85" s="5">
        <f t="shared" si="34"/>
        <v>5.8090281559108142E-2</v>
      </c>
      <c r="S85" s="1"/>
      <c r="T85" s="1">
        <f>SUM(OSRRefT22_5x_0)</f>
        <v>186837</v>
      </c>
      <c r="U85" s="1"/>
      <c r="V85" s="5">
        <f t="shared" si="35"/>
        <v>4.0006963430427367E-2</v>
      </c>
      <c r="W85" s="1"/>
      <c r="X85" s="1">
        <f t="shared" si="36"/>
        <v>610.85999999998603</v>
      </c>
      <c r="Y85" s="1"/>
      <c r="Z85" s="5">
        <f t="shared" si="37"/>
        <v>3.2694808844071894E-3</v>
      </c>
    </row>
    <row r="86" spans="1:26" s="24" customFormat="1" hidden="1" outlineLevel="2" x14ac:dyDescent="0.3">
      <c r="A86" s="27"/>
      <c r="B86" s="11" t="str">
        <f>CONCATENATE("          ", "6321", " - ", "BUILDING DEPRECIATION")</f>
        <v xml:space="preserve">          6321 - BUILDING DEPRECIATION</v>
      </c>
      <c r="C86" s="11"/>
      <c r="D86" s="6">
        <v>21477.03</v>
      </c>
      <c r="E86" s="2"/>
      <c r="F86" s="7">
        <f t="shared" si="30"/>
        <v>6.9267409076452915E-2</v>
      </c>
      <c r="G86" s="2"/>
      <c r="H86" s="6"/>
      <c r="I86" s="2"/>
      <c r="J86" s="7">
        <f t="shared" si="31"/>
        <v>0</v>
      </c>
      <c r="K86" s="2"/>
      <c r="L86" s="6">
        <f t="shared" si="32"/>
        <v>21477.03</v>
      </c>
      <c r="M86" s="2"/>
      <c r="N86" s="7">
        <f t="shared" si="33"/>
        <v>0</v>
      </c>
      <c r="O86" s="11"/>
      <c r="P86" s="6">
        <v>107385.15</v>
      </c>
      <c r="Q86" s="2"/>
      <c r="R86" s="7">
        <f t="shared" si="34"/>
        <v>3.327876668619776E-2</v>
      </c>
      <c r="S86" s="2"/>
      <c r="T86" s="6"/>
      <c r="U86" s="2"/>
      <c r="V86" s="7">
        <f t="shared" si="35"/>
        <v>0</v>
      </c>
      <c r="W86" s="2"/>
      <c r="X86" s="6">
        <f t="shared" si="36"/>
        <v>107385.15</v>
      </c>
      <c r="Y86" s="2"/>
      <c r="Z86" s="7">
        <f t="shared" si="37"/>
        <v>0</v>
      </c>
    </row>
    <row r="87" spans="1:26" s="24" customFormat="1" hidden="1" outlineLevel="2" x14ac:dyDescent="0.3">
      <c r="A87" s="27"/>
      <c r="B87" s="11" t="str">
        <f>CONCATENATE("          ", "6322", " - ", "EQUIPMENT DEPRECIATION EXPENSE")</f>
        <v xml:space="preserve">          6322 - EQUIPMENT DEPRECIATION EXPENSE</v>
      </c>
      <c r="C87" s="11"/>
      <c r="D87" s="6">
        <v>15462.57</v>
      </c>
      <c r="E87" s="2"/>
      <c r="F87" s="7">
        <f t="shared" si="30"/>
        <v>4.9869658959515756E-2</v>
      </c>
      <c r="G87" s="2"/>
      <c r="H87" s="6">
        <v>36818</v>
      </c>
      <c r="I87" s="2"/>
      <c r="J87" s="7">
        <f t="shared" si="31"/>
        <v>0.12623343139070031</v>
      </c>
      <c r="K87" s="2"/>
      <c r="L87" s="6">
        <f t="shared" si="32"/>
        <v>-21355.43</v>
      </c>
      <c r="M87" s="2"/>
      <c r="N87" s="7">
        <f t="shared" si="33"/>
        <v>-0.58002688902167421</v>
      </c>
      <c r="O87" s="11"/>
      <c r="P87" s="6">
        <v>80062.710000000006</v>
      </c>
      <c r="Q87" s="2"/>
      <c r="R87" s="7">
        <f t="shared" si="34"/>
        <v>2.4811514872910386E-2</v>
      </c>
      <c r="S87" s="2"/>
      <c r="T87" s="6">
        <v>186837</v>
      </c>
      <c r="U87" s="2"/>
      <c r="V87" s="7">
        <f t="shared" si="35"/>
        <v>4.0006963430427367E-2</v>
      </c>
      <c r="W87" s="2"/>
      <c r="X87" s="6">
        <f t="shared" si="36"/>
        <v>-106774.29</v>
      </c>
      <c r="Y87" s="2"/>
      <c r="Z87" s="7">
        <f t="shared" si="37"/>
        <v>-0.57148364617286718</v>
      </c>
    </row>
    <row r="88" spans="1:26" s="29" customFormat="1" outlineLevel="1" collapsed="1" x14ac:dyDescent="0.3">
      <c r="A88" s="28"/>
      <c r="B88" s="14" t="str">
        <f>CONCATENATE("     ","Discounts and Markdowns                           ")</f>
        <v xml:space="preserve">     Discounts and Markdowns                           </v>
      </c>
      <c r="C88" s="14"/>
      <c r="D88" s="1">
        <f>SUM(OSRRefD22_6x_0)</f>
        <v>3409.87</v>
      </c>
      <c r="E88" s="1"/>
      <c r="F88" s="5">
        <f t="shared" ref="F88:F90" si="38">IF(D$12=0,0,D88/D$12)</f>
        <v>1.0997463810756166E-2</v>
      </c>
      <c r="G88" s="1"/>
      <c r="H88" s="1">
        <f>SUM(OSRRefH22_6x_0)</f>
        <v>0</v>
      </c>
      <c r="I88" s="1"/>
      <c r="J88" s="5">
        <f t="shared" ref="J88:J90" si="39">IF(H$12=0,0,H88/H$12)</f>
        <v>0</v>
      </c>
      <c r="K88" s="1"/>
      <c r="L88" s="1">
        <f t="shared" ref="L88:L90" si="40">+D88-H88</f>
        <v>3409.87</v>
      </c>
      <c r="M88" s="1"/>
      <c r="N88" s="5">
        <f t="shared" ref="N88:N90" si="41">IF(H88=0,0,L88/H88)</f>
        <v>0</v>
      </c>
      <c r="O88" s="14"/>
      <c r="P88" s="1">
        <f>SUM(OSRRefP22_6x_0)</f>
        <v>3343.63</v>
      </c>
      <c r="Q88" s="1"/>
      <c r="R88" s="5">
        <f t="shared" ref="R88:R90" si="42">IF(P$12=0,0,P88/P$12)</f>
        <v>1.0361943216075167E-3</v>
      </c>
      <c r="S88" s="1"/>
      <c r="T88" s="1">
        <f>SUM(OSRRefT22_6x_0)</f>
        <v>0</v>
      </c>
      <c r="U88" s="1"/>
      <c r="V88" s="5">
        <f t="shared" ref="V88:V90" si="43">IF(T$12=0,0,T88/T$12)</f>
        <v>0</v>
      </c>
      <c r="W88" s="1"/>
      <c r="X88" s="1">
        <f t="shared" ref="X88:X90" si="44">+P88-T88</f>
        <v>3343.63</v>
      </c>
      <c r="Y88" s="1"/>
      <c r="Z88" s="5">
        <f t="shared" ref="Z88:Z90" si="45">IF(T88=0,0,X88/T88)</f>
        <v>0</v>
      </c>
    </row>
    <row r="89" spans="1:26" s="24" customFormat="1" hidden="1" outlineLevel="2" x14ac:dyDescent="0.3">
      <c r="A89" s="27"/>
      <c r="B89" s="11" t="str">
        <f>CONCATENATE("          ", "6382", " - ", "DISCOUNTS/MARK DOWNS")</f>
        <v xml:space="preserve">          6382 - DISCOUNTS/MARK DOWNS</v>
      </c>
      <c r="C89" s="11"/>
      <c r="D89" s="6">
        <v>3410</v>
      </c>
      <c r="E89" s="2"/>
      <c r="F89" s="7">
        <f t="shared" si="38"/>
        <v>1.0997883084891368E-2</v>
      </c>
      <c r="G89" s="2"/>
      <c r="H89" s="6"/>
      <c r="I89" s="2"/>
      <c r="J89" s="7">
        <f t="shared" si="39"/>
        <v>0</v>
      </c>
      <c r="K89" s="2"/>
      <c r="L89" s="6">
        <f t="shared" si="40"/>
        <v>3410</v>
      </c>
      <c r="M89" s="2"/>
      <c r="N89" s="7">
        <f t="shared" si="41"/>
        <v>0</v>
      </c>
      <c r="O89" s="11"/>
      <c r="P89" s="6">
        <v>3410</v>
      </c>
      <c r="Q89" s="2"/>
      <c r="R89" s="7">
        <f t="shared" si="42"/>
        <v>1.0567624517909076E-3</v>
      </c>
      <c r="S89" s="2"/>
      <c r="T89" s="6">
        <v>0</v>
      </c>
      <c r="U89" s="2"/>
      <c r="V89" s="7">
        <f t="shared" si="43"/>
        <v>0</v>
      </c>
      <c r="W89" s="2"/>
      <c r="X89" s="6">
        <f t="shared" si="44"/>
        <v>3410</v>
      </c>
      <c r="Y89" s="2"/>
      <c r="Z89" s="7">
        <f t="shared" si="45"/>
        <v>0</v>
      </c>
    </row>
    <row r="90" spans="1:26" s="24" customFormat="1" hidden="1" outlineLevel="2" x14ac:dyDescent="0.3">
      <c r="A90" s="27"/>
      <c r="B90" s="11" t="str">
        <f>CONCATENATE("          ", "9175", " - ", "EARNED DISCOUNTS")</f>
        <v xml:space="preserve">          9175 - EARNED DISCOUNTS</v>
      </c>
      <c r="C90" s="11"/>
      <c r="D90" s="6">
        <v>-0.13</v>
      </c>
      <c r="E90" s="2"/>
      <c r="F90" s="7">
        <f t="shared" si="38"/>
        <v>-4.1927413520113722E-7</v>
      </c>
      <c r="G90" s="2"/>
      <c r="H90" s="6"/>
      <c r="I90" s="2"/>
      <c r="J90" s="7">
        <f t="shared" si="39"/>
        <v>0</v>
      </c>
      <c r="K90" s="2"/>
      <c r="L90" s="6">
        <f t="shared" si="40"/>
        <v>-0.13</v>
      </c>
      <c r="M90" s="2"/>
      <c r="N90" s="7">
        <f t="shared" si="41"/>
        <v>0</v>
      </c>
      <c r="O90" s="11"/>
      <c r="P90" s="6">
        <v>-66.37</v>
      </c>
      <c r="Q90" s="2"/>
      <c r="R90" s="7">
        <f t="shared" si="42"/>
        <v>-2.0568130183390774E-5</v>
      </c>
      <c r="S90" s="2"/>
      <c r="T90" s="6"/>
      <c r="U90" s="2"/>
      <c r="V90" s="7">
        <f t="shared" si="43"/>
        <v>0</v>
      </c>
      <c r="W90" s="2"/>
      <c r="X90" s="6">
        <f t="shared" si="44"/>
        <v>-66.37</v>
      </c>
      <c r="Y90" s="2"/>
      <c r="Z90" s="7">
        <f t="shared" si="45"/>
        <v>0</v>
      </c>
    </row>
    <row r="91" spans="1:26" s="29" customFormat="1" outlineLevel="1" collapsed="1" x14ac:dyDescent="0.3">
      <c r="A91" s="28"/>
      <c r="B91" s="14" t="str">
        <f>CONCATENATE("     ","Donations                                         ")</f>
        <v xml:space="preserve">     Donations                                         </v>
      </c>
      <c r="C91" s="14"/>
      <c r="D91" s="1">
        <f>SUM(OSRRefD22_7x_0)</f>
        <v>1336.74</v>
      </c>
      <c r="E91" s="1"/>
      <c r="F91" s="5">
        <f t="shared" ref="F91:F99" si="46">IF(D$12=0,0,D91/D$12)</f>
        <v>4.3112346729905241E-3</v>
      </c>
      <c r="G91" s="1"/>
      <c r="H91" s="1">
        <f>SUM(OSRRefH22_7x_0)</f>
        <v>1250</v>
      </c>
      <c r="I91" s="1"/>
      <c r="J91" s="5">
        <f t="shared" ref="J91:J99" si="47">IF(H$12=0,0,H91/H$12)</f>
        <v>4.2857240816550441E-3</v>
      </c>
      <c r="K91" s="1"/>
      <c r="L91" s="1">
        <f t="shared" ref="L91:L99" si="48">+D91-H91</f>
        <v>86.740000000000009</v>
      </c>
      <c r="M91" s="1"/>
      <c r="N91" s="5">
        <f t="shared" ref="N91:N99" si="49">IF(H91=0,0,L91/H91)</f>
        <v>6.9392000000000009E-2</v>
      </c>
      <c r="O91" s="14"/>
      <c r="P91" s="1">
        <f>SUM(OSRRefP22_7x_0)</f>
        <v>2820.22</v>
      </c>
      <c r="Q91" s="1"/>
      <c r="R91" s="5">
        <f t="shared" ref="R91:R99" si="50">IF(P$12=0,0,P91/P$12)</f>
        <v>8.7398903278291878E-4</v>
      </c>
      <c r="S91" s="1"/>
      <c r="T91" s="1">
        <f>SUM(OSRRefT22_7x_0)</f>
        <v>6250</v>
      </c>
      <c r="U91" s="1"/>
      <c r="V91" s="5">
        <f t="shared" ref="V91:V99" si="51">IF(T$12=0,0,T91/T$12)</f>
        <v>1.338297668235794E-3</v>
      </c>
      <c r="W91" s="1"/>
      <c r="X91" s="1">
        <f t="shared" ref="X91:X99" si="52">+P91-T91</f>
        <v>-3429.78</v>
      </c>
      <c r="Y91" s="1"/>
      <c r="Z91" s="5">
        <f t="shared" ref="Z91:Z99" si="53">IF(T91=0,0,X91/T91)</f>
        <v>-0.54876480000000005</v>
      </c>
    </row>
    <row r="92" spans="1:26" s="24" customFormat="1" hidden="1" outlineLevel="2" x14ac:dyDescent="0.3">
      <c r="A92" s="27"/>
      <c r="B92" s="11" t="str">
        <f>CONCATENATE("          ", "6399", " - ", "DONATION-ON CAMPUS")</f>
        <v xml:space="preserve">          6399 - DONATION-ON CAMPUS</v>
      </c>
      <c r="C92" s="11"/>
      <c r="D92" s="6">
        <v>1336.74</v>
      </c>
      <c r="E92" s="2"/>
      <c r="F92" s="7">
        <f t="shared" si="46"/>
        <v>4.3112346729905241E-3</v>
      </c>
      <c r="G92" s="2"/>
      <c r="H92" s="6">
        <v>1250</v>
      </c>
      <c r="I92" s="2"/>
      <c r="J92" s="7">
        <f t="shared" si="47"/>
        <v>4.2857240816550441E-3</v>
      </c>
      <c r="K92" s="2"/>
      <c r="L92" s="6">
        <f t="shared" si="48"/>
        <v>86.740000000000009</v>
      </c>
      <c r="M92" s="2"/>
      <c r="N92" s="7">
        <f t="shared" si="49"/>
        <v>6.9392000000000009E-2</v>
      </c>
      <c r="O92" s="11"/>
      <c r="P92" s="6">
        <v>2820.22</v>
      </c>
      <c r="Q92" s="2"/>
      <c r="R92" s="7">
        <f t="shared" si="50"/>
        <v>8.7398903278291878E-4</v>
      </c>
      <c r="S92" s="2"/>
      <c r="T92" s="6">
        <v>6250</v>
      </c>
      <c r="U92" s="2"/>
      <c r="V92" s="7">
        <f t="shared" si="51"/>
        <v>1.338297668235794E-3</v>
      </c>
      <c r="W92" s="2"/>
      <c r="X92" s="6">
        <f t="shared" si="52"/>
        <v>-3429.78</v>
      </c>
      <c r="Y92" s="2"/>
      <c r="Z92" s="7">
        <f t="shared" si="53"/>
        <v>-0.54876480000000005</v>
      </c>
    </row>
    <row r="93" spans="1:26" s="29" customFormat="1" outlineLevel="1" collapsed="1" x14ac:dyDescent="0.3">
      <c r="A93" s="28"/>
      <c r="B93" s="14" t="str">
        <f>CONCATENATE("     ","Employees' Appreciation                           ")</f>
        <v xml:space="preserve">     Employees' Appreciation                           </v>
      </c>
      <c r="C93" s="14"/>
      <c r="D93" s="1">
        <f>SUM(OSRRefD22_8x_0)</f>
        <v>490.02</v>
      </c>
      <c r="E93" s="1"/>
      <c r="F93" s="5">
        <f t="shared" si="46"/>
        <v>1.5804054748558556E-3</v>
      </c>
      <c r="G93" s="1"/>
      <c r="H93" s="1">
        <f>SUM(OSRRefH22_8x_0)</f>
        <v>225</v>
      </c>
      <c r="I93" s="1"/>
      <c r="J93" s="5">
        <f t="shared" si="47"/>
        <v>7.7143033469790788E-4</v>
      </c>
      <c r="K93" s="1"/>
      <c r="L93" s="1">
        <f t="shared" si="48"/>
        <v>265.02</v>
      </c>
      <c r="M93" s="1"/>
      <c r="N93" s="5">
        <f t="shared" si="49"/>
        <v>1.1778666666666666</v>
      </c>
      <c r="O93" s="14"/>
      <c r="P93" s="1">
        <f>SUM(OSRRefP22_8x_0)</f>
        <v>1874.65</v>
      </c>
      <c r="Q93" s="1"/>
      <c r="R93" s="5">
        <f t="shared" si="50"/>
        <v>5.8095593262458213E-4</v>
      </c>
      <c r="S93" s="1"/>
      <c r="T93" s="1">
        <f>SUM(OSRRefT22_8x_0)</f>
        <v>1125</v>
      </c>
      <c r="U93" s="1"/>
      <c r="V93" s="5">
        <f t="shared" si="51"/>
        <v>2.4089358028244292E-4</v>
      </c>
      <c r="W93" s="1"/>
      <c r="X93" s="1">
        <f t="shared" si="52"/>
        <v>749.65000000000009</v>
      </c>
      <c r="Y93" s="1"/>
      <c r="Z93" s="5">
        <f t="shared" si="53"/>
        <v>0.66635555555555559</v>
      </c>
    </row>
    <row r="94" spans="1:26" s="24" customFormat="1" hidden="1" outlineLevel="2" x14ac:dyDescent="0.3">
      <c r="A94" s="27"/>
      <c r="B94" s="11" t="str">
        <f>CONCATENATE("          ", "6277", " - ", "EMPLOYEE APPRECIATION")</f>
        <v xml:space="preserve">          6277 - EMPLOYEE APPRECIATION</v>
      </c>
      <c r="C94" s="11"/>
      <c r="D94" s="6">
        <v>490.02</v>
      </c>
      <c r="E94" s="2"/>
      <c r="F94" s="7">
        <f t="shared" si="46"/>
        <v>1.5804054748558556E-3</v>
      </c>
      <c r="G94" s="2"/>
      <c r="H94" s="6">
        <v>225</v>
      </c>
      <c r="I94" s="2"/>
      <c r="J94" s="7">
        <f t="shared" si="47"/>
        <v>7.7143033469790788E-4</v>
      </c>
      <c r="K94" s="2"/>
      <c r="L94" s="6">
        <f t="shared" si="48"/>
        <v>265.02</v>
      </c>
      <c r="M94" s="2"/>
      <c r="N94" s="7">
        <f t="shared" si="49"/>
        <v>1.1778666666666666</v>
      </c>
      <c r="O94" s="11"/>
      <c r="P94" s="6">
        <v>1874.65</v>
      </c>
      <c r="Q94" s="2"/>
      <c r="R94" s="7">
        <f t="shared" si="50"/>
        <v>5.8095593262458213E-4</v>
      </c>
      <c r="S94" s="2"/>
      <c r="T94" s="6">
        <v>1125</v>
      </c>
      <c r="U94" s="2"/>
      <c r="V94" s="7">
        <f t="shared" si="51"/>
        <v>2.4089358028244292E-4</v>
      </c>
      <c r="W94" s="2"/>
      <c r="X94" s="6">
        <f t="shared" si="52"/>
        <v>749.65000000000009</v>
      </c>
      <c r="Y94" s="2"/>
      <c r="Z94" s="7">
        <f t="shared" si="53"/>
        <v>0.66635555555555559</v>
      </c>
    </row>
    <row r="95" spans="1:26" s="29" customFormat="1" outlineLevel="1" collapsed="1" x14ac:dyDescent="0.3">
      <c r="A95" s="28"/>
      <c r="B95" s="14" t="str">
        <f>CONCATENATE("     ","Equipment Rental                                  ")</f>
        <v xml:space="preserve">     Equipment Rental                                  </v>
      </c>
      <c r="C95" s="14"/>
      <c r="D95" s="1">
        <f>SUM(OSRRefD22_9x_0)</f>
        <v>1712.05</v>
      </c>
      <c r="E95" s="1"/>
      <c r="F95" s="5">
        <f t="shared" si="46"/>
        <v>5.521679101316207E-3</v>
      </c>
      <c r="G95" s="1"/>
      <c r="H95" s="1">
        <f>SUM(OSRRefH22_9x_0)</f>
        <v>1876</v>
      </c>
      <c r="I95" s="1"/>
      <c r="J95" s="5">
        <f t="shared" si="47"/>
        <v>6.4320147017478896E-3</v>
      </c>
      <c r="K95" s="1"/>
      <c r="L95" s="1">
        <f t="shared" si="48"/>
        <v>-163.95000000000005</v>
      </c>
      <c r="M95" s="1"/>
      <c r="N95" s="5">
        <f t="shared" si="49"/>
        <v>-8.739339019189768E-2</v>
      </c>
      <c r="O95" s="14"/>
      <c r="P95" s="1">
        <f>SUM(OSRRefP22_9x_0)</f>
        <v>8323.4500000000007</v>
      </c>
      <c r="Q95" s="1"/>
      <c r="R95" s="5">
        <f t="shared" si="50"/>
        <v>2.5794455804571937E-3</v>
      </c>
      <c r="S95" s="1"/>
      <c r="T95" s="1">
        <f>SUM(OSRRefT22_9x_0)</f>
        <v>9180</v>
      </c>
      <c r="U95" s="1"/>
      <c r="V95" s="5">
        <f t="shared" si="51"/>
        <v>1.965691615104734E-3</v>
      </c>
      <c r="W95" s="1"/>
      <c r="X95" s="1">
        <f t="shared" si="52"/>
        <v>-856.54999999999927</v>
      </c>
      <c r="Y95" s="1"/>
      <c r="Z95" s="5">
        <f t="shared" si="53"/>
        <v>-9.330610021786484E-2</v>
      </c>
    </row>
    <row r="96" spans="1:26" s="24" customFormat="1" hidden="1" outlineLevel="2" x14ac:dyDescent="0.3">
      <c r="A96" s="27"/>
      <c r="B96" s="11" t="str">
        <f>CONCATENATE("          ", "6351", " - ", "EQUIPMENT RENTAL")</f>
        <v xml:space="preserve">          6351 - EQUIPMENT RENTAL</v>
      </c>
      <c r="C96" s="11"/>
      <c r="D96" s="6">
        <v>1712.05</v>
      </c>
      <c r="E96" s="2"/>
      <c r="F96" s="7">
        <f t="shared" si="46"/>
        <v>5.521679101316207E-3</v>
      </c>
      <c r="G96" s="2"/>
      <c r="H96" s="6">
        <v>1876</v>
      </c>
      <c r="I96" s="2"/>
      <c r="J96" s="7">
        <f t="shared" si="47"/>
        <v>6.4320147017478896E-3</v>
      </c>
      <c r="K96" s="2"/>
      <c r="L96" s="6">
        <f t="shared" si="48"/>
        <v>-163.95000000000005</v>
      </c>
      <c r="M96" s="2"/>
      <c r="N96" s="7">
        <f t="shared" si="49"/>
        <v>-8.739339019189768E-2</v>
      </c>
      <c r="O96" s="11"/>
      <c r="P96" s="6">
        <v>8323.4500000000007</v>
      </c>
      <c r="Q96" s="2"/>
      <c r="R96" s="7">
        <f t="shared" si="50"/>
        <v>2.5794455804571937E-3</v>
      </c>
      <c r="S96" s="2"/>
      <c r="T96" s="6">
        <v>9180</v>
      </c>
      <c r="U96" s="2"/>
      <c r="V96" s="7">
        <f t="shared" si="51"/>
        <v>1.965691615104734E-3</v>
      </c>
      <c r="W96" s="2"/>
      <c r="X96" s="6">
        <f t="shared" si="52"/>
        <v>-856.54999999999927</v>
      </c>
      <c r="Y96" s="2"/>
      <c r="Z96" s="7">
        <f t="shared" si="53"/>
        <v>-9.330610021786484E-2</v>
      </c>
    </row>
    <row r="97" spans="1:26" s="29" customFormat="1" outlineLevel="1" collapsed="1" x14ac:dyDescent="0.3">
      <c r="A97" s="28"/>
      <c r="B97" s="14" t="str">
        <f>CONCATENATE("     ","Freight out/Postage                               ")</f>
        <v xml:space="preserve">     Freight out/Postage                               </v>
      </c>
      <c r="C97" s="14"/>
      <c r="D97" s="1">
        <f>SUM(OSRRefD22_10x_0)</f>
        <v>5663.0599999999995</v>
      </c>
      <c r="E97" s="1"/>
      <c r="F97" s="5">
        <f t="shared" si="46"/>
        <v>1.8264419877631936E-2</v>
      </c>
      <c r="G97" s="1"/>
      <c r="H97" s="1">
        <f>SUM(OSRRefH22_10x_0)</f>
        <v>10650</v>
      </c>
      <c r="I97" s="1"/>
      <c r="J97" s="5">
        <f t="shared" si="47"/>
        <v>3.6514369175700973E-2</v>
      </c>
      <c r="K97" s="1"/>
      <c r="L97" s="1">
        <f t="shared" si="48"/>
        <v>-4986.9400000000005</v>
      </c>
      <c r="M97" s="1"/>
      <c r="N97" s="5">
        <f t="shared" si="49"/>
        <v>-0.46825727699530523</v>
      </c>
      <c r="O97" s="14"/>
      <c r="P97" s="1">
        <f>SUM(OSRRefP22_10x_0)</f>
        <v>-29986.23000000001</v>
      </c>
      <c r="Q97" s="1"/>
      <c r="R97" s="5">
        <f t="shared" si="50"/>
        <v>-9.2927630307231904E-3</v>
      </c>
      <c r="S97" s="1"/>
      <c r="T97" s="1">
        <f>SUM(OSRRefT22_10x_0)</f>
        <v>8650</v>
      </c>
      <c r="U97" s="1"/>
      <c r="V97" s="5">
        <f t="shared" si="51"/>
        <v>1.8522039728383387E-3</v>
      </c>
      <c r="W97" s="1"/>
      <c r="X97" s="1">
        <f t="shared" si="52"/>
        <v>-38636.23000000001</v>
      </c>
      <c r="Y97" s="1"/>
      <c r="Z97" s="5">
        <f t="shared" si="53"/>
        <v>-4.4666161849710999</v>
      </c>
    </row>
    <row r="98" spans="1:26" s="24" customFormat="1" hidden="1" outlineLevel="2" x14ac:dyDescent="0.3">
      <c r="A98" s="27"/>
      <c r="B98" s="11" t="str">
        <f>CONCATENATE("          ", "6305", " - ", "FREIGHT OUT")</f>
        <v xml:space="preserve">          6305 - FREIGHT OUT</v>
      </c>
      <c r="C98" s="11"/>
      <c r="D98" s="6">
        <v>11063.73</v>
      </c>
      <c r="E98" s="2"/>
      <c r="F98" s="7">
        <f t="shared" si="46"/>
        <v>3.5682583291145209E-2</v>
      </c>
      <c r="G98" s="2"/>
      <c r="H98" s="6">
        <v>15050</v>
      </c>
      <c r="I98" s="2"/>
      <c r="J98" s="7">
        <f t="shared" si="47"/>
        <v>5.160011794312673E-2</v>
      </c>
      <c r="K98" s="2"/>
      <c r="L98" s="6">
        <f t="shared" si="48"/>
        <v>-3986.2700000000004</v>
      </c>
      <c r="M98" s="2"/>
      <c r="N98" s="7">
        <f t="shared" si="49"/>
        <v>-0.26486843853820602</v>
      </c>
      <c r="O98" s="11"/>
      <c r="P98" s="6">
        <v>65828.62</v>
      </c>
      <c r="Q98" s="2"/>
      <c r="R98" s="7">
        <f t="shared" si="50"/>
        <v>2.0400355973375944E-2</v>
      </c>
      <c r="S98" s="2"/>
      <c r="T98" s="6">
        <v>89950</v>
      </c>
      <c r="U98" s="2"/>
      <c r="V98" s="7">
        <f t="shared" si="51"/>
        <v>1.9260780041249547E-2</v>
      </c>
      <c r="W98" s="2"/>
      <c r="X98" s="6">
        <f t="shared" si="52"/>
        <v>-24121.380000000005</v>
      </c>
      <c r="Y98" s="2"/>
      <c r="Z98" s="7">
        <f t="shared" si="53"/>
        <v>-0.26816431350750425</v>
      </c>
    </row>
    <row r="99" spans="1:26" s="24" customFormat="1" hidden="1" outlineLevel="2" x14ac:dyDescent="0.3">
      <c r="A99" s="27"/>
      <c r="B99" s="11" t="str">
        <f>CONCATENATE("          ", "6307", " - ", "POSTAGE")</f>
        <v xml:space="preserve">          6307 - POSTAGE</v>
      </c>
      <c r="C99" s="11"/>
      <c r="D99" s="6">
        <v>-5400.67</v>
      </c>
      <c r="E99" s="2"/>
      <c r="F99" s="7">
        <f t="shared" si="46"/>
        <v>-1.7418163413513273E-2</v>
      </c>
      <c r="G99" s="2"/>
      <c r="H99" s="6">
        <v>-4400</v>
      </c>
      <c r="I99" s="2"/>
      <c r="J99" s="7">
        <f t="shared" si="47"/>
        <v>-1.5085748767425754E-2</v>
      </c>
      <c r="K99" s="2"/>
      <c r="L99" s="6">
        <f t="shared" si="48"/>
        <v>-1000.6700000000001</v>
      </c>
      <c r="M99" s="2"/>
      <c r="N99" s="7">
        <f t="shared" si="49"/>
        <v>0.22742500000000002</v>
      </c>
      <c r="O99" s="11"/>
      <c r="P99" s="6">
        <v>-95814.85</v>
      </c>
      <c r="Q99" s="2"/>
      <c r="R99" s="7">
        <f t="shared" si="50"/>
        <v>-2.9693119004099135E-2</v>
      </c>
      <c r="S99" s="2"/>
      <c r="T99" s="6">
        <v>-81300</v>
      </c>
      <c r="U99" s="2"/>
      <c r="V99" s="7">
        <f t="shared" si="51"/>
        <v>-1.7408576068411206E-2</v>
      </c>
      <c r="W99" s="2"/>
      <c r="X99" s="6">
        <f t="shared" si="52"/>
        <v>-14514.850000000006</v>
      </c>
      <c r="Y99" s="2"/>
      <c r="Z99" s="7">
        <f t="shared" si="53"/>
        <v>0.17853444034440352</v>
      </c>
    </row>
    <row r="100" spans="1:26" s="29" customFormat="1" outlineLevel="1" collapsed="1" x14ac:dyDescent="0.3">
      <c r="A100" s="28"/>
      <c r="B100" s="14" t="str">
        <f>CONCATENATE("     ","General                                           ")</f>
        <v xml:space="preserve">     General                                           </v>
      </c>
      <c r="C100" s="14"/>
      <c r="D100" s="1">
        <f>SUM(OSRRefD22_11x_0)</f>
        <v>1682.28</v>
      </c>
      <c r="E100" s="1"/>
      <c r="F100" s="5">
        <f t="shared" ref="F100:F102" si="54">IF(D$12=0,0,D100/D$12)</f>
        <v>5.4256653243551466E-3</v>
      </c>
      <c r="G100" s="1"/>
      <c r="H100" s="1">
        <f>SUM(OSRRefH22_11x_0)</f>
        <v>700</v>
      </c>
      <c r="I100" s="1"/>
      <c r="J100" s="5">
        <f t="shared" ref="J100:J102" si="55">IF(H$12=0,0,H100/H$12)</f>
        <v>2.4000054857268244E-3</v>
      </c>
      <c r="K100" s="1"/>
      <c r="L100" s="1">
        <f t="shared" ref="L100:L102" si="56">+D100-H100</f>
        <v>982.28</v>
      </c>
      <c r="M100" s="1"/>
      <c r="N100" s="5">
        <f t="shared" ref="N100:N102" si="57">IF(H100=0,0,L100/H100)</f>
        <v>1.4032571428571428</v>
      </c>
      <c r="O100" s="14"/>
      <c r="P100" s="1">
        <f>SUM(OSRRefP22_11x_0)</f>
        <v>5488.38</v>
      </c>
      <c r="Q100" s="1"/>
      <c r="R100" s="5">
        <f t="shared" ref="R100:R102" si="58">IF(P$12=0,0,P100/P$12)</f>
        <v>1.7008545176422818E-3</v>
      </c>
      <c r="S100" s="1"/>
      <c r="T100" s="1">
        <f>SUM(OSRRefT22_11x_0)</f>
        <v>2050</v>
      </c>
      <c r="U100" s="1"/>
      <c r="V100" s="5">
        <f t="shared" ref="V100:V102" si="59">IF(T$12=0,0,T100/T$12)</f>
        <v>4.3896163518134039E-4</v>
      </c>
      <c r="W100" s="1"/>
      <c r="X100" s="1">
        <f t="shared" ref="X100:X102" si="60">+P100-T100</f>
        <v>3438.38</v>
      </c>
      <c r="Y100" s="1"/>
      <c r="Z100" s="5">
        <f t="shared" ref="Z100:Z102" si="61">IF(T100=0,0,X100/T100)</f>
        <v>1.6772585365853658</v>
      </c>
    </row>
    <row r="101" spans="1:26" s="24" customFormat="1" hidden="1" outlineLevel="2" x14ac:dyDescent="0.3">
      <c r="A101" s="27"/>
      <c r="B101" s="11" t="str">
        <f>CONCATENATE("          ", "6276", " - ", "PROPERTY TAX")</f>
        <v xml:space="preserve">          6276 - PROPERTY TAX</v>
      </c>
      <c r="C101" s="11"/>
      <c r="D101" s="6"/>
      <c r="E101" s="2"/>
      <c r="F101" s="7">
        <f t="shared" si="54"/>
        <v>0</v>
      </c>
      <c r="G101" s="2"/>
      <c r="H101" s="6"/>
      <c r="I101" s="2"/>
      <c r="J101" s="7">
        <f t="shared" si="55"/>
        <v>0</v>
      </c>
      <c r="K101" s="2"/>
      <c r="L101" s="6">
        <f t="shared" si="56"/>
        <v>0</v>
      </c>
      <c r="M101" s="2"/>
      <c r="N101" s="7">
        <f t="shared" si="57"/>
        <v>0</v>
      </c>
      <c r="O101" s="11"/>
      <c r="P101" s="6"/>
      <c r="Q101" s="2"/>
      <c r="R101" s="7">
        <f t="shared" si="58"/>
        <v>0</v>
      </c>
      <c r="S101" s="2"/>
      <c r="T101" s="6">
        <v>125</v>
      </c>
      <c r="U101" s="2"/>
      <c r="V101" s="7">
        <f t="shared" si="59"/>
        <v>2.6765953364715879E-5</v>
      </c>
      <c r="W101" s="2"/>
      <c r="X101" s="6">
        <f t="shared" si="60"/>
        <v>-125</v>
      </c>
      <c r="Y101" s="2"/>
      <c r="Z101" s="7">
        <f t="shared" si="61"/>
        <v>-1</v>
      </c>
    </row>
    <row r="102" spans="1:26" s="24" customFormat="1" hidden="1" outlineLevel="2" x14ac:dyDescent="0.3">
      <c r="A102" s="27"/>
      <c r="B102" s="11" t="str">
        <f>CONCATENATE("          ", "6279", " - ", "GENERAL EXPENSE")</f>
        <v xml:space="preserve">          6279 - GENERAL EXPENSE</v>
      </c>
      <c r="C102" s="11"/>
      <c r="D102" s="6">
        <v>1682.28</v>
      </c>
      <c r="E102" s="2"/>
      <c r="F102" s="7">
        <f t="shared" si="54"/>
        <v>5.4256653243551466E-3</v>
      </c>
      <c r="G102" s="2"/>
      <c r="H102" s="6">
        <v>700</v>
      </c>
      <c r="I102" s="2"/>
      <c r="J102" s="7">
        <f t="shared" si="55"/>
        <v>2.4000054857268244E-3</v>
      </c>
      <c r="K102" s="2"/>
      <c r="L102" s="6">
        <f t="shared" si="56"/>
        <v>982.28</v>
      </c>
      <c r="M102" s="2"/>
      <c r="N102" s="7">
        <f t="shared" si="57"/>
        <v>1.4032571428571428</v>
      </c>
      <c r="O102" s="11"/>
      <c r="P102" s="6">
        <v>5488.38</v>
      </c>
      <c r="Q102" s="2"/>
      <c r="R102" s="7">
        <f t="shared" si="58"/>
        <v>1.7008545176422818E-3</v>
      </c>
      <c r="S102" s="2"/>
      <c r="T102" s="6">
        <v>1925</v>
      </c>
      <c r="U102" s="2"/>
      <c r="V102" s="7">
        <f t="shared" si="59"/>
        <v>4.121956818166245E-4</v>
      </c>
      <c r="W102" s="2"/>
      <c r="X102" s="6">
        <f t="shared" si="60"/>
        <v>3563.38</v>
      </c>
      <c r="Y102" s="2"/>
      <c r="Z102" s="7">
        <f t="shared" si="61"/>
        <v>1.8511064935064936</v>
      </c>
    </row>
    <row r="103" spans="1:26" s="29" customFormat="1" outlineLevel="1" collapsed="1" x14ac:dyDescent="0.3">
      <c r="A103" s="28"/>
      <c r="B103" s="14" t="str">
        <f>CONCATENATE("     ","Insurance                                         ")</f>
        <v xml:space="preserve">     Insurance                                         </v>
      </c>
      <c r="C103" s="14"/>
      <c r="D103" s="1">
        <f>SUM(OSRRefD22_12x_0)</f>
        <v>5825.58</v>
      </c>
      <c r="E103" s="1"/>
      <c r="F103" s="5">
        <f t="shared" ref="F103:F117" si="62">IF(D$12=0,0,D103/D$12)</f>
        <v>1.8788577050346467E-2</v>
      </c>
      <c r="G103" s="1"/>
      <c r="H103" s="1">
        <f>SUM(OSRRefH22_12x_0)</f>
        <v>5705</v>
      </c>
      <c r="I103" s="1"/>
      <c r="J103" s="5">
        <f t="shared" ref="J103:J117" si="63">IF(H$12=0,0,H103/H$12)</f>
        <v>1.9560044708673618E-2</v>
      </c>
      <c r="K103" s="1"/>
      <c r="L103" s="1">
        <f t="shared" ref="L103:L117" si="64">+D103-H103</f>
        <v>120.57999999999993</v>
      </c>
      <c r="M103" s="1"/>
      <c r="N103" s="5">
        <f t="shared" ref="N103:N117" si="65">IF(H103=0,0,L103/H103)</f>
        <v>2.1135845749342668E-2</v>
      </c>
      <c r="O103" s="14"/>
      <c r="P103" s="1">
        <f>SUM(OSRRefP22_12x_0)</f>
        <v>29127.9</v>
      </c>
      <c r="Q103" s="1"/>
      <c r="R103" s="5">
        <f t="shared" ref="R103:R117" si="66">IF(P$12=0,0,P103/P$12)</f>
        <v>9.0267656948740116E-3</v>
      </c>
      <c r="S103" s="1"/>
      <c r="T103" s="1">
        <f>SUM(OSRRefT22_12x_0)</f>
        <v>28525</v>
      </c>
      <c r="U103" s="1"/>
      <c r="V103" s="5">
        <f t="shared" ref="V103:V117" si="67">IF(T$12=0,0,T103/T$12)</f>
        <v>6.1079905578281636E-3</v>
      </c>
      <c r="W103" s="1"/>
      <c r="X103" s="1">
        <f t="shared" ref="X103:X117" si="68">+P103-T103</f>
        <v>602.90000000000146</v>
      </c>
      <c r="Y103" s="1"/>
      <c r="Z103" s="5">
        <f t="shared" ref="Z103:Z117" si="69">IF(T103=0,0,X103/T103)</f>
        <v>2.1135845749342734E-2</v>
      </c>
    </row>
    <row r="104" spans="1:26" s="24" customFormat="1" hidden="1" outlineLevel="2" x14ac:dyDescent="0.3">
      <c r="A104" s="27"/>
      <c r="B104" s="11" t="str">
        <f>CONCATENATE("          ", "6314", " - ", "LIABILITY INSURANCE")</f>
        <v xml:space="preserve">          6314 - LIABILITY INSURANCE</v>
      </c>
      <c r="C104" s="11"/>
      <c r="D104" s="6">
        <v>5825.58</v>
      </c>
      <c r="E104" s="2"/>
      <c r="F104" s="7">
        <f t="shared" si="62"/>
        <v>1.8788577050346467E-2</v>
      </c>
      <c r="G104" s="2"/>
      <c r="H104" s="6">
        <v>5705</v>
      </c>
      <c r="I104" s="2"/>
      <c r="J104" s="7">
        <f t="shared" si="63"/>
        <v>1.9560044708673618E-2</v>
      </c>
      <c r="K104" s="2"/>
      <c r="L104" s="6">
        <f t="shared" si="64"/>
        <v>120.57999999999993</v>
      </c>
      <c r="M104" s="2"/>
      <c r="N104" s="7">
        <f t="shared" si="65"/>
        <v>2.1135845749342668E-2</v>
      </c>
      <c r="O104" s="11"/>
      <c r="P104" s="6">
        <v>29127.9</v>
      </c>
      <c r="Q104" s="2"/>
      <c r="R104" s="7">
        <f t="shared" si="66"/>
        <v>9.0267656948740116E-3</v>
      </c>
      <c r="S104" s="2"/>
      <c r="T104" s="6">
        <v>28525</v>
      </c>
      <c r="U104" s="2"/>
      <c r="V104" s="7">
        <f t="shared" si="67"/>
        <v>6.1079905578281636E-3</v>
      </c>
      <c r="W104" s="2"/>
      <c r="X104" s="6">
        <f t="shared" si="68"/>
        <v>602.90000000000146</v>
      </c>
      <c r="Y104" s="2"/>
      <c r="Z104" s="7">
        <f t="shared" si="69"/>
        <v>2.1135845749342734E-2</v>
      </c>
    </row>
    <row r="105" spans="1:26" s="29" customFormat="1" outlineLevel="1" collapsed="1" x14ac:dyDescent="0.3">
      <c r="A105" s="28"/>
      <c r="B105" s="14" t="str">
        <f>CONCATENATE("     ","Interest                                          ")</f>
        <v xml:space="preserve">     Interest                                          </v>
      </c>
      <c r="C105" s="14"/>
      <c r="D105" s="1">
        <f>SUM(OSRRefD22_13x_0)</f>
        <v>3905</v>
      </c>
      <c r="E105" s="1"/>
      <c r="F105" s="5">
        <f t="shared" si="62"/>
        <v>1.2594349984311084E-2</v>
      </c>
      <c r="G105" s="1"/>
      <c r="H105" s="1">
        <f>SUM(OSRRefH22_13x_0)</f>
        <v>3905</v>
      </c>
      <c r="I105" s="1"/>
      <c r="J105" s="5">
        <f t="shared" si="63"/>
        <v>1.3388602031090357E-2</v>
      </c>
      <c r="K105" s="1"/>
      <c r="L105" s="1">
        <f t="shared" si="64"/>
        <v>0</v>
      </c>
      <c r="M105" s="1"/>
      <c r="N105" s="5">
        <f t="shared" si="65"/>
        <v>0</v>
      </c>
      <c r="O105" s="14"/>
      <c r="P105" s="1">
        <f>SUM(OSRRefP22_13x_0)</f>
        <v>19249</v>
      </c>
      <c r="Q105" s="1"/>
      <c r="R105" s="5">
        <f t="shared" si="66"/>
        <v>5.9652845849041585E-3</v>
      </c>
      <c r="S105" s="1"/>
      <c r="T105" s="1">
        <f>SUM(OSRRefT22_13x_0)</f>
        <v>19525</v>
      </c>
      <c r="U105" s="1"/>
      <c r="V105" s="5">
        <f t="shared" si="67"/>
        <v>4.1808419155686203E-3</v>
      </c>
      <c r="W105" s="1"/>
      <c r="X105" s="1">
        <f t="shared" si="68"/>
        <v>-276</v>
      </c>
      <c r="Y105" s="1"/>
      <c r="Z105" s="5">
        <f t="shared" si="69"/>
        <v>-1.413572343149808E-2</v>
      </c>
    </row>
    <row r="106" spans="1:26" s="24" customFormat="1" hidden="1" outlineLevel="2" x14ac:dyDescent="0.3">
      <c r="A106" s="27"/>
      <c r="B106" s="11" t="str">
        <f>CONCATENATE("          ", "6401", " - ", "INTEREST EXPENSE")</f>
        <v xml:space="preserve">          6401 - INTEREST EXPENSE</v>
      </c>
      <c r="C106" s="11"/>
      <c r="D106" s="6">
        <v>3905</v>
      </c>
      <c r="E106" s="2"/>
      <c r="F106" s="7">
        <f t="shared" si="62"/>
        <v>1.2594349984311084E-2</v>
      </c>
      <c r="G106" s="2"/>
      <c r="H106" s="6">
        <v>3905</v>
      </c>
      <c r="I106" s="2"/>
      <c r="J106" s="7">
        <f t="shared" si="63"/>
        <v>1.3388602031090357E-2</v>
      </c>
      <c r="K106" s="2"/>
      <c r="L106" s="6">
        <f t="shared" si="64"/>
        <v>0</v>
      </c>
      <c r="M106" s="2"/>
      <c r="N106" s="7">
        <f t="shared" si="65"/>
        <v>0</v>
      </c>
      <c r="O106" s="11"/>
      <c r="P106" s="6">
        <v>19249</v>
      </c>
      <c r="Q106" s="2"/>
      <c r="R106" s="7">
        <f t="shared" si="66"/>
        <v>5.9652845849041585E-3</v>
      </c>
      <c r="S106" s="2"/>
      <c r="T106" s="6">
        <v>19525</v>
      </c>
      <c r="U106" s="2"/>
      <c r="V106" s="7">
        <f t="shared" si="67"/>
        <v>4.1808419155686203E-3</v>
      </c>
      <c r="W106" s="2"/>
      <c r="X106" s="6">
        <f t="shared" si="68"/>
        <v>-276</v>
      </c>
      <c r="Y106" s="2"/>
      <c r="Z106" s="7">
        <f t="shared" si="69"/>
        <v>-1.413572343149808E-2</v>
      </c>
    </row>
    <row r="107" spans="1:26" s="29" customFormat="1" outlineLevel="1" collapsed="1" x14ac:dyDescent="0.3">
      <c r="A107" s="28"/>
      <c r="B107" s="14" t="str">
        <f>CONCATENATE("     ","Inventory Adjustment                              ")</f>
        <v xml:space="preserve">     Inventory Adjustment                              </v>
      </c>
      <c r="C107" s="14"/>
      <c r="D107" s="1">
        <f>SUM(OSRRefD22_14x_0)</f>
        <v>5100</v>
      </c>
      <c r="E107" s="1"/>
      <c r="F107" s="5">
        <f t="shared" si="62"/>
        <v>1.644844684250615E-2</v>
      </c>
      <c r="G107" s="1"/>
      <c r="H107" s="1">
        <f>SUM(OSRRefH22_14x_0)</f>
        <v>5100</v>
      </c>
      <c r="I107" s="1"/>
      <c r="J107" s="5">
        <f t="shared" si="63"/>
        <v>1.7485754253152578E-2</v>
      </c>
      <c r="K107" s="1"/>
      <c r="L107" s="1">
        <f t="shared" si="64"/>
        <v>0</v>
      </c>
      <c r="M107" s="1"/>
      <c r="N107" s="5">
        <f t="shared" si="65"/>
        <v>0</v>
      </c>
      <c r="O107" s="14"/>
      <c r="P107" s="1">
        <f>SUM(OSRRefP22_14x_0)</f>
        <v>25500</v>
      </c>
      <c r="Q107" s="1"/>
      <c r="R107" s="5">
        <f t="shared" si="66"/>
        <v>7.9024758125126517E-3</v>
      </c>
      <c r="S107" s="1"/>
      <c r="T107" s="1">
        <f>SUM(OSRRefT22_14x_0)</f>
        <v>25500</v>
      </c>
      <c r="U107" s="1"/>
      <c r="V107" s="5">
        <f t="shared" si="67"/>
        <v>5.4602544864020388E-3</v>
      </c>
      <c r="W107" s="1"/>
      <c r="X107" s="1">
        <f t="shared" si="68"/>
        <v>0</v>
      </c>
      <c r="Y107" s="1"/>
      <c r="Z107" s="5">
        <f t="shared" si="69"/>
        <v>0</v>
      </c>
    </row>
    <row r="108" spans="1:26" s="24" customFormat="1" hidden="1" outlineLevel="2" x14ac:dyDescent="0.3">
      <c r="A108" s="27"/>
      <c r="B108" s="11" t="str">
        <f>CONCATENATE("          ", "6408", " - ", "INVENTORY ADJUSTMENT")</f>
        <v xml:space="preserve">          6408 - INVENTORY ADJUSTMENT</v>
      </c>
      <c r="C108" s="11"/>
      <c r="D108" s="6">
        <v>5100</v>
      </c>
      <c r="E108" s="2"/>
      <c r="F108" s="7">
        <f t="shared" si="62"/>
        <v>1.644844684250615E-2</v>
      </c>
      <c r="G108" s="2"/>
      <c r="H108" s="6">
        <v>5100</v>
      </c>
      <c r="I108" s="2"/>
      <c r="J108" s="7">
        <f t="shared" si="63"/>
        <v>1.7485754253152578E-2</v>
      </c>
      <c r="K108" s="2"/>
      <c r="L108" s="6">
        <f t="shared" si="64"/>
        <v>0</v>
      </c>
      <c r="M108" s="2"/>
      <c r="N108" s="7">
        <f t="shared" si="65"/>
        <v>0</v>
      </c>
      <c r="O108" s="11"/>
      <c r="P108" s="6">
        <v>25500</v>
      </c>
      <c r="Q108" s="2"/>
      <c r="R108" s="7">
        <f t="shared" si="66"/>
        <v>7.9024758125126517E-3</v>
      </c>
      <c r="S108" s="2"/>
      <c r="T108" s="6">
        <v>25500</v>
      </c>
      <c r="U108" s="2"/>
      <c r="V108" s="7">
        <f t="shared" si="67"/>
        <v>5.4602544864020388E-3</v>
      </c>
      <c r="W108" s="2"/>
      <c r="X108" s="6">
        <f t="shared" si="68"/>
        <v>0</v>
      </c>
      <c r="Y108" s="2"/>
      <c r="Z108" s="7">
        <f t="shared" si="69"/>
        <v>0</v>
      </c>
    </row>
    <row r="109" spans="1:26" s="29" customFormat="1" outlineLevel="1" collapsed="1" x14ac:dyDescent="0.3">
      <c r="A109" s="28"/>
      <c r="B109" s="14" t="str">
        <f>CONCATENATE("     ","Professional Services                             ")</f>
        <v xml:space="preserve">     Professional Services                             </v>
      </c>
      <c r="C109" s="14"/>
      <c r="D109" s="1">
        <f>SUM(OSRRefD22_15x_0)</f>
        <v>0</v>
      </c>
      <c r="E109" s="1"/>
      <c r="F109" s="5">
        <f t="shared" si="62"/>
        <v>0</v>
      </c>
      <c r="G109" s="1"/>
      <c r="H109" s="1">
        <f>SUM(OSRRefH22_15x_0)</f>
        <v>0</v>
      </c>
      <c r="I109" s="1"/>
      <c r="J109" s="5">
        <f t="shared" si="63"/>
        <v>0</v>
      </c>
      <c r="K109" s="1"/>
      <c r="L109" s="1">
        <f t="shared" si="64"/>
        <v>0</v>
      </c>
      <c r="M109" s="1"/>
      <c r="N109" s="5">
        <f t="shared" si="65"/>
        <v>0</v>
      </c>
      <c r="O109" s="14"/>
      <c r="P109" s="1">
        <f>SUM(OSRRefP22_15x_0)</f>
        <v>8186.53</v>
      </c>
      <c r="Q109" s="1"/>
      <c r="R109" s="5">
        <f t="shared" si="66"/>
        <v>2.5370139338591843E-3</v>
      </c>
      <c r="S109" s="1"/>
      <c r="T109" s="1">
        <f>SUM(OSRRefT22_15x_0)</f>
        <v>1250</v>
      </c>
      <c r="U109" s="1"/>
      <c r="V109" s="5">
        <f t="shared" si="67"/>
        <v>2.676595336471588E-4</v>
      </c>
      <c r="W109" s="1"/>
      <c r="X109" s="1">
        <f t="shared" si="68"/>
        <v>6936.53</v>
      </c>
      <c r="Y109" s="1"/>
      <c r="Z109" s="5">
        <f t="shared" si="69"/>
        <v>5.5492239999999997</v>
      </c>
    </row>
    <row r="110" spans="1:26" s="24" customFormat="1" hidden="1" outlineLevel="2" x14ac:dyDescent="0.3">
      <c r="A110" s="27"/>
      <c r="B110" s="11" t="str">
        <f>CONCATENATE("          ", "6336", " - ", "PROFESSIONAL SERVICES")</f>
        <v xml:space="preserve">          6336 - PROFESSIONAL SERVICES</v>
      </c>
      <c r="C110" s="11"/>
      <c r="D110" s="6"/>
      <c r="E110" s="2"/>
      <c r="F110" s="7">
        <f t="shared" si="62"/>
        <v>0</v>
      </c>
      <c r="G110" s="2"/>
      <c r="H110" s="6">
        <v>0</v>
      </c>
      <c r="I110" s="2"/>
      <c r="J110" s="7">
        <f t="shared" si="63"/>
        <v>0</v>
      </c>
      <c r="K110" s="2"/>
      <c r="L110" s="6">
        <f t="shared" si="64"/>
        <v>0</v>
      </c>
      <c r="M110" s="2"/>
      <c r="N110" s="7">
        <f t="shared" si="65"/>
        <v>0</v>
      </c>
      <c r="O110" s="11"/>
      <c r="P110" s="6">
        <v>8186.53</v>
      </c>
      <c r="Q110" s="2"/>
      <c r="R110" s="7">
        <f t="shared" si="66"/>
        <v>2.5370139338591843E-3</v>
      </c>
      <c r="S110" s="2"/>
      <c r="T110" s="6">
        <v>1250</v>
      </c>
      <c r="U110" s="2"/>
      <c r="V110" s="7">
        <f t="shared" si="67"/>
        <v>2.676595336471588E-4</v>
      </c>
      <c r="W110" s="2"/>
      <c r="X110" s="6">
        <f t="shared" si="68"/>
        <v>6936.53</v>
      </c>
      <c r="Y110" s="2"/>
      <c r="Z110" s="7">
        <f t="shared" si="69"/>
        <v>5.5492239999999997</v>
      </c>
    </row>
    <row r="111" spans="1:26" s="29" customFormat="1" outlineLevel="1" collapsed="1" x14ac:dyDescent="0.3">
      <c r="A111" s="28"/>
      <c r="B111" s="14" t="str">
        <f>CONCATENATE("     ","Rent                                              ")</f>
        <v xml:space="preserve">     Rent                                              </v>
      </c>
      <c r="C111" s="14"/>
      <c r="D111" s="1">
        <f>SUM(OSRRefD22_16x_0)</f>
        <v>6100</v>
      </c>
      <c r="E111" s="1"/>
      <c r="F111" s="5">
        <f t="shared" si="62"/>
        <v>1.9673632497899513E-2</v>
      </c>
      <c r="G111" s="1"/>
      <c r="H111" s="1">
        <f>SUM(OSRRefH22_16x_0)</f>
        <v>6100</v>
      </c>
      <c r="I111" s="1"/>
      <c r="J111" s="5">
        <f t="shared" si="63"/>
        <v>2.0914333518476613E-2</v>
      </c>
      <c r="K111" s="1"/>
      <c r="L111" s="1">
        <f t="shared" si="64"/>
        <v>0</v>
      </c>
      <c r="M111" s="1"/>
      <c r="N111" s="5">
        <f t="shared" si="65"/>
        <v>0</v>
      </c>
      <c r="O111" s="14"/>
      <c r="P111" s="1">
        <f>SUM(OSRRefP22_16x_0)</f>
        <v>30500</v>
      </c>
      <c r="Q111" s="1"/>
      <c r="R111" s="5">
        <f t="shared" si="66"/>
        <v>9.4519808737896418E-3</v>
      </c>
      <c r="S111" s="1"/>
      <c r="T111" s="1">
        <f>SUM(OSRRefT22_16x_0)</f>
        <v>30500</v>
      </c>
      <c r="U111" s="1"/>
      <c r="V111" s="5">
        <f t="shared" si="67"/>
        <v>6.5308926209906746E-3</v>
      </c>
      <c r="W111" s="1"/>
      <c r="X111" s="1">
        <f t="shared" si="68"/>
        <v>0</v>
      </c>
      <c r="Y111" s="1"/>
      <c r="Z111" s="5">
        <f t="shared" si="69"/>
        <v>0</v>
      </c>
    </row>
    <row r="112" spans="1:26" s="24" customFormat="1" hidden="1" outlineLevel="2" x14ac:dyDescent="0.3">
      <c r="A112" s="27"/>
      <c r="B112" s="11" t="str">
        <f>CONCATENATE("          ", "6273", " - ", "RENT")</f>
        <v xml:space="preserve">          6273 - RENT</v>
      </c>
      <c r="C112" s="11"/>
      <c r="D112" s="6">
        <v>6100</v>
      </c>
      <c r="E112" s="2"/>
      <c r="F112" s="7">
        <f t="shared" si="62"/>
        <v>1.9673632497899513E-2</v>
      </c>
      <c r="G112" s="2"/>
      <c r="H112" s="6">
        <v>6100</v>
      </c>
      <c r="I112" s="2"/>
      <c r="J112" s="7">
        <f t="shared" si="63"/>
        <v>2.0914333518476613E-2</v>
      </c>
      <c r="K112" s="2"/>
      <c r="L112" s="6">
        <f t="shared" si="64"/>
        <v>0</v>
      </c>
      <c r="M112" s="2"/>
      <c r="N112" s="7">
        <f t="shared" si="65"/>
        <v>0</v>
      </c>
      <c r="O112" s="11"/>
      <c r="P112" s="6">
        <v>30500</v>
      </c>
      <c r="Q112" s="2"/>
      <c r="R112" s="7">
        <f t="shared" si="66"/>
        <v>9.4519808737896418E-3</v>
      </c>
      <c r="S112" s="2"/>
      <c r="T112" s="6">
        <v>30500</v>
      </c>
      <c r="U112" s="2"/>
      <c r="V112" s="7">
        <f t="shared" si="67"/>
        <v>6.5308926209906746E-3</v>
      </c>
      <c r="W112" s="2"/>
      <c r="X112" s="6">
        <f t="shared" si="68"/>
        <v>0</v>
      </c>
      <c r="Y112" s="2"/>
      <c r="Z112" s="7">
        <f t="shared" si="69"/>
        <v>0</v>
      </c>
    </row>
    <row r="113" spans="1:26" s="29" customFormat="1" outlineLevel="1" collapsed="1" x14ac:dyDescent="0.3">
      <c r="A113" s="28"/>
      <c r="B113" s="14" t="str">
        <f>CONCATENATE("     ","Repair and Maintenance                            ")</f>
        <v xml:space="preserve">     Repair and Maintenance                            </v>
      </c>
      <c r="C113" s="14"/>
      <c r="D113" s="1">
        <f>SUM(OSRRefD22_17x_0)</f>
        <v>1338.03</v>
      </c>
      <c r="E113" s="1"/>
      <c r="F113" s="5">
        <f t="shared" si="62"/>
        <v>4.3153951624859818E-3</v>
      </c>
      <c r="G113" s="1"/>
      <c r="H113" s="1">
        <f>SUM(OSRRefH22_17x_0)</f>
        <v>10360</v>
      </c>
      <c r="I113" s="1"/>
      <c r="J113" s="5">
        <f t="shared" si="63"/>
        <v>3.5520081188757005E-2</v>
      </c>
      <c r="K113" s="1"/>
      <c r="L113" s="1">
        <f t="shared" si="64"/>
        <v>-9021.9699999999993</v>
      </c>
      <c r="M113" s="1"/>
      <c r="N113" s="5">
        <f t="shared" si="65"/>
        <v>-0.87084652509652505</v>
      </c>
      <c r="O113" s="14"/>
      <c r="P113" s="1">
        <f>SUM(OSRRefP22_17x_0)</f>
        <v>93160.3</v>
      </c>
      <c r="Q113" s="1"/>
      <c r="R113" s="5">
        <f t="shared" si="66"/>
        <v>2.8870471272016564E-2</v>
      </c>
      <c r="S113" s="1"/>
      <c r="T113" s="1">
        <f>SUM(OSRRefT22_17x_0)</f>
        <v>94971</v>
      </c>
      <c r="U113" s="1"/>
      <c r="V113" s="5">
        <f t="shared" si="67"/>
        <v>2.0335914856003452E-2</v>
      </c>
      <c r="W113" s="1"/>
      <c r="X113" s="1">
        <f t="shared" si="68"/>
        <v>-1810.6999999999971</v>
      </c>
      <c r="Y113" s="1"/>
      <c r="Z113" s="5">
        <f t="shared" si="69"/>
        <v>-1.9065820092449243E-2</v>
      </c>
    </row>
    <row r="114" spans="1:26" s="24" customFormat="1" hidden="1" outlineLevel="2" x14ac:dyDescent="0.3">
      <c r="A114" s="27"/>
      <c r="B114" s="11" t="str">
        <f>CONCATENATE("          ", "6371", " - ", "COMPUTER SOFTWARE MAINTENANCE")</f>
        <v xml:space="preserve">          6371 - COMPUTER SOFTWARE MAINTENANCE</v>
      </c>
      <c r="C114" s="11"/>
      <c r="D114" s="6"/>
      <c r="E114" s="2"/>
      <c r="F114" s="7">
        <f t="shared" si="62"/>
        <v>0</v>
      </c>
      <c r="G114" s="2"/>
      <c r="H114" s="6">
        <v>1000</v>
      </c>
      <c r="I114" s="2"/>
      <c r="J114" s="7">
        <f t="shared" si="63"/>
        <v>3.4285792653240351E-3</v>
      </c>
      <c r="K114" s="2"/>
      <c r="L114" s="6">
        <f t="shared" si="64"/>
        <v>-1000</v>
      </c>
      <c r="M114" s="2"/>
      <c r="N114" s="7">
        <f t="shared" si="65"/>
        <v>-1</v>
      </c>
      <c r="O114" s="11"/>
      <c r="P114" s="6">
        <v>62511</v>
      </c>
      <c r="Q114" s="2"/>
      <c r="R114" s="7">
        <f t="shared" si="66"/>
        <v>1.9372222177097193E-2</v>
      </c>
      <c r="S114" s="2"/>
      <c r="T114" s="6">
        <v>46723</v>
      </c>
      <c r="U114" s="2"/>
      <c r="V114" s="7">
        <f t="shared" si="67"/>
        <v>1.0004685112476959E-2</v>
      </c>
      <c r="W114" s="2"/>
      <c r="X114" s="6">
        <f t="shared" si="68"/>
        <v>15788</v>
      </c>
      <c r="Y114" s="2"/>
      <c r="Z114" s="7">
        <f t="shared" si="69"/>
        <v>0.33790638443593091</v>
      </c>
    </row>
    <row r="115" spans="1:26" s="24" customFormat="1" hidden="1" outlineLevel="2" x14ac:dyDescent="0.3">
      <c r="A115" s="27"/>
      <c r="B115" s="11" t="str">
        <f>CONCATENATE("          ", "6372", " - ", "COMPUTER HARDWARE MAINTENANCE")</f>
        <v xml:space="preserve">          6372 - COMPUTER HARDWARE MAINTENANCE</v>
      </c>
      <c r="C115" s="11"/>
      <c r="D115" s="6"/>
      <c r="E115" s="2"/>
      <c r="F115" s="7">
        <f t="shared" si="62"/>
        <v>0</v>
      </c>
      <c r="G115" s="2"/>
      <c r="H115" s="6">
        <v>3750</v>
      </c>
      <c r="I115" s="2"/>
      <c r="J115" s="7">
        <f t="shared" si="63"/>
        <v>1.2857172244965132E-2</v>
      </c>
      <c r="K115" s="2"/>
      <c r="L115" s="6">
        <f t="shared" si="64"/>
        <v>-3750</v>
      </c>
      <c r="M115" s="2"/>
      <c r="N115" s="7">
        <f t="shared" si="65"/>
        <v>-1</v>
      </c>
      <c r="O115" s="11"/>
      <c r="P115" s="6"/>
      <c r="Q115" s="2"/>
      <c r="R115" s="7">
        <f t="shared" si="66"/>
        <v>0</v>
      </c>
      <c r="S115" s="2"/>
      <c r="T115" s="6">
        <v>15370</v>
      </c>
      <c r="U115" s="2"/>
      <c r="V115" s="7">
        <f t="shared" si="67"/>
        <v>3.2911416257254645E-3</v>
      </c>
      <c r="W115" s="2"/>
      <c r="X115" s="6">
        <f t="shared" si="68"/>
        <v>-15370</v>
      </c>
      <c r="Y115" s="2"/>
      <c r="Z115" s="7">
        <f t="shared" si="69"/>
        <v>-1</v>
      </c>
    </row>
    <row r="116" spans="1:26" s="24" customFormat="1" hidden="1" outlineLevel="2" x14ac:dyDescent="0.3">
      <c r="A116" s="27"/>
      <c r="B116" s="11" t="str">
        <f>CONCATENATE("          ", "6373", " - ", "MAINTENANCE CONTRACTS")</f>
        <v xml:space="preserve">          6373 - MAINTENANCE CONTRACTS</v>
      </c>
      <c r="C116" s="11"/>
      <c r="D116" s="6">
        <v>179.27</v>
      </c>
      <c r="E116" s="2"/>
      <c r="F116" s="7">
        <f t="shared" si="62"/>
        <v>5.7817903244236819E-4</v>
      </c>
      <c r="G116" s="2"/>
      <c r="H116" s="6">
        <v>5355</v>
      </c>
      <c r="I116" s="2"/>
      <c r="J116" s="7">
        <f t="shared" si="63"/>
        <v>1.8360041965810207E-2</v>
      </c>
      <c r="K116" s="2"/>
      <c r="L116" s="6">
        <f t="shared" si="64"/>
        <v>-5175.7299999999996</v>
      </c>
      <c r="M116" s="2"/>
      <c r="N116" s="7">
        <f t="shared" si="65"/>
        <v>-0.96652287581699337</v>
      </c>
      <c r="O116" s="11"/>
      <c r="P116" s="6">
        <v>12449.58</v>
      </c>
      <c r="Q116" s="2"/>
      <c r="R116" s="7">
        <f t="shared" si="66"/>
        <v>3.8581374441545593E-3</v>
      </c>
      <c r="S116" s="2"/>
      <c r="T116" s="6">
        <v>29973</v>
      </c>
      <c r="U116" s="2"/>
      <c r="V116" s="7">
        <f t="shared" si="67"/>
        <v>6.418047361605032E-3</v>
      </c>
      <c r="W116" s="2"/>
      <c r="X116" s="6">
        <f t="shared" si="68"/>
        <v>-17523.419999999998</v>
      </c>
      <c r="Y116" s="2"/>
      <c r="Z116" s="7">
        <f t="shared" si="69"/>
        <v>-0.58464017615854258</v>
      </c>
    </row>
    <row r="117" spans="1:26" s="24" customFormat="1" hidden="1" outlineLevel="2" x14ac:dyDescent="0.3">
      <c r="A117" s="27"/>
      <c r="B117" s="11" t="str">
        <f>CONCATENATE("          ", "6375", " - ", "OUTSIDE REPAIRS &amp; MAINTENANCE")</f>
        <v xml:space="preserve">          6375 - OUTSIDE REPAIRS &amp; MAINTENANCE</v>
      </c>
      <c r="C117" s="11"/>
      <c r="D117" s="6">
        <v>1158.76</v>
      </c>
      <c r="E117" s="2"/>
      <c r="F117" s="7">
        <f t="shared" si="62"/>
        <v>3.7372161300436133E-3</v>
      </c>
      <c r="G117" s="2"/>
      <c r="H117" s="6">
        <v>255</v>
      </c>
      <c r="I117" s="2"/>
      <c r="J117" s="7">
        <f t="shared" si="63"/>
        <v>8.7428771265762894E-4</v>
      </c>
      <c r="K117" s="2"/>
      <c r="L117" s="6">
        <f t="shared" si="64"/>
        <v>903.76</v>
      </c>
      <c r="M117" s="2"/>
      <c r="N117" s="7">
        <f t="shared" si="65"/>
        <v>3.5441568627450981</v>
      </c>
      <c r="O117" s="11"/>
      <c r="P117" s="6">
        <v>18199.72</v>
      </c>
      <c r="Q117" s="2"/>
      <c r="R117" s="7">
        <f t="shared" si="66"/>
        <v>5.6401116507648142E-3</v>
      </c>
      <c r="S117" s="2"/>
      <c r="T117" s="6">
        <v>2905</v>
      </c>
      <c r="U117" s="2"/>
      <c r="V117" s="7">
        <f t="shared" si="67"/>
        <v>6.2204075619599702E-4</v>
      </c>
      <c r="W117" s="2"/>
      <c r="X117" s="6">
        <f t="shared" si="68"/>
        <v>15294.720000000001</v>
      </c>
      <c r="Y117" s="2"/>
      <c r="Z117" s="7">
        <f t="shared" si="69"/>
        <v>5.2649638554216871</v>
      </c>
    </row>
    <row r="118" spans="1:26" s="29" customFormat="1" outlineLevel="1" collapsed="1" x14ac:dyDescent="0.3">
      <c r="A118" s="28"/>
      <c r="B118" s="14" t="str">
        <f>CONCATENATE("     ","Royalty &amp; Commissions                             ")</f>
        <v xml:space="preserve">     Royalty &amp; Commissions                             </v>
      </c>
      <c r="C118" s="14"/>
      <c r="D118" s="1">
        <f>SUM(OSRRefD22_18x_0)</f>
        <v>784.77</v>
      </c>
      <c r="E118" s="1"/>
      <c r="F118" s="5">
        <f t="shared" ref="F118:F122" si="70">IF(D$12=0,0,D118/D$12)</f>
        <v>2.5310289467830494E-3</v>
      </c>
      <c r="G118" s="1"/>
      <c r="H118" s="1">
        <f>SUM(OSRRefH22_18x_0)</f>
        <v>9663</v>
      </c>
      <c r="I118" s="1"/>
      <c r="J118" s="5">
        <f t="shared" ref="J118:J122" si="71">IF(H$12=0,0,H118/H$12)</f>
        <v>3.313036144082615E-2</v>
      </c>
      <c r="K118" s="1"/>
      <c r="L118" s="1">
        <f t="shared" ref="L118:L122" si="72">+D118-H118</f>
        <v>-8878.23</v>
      </c>
      <c r="M118" s="1"/>
      <c r="N118" s="5">
        <f t="shared" ref="N118:N122" si="73">IF(H118=0,0,L118/H118)</f>
        <v>-0.91878609127600119</v>
      </c>
      <c r="O118" s="14"/>
      <c r="P118" s="1">
        <f>SUM(OSRRefP22_18x_0)</f>
        <v>20625.7</v>
      </c>
      <c r="Q118" s="1"/>
      <c r="R118" s="5">
        <f t="shared" ref="R118:R122" si="74">IF(P$12=0,0,P118/P$12)</f>
        <v>6.3919253084761653E-3</v>
      </c>
      <c r="S118" s="1"/>
      <c r="T118" s="1">
        <f>SUM(OSRRefT22_18x_0)</f>
        <v>43846</v>
      </c>
      <c r="U118" s="1"/>
      <c r="V118" s="5">
        <f t="shared" ref="V118:V122" si="75">IF(T$12=0,0,T118/T$12)</f>
        <v>9.3886399298346596E-3</v>
      </c>
      <c r="W118" s="1"/>
      <c r="X118" s="1">
        <f t="shared" ref="X118:X122" si="76">+P118-T118</f>
        <v>-23220.3</v>
      </c>
      <c r="Y118" s="1"/>
      <c r="Z118" s="5">
        <f t="shared" ref="Z118:Z122" si="77">IF(T118=0,0,X118/T118)</f>
        <v>-0.52958764767595679</v>
      </c>
    </row>
    <row r="119" spans="1:26" s="24" customFormat="1" hidden="1" outlineLevel="2" x14ac:dyDescent="0.3">
      <c r="A119" s="27"/>
      <c r="B119" s="11" t="str">
        <f>CONCATENATE("          ", "6252", " - ", "ROYALTY DUE CSTV")</f>
        <v xml:space="preserve">          6252 - ROYALTY DUE CSTV</v>
      </c>
      <c r="C119" s="11"/>
      <c r="D119" s="6"/>
      <c r="E119" s="2"/>
      <c r="F119" s="7">
        <f t="shared" si="70"/>
        <v>0</v>
      </c>
      <c r="G119" s="2"/>
      <c r="H119" s="6">
        <v>3014</v>
      </c>
      <c r="I119" s="2"/>
      <c r="J119" s="7">
        <f t="shared" si="71"/>
        <v>1.0333737905686641E-2</v>
      </c>
      <c r="K119" s="2"/>
      <c r="L119" s="6">
        <f t="shared" si="72"/>
        <v>-3014</v>
      </c>
      <c r="M119" s="2"/>
      <c r="N119" s="7">
        <f t="shared" si="73"/>
        <v>-1</v>
      </c>
      <c r="O119" s="11"/>
      <c r="P119" s="6"/>
      <c r="Q119" s="2"/>
      <c r="R119" s="7">
        <f t="shared" si="74"/>
        <v>0</v>
      </c>
      <c r="S119" s="2"/>
      <c r="T119" s="6">
        <v>8324</v>
      </c>
      <c r="U119" s="2"/>
      <c r="V119" s="7">
        <f t="shared" si="75"/>
        <v>1.7823983664631599E-3</v>
      </c>
      <c r="W119" s="2"/>
      <c r="X119" s="6">
        <f t="shared" si="76"/>
        <v>-8324</v>
      </c>
      <c r="Y119" s="2"/>
      <c r="Z119" s="7">
        <f t="shared" si="77"/>
        <v>-1</v>
      </c>
    </row>
    <row r="120" spans="1:26" s="24" customFormat="1" hidden="1" outlineLevel="2" x14ac:dyDescent="0.3">
      <c r="A120" s="27"/>
      <c r="B120" s="11" t="str">
        <f>CONCATENATE("          ", "6253", " - ", "ROYALTY DUE ATHLETICS-LRG")</f>
        <v xml:space="preserve">          6253 - ROYALTY DUE ATHLETICS-LRG</v>
      </c>
      <c r="C120" s="11"/>
      <c r="D120" s="6"/>
      <c r="E120" s="2"/>
      <c r="F120" s="7">
        <f t="shared" si="70"/>
        <v>0</v>
      </c>
      <c r="G120" s="2"/>
      <c r="H120" s="6">
        <v>0</v>
      </c>
      <c r="I120" s="2"/>
      <c r="J120" s="7">
        <f t="shared" si="71"/>
        <v>0</v>
      </c>
      <c r="K120" s="2"/>
      <c r="L120" s="6">
        <f t="shared" si="72"/>
        <v>0</v>
      </c>
      <c r="M120" s="2"/>
      <c r="N120" s="7">
        <f t="shared" si="73"/>
        <v>0</v>
      </c>
      <c r="O120" s="11"/>
      <c r="P120" s="6">
        <v>23160.29</v>
      </c>
      <c r="Q120" s="2"/>
      <c r="R120" s="7">
        <f t="shared" si="74"/>
        <v>7.1773973151285746E-3</v>
      </c>
      <c r="S120" s="2"/>
      <c r="T120" s="6">
        <v>16162</v>
      </c>
      <c r="U120" s="2"/>
      <c r="V120" s="7">
        <f t="shared" si="75"/>
        <v>3.4607307062443043E-3</v>
      </c>
      <c r="W120" s="2"/>
      <c r="X120" s="6">
        <f t="shared" si="76"/>
        <v>6998.2900000000009</v>
      </c>
      <c r="Y120" s="2"/>
      <c r="Z120" s="7">
        <f t="shared" si="77"/>
        <v>0.43300890978839257</v>
      </c>
    </row>
    <row r="121" spans="1:26" s="24" customFormat="1" hidden="1" outlineLevel="2" x14ac:dyDescent="0.3">
      <c r="A121" s="27"/>
      <c r="B121" s="11" t="str">
        <f>CONCATENATE("          ", "6254", " - ", "ROYALTY &amp; COMMISSIONS")</f>
        <v xml:space="preserve">          6254 - ROYALTY &amp; COMMISSIONS</v>
      </c>
      <c r="C121" s="11"/>
      <c r="D121" s="6"/>
      <c r="E121" s="2"/>
      <c r="F121" s="7">
        <f t="shared" si="70"/>
        <v>0</v>
      </c>
      <c r="G121" s="2"/>
      <c r="H121" s="6">
        <v>0</v>
      </c>
      <c r="I121" s="2"/>
      <c r="J121" s="7">
        <f t="shared" si="71"/>
        <v>0</v>
      </c>
      <c r="K121" s="2"/>
      <c r="L121" s="6">
        <f t="shared" si="72"/>
        <v>0</v>
      </c>
      <c r="M121" s="2"/>
      <c r="N121" s="7">
        <f t="shared" si="73"/>
        <v>0</v>
      </c>
      <c r="O121" s="11"/>
      <c r="P121" s="6">
        <v>-7027.5</v>
      </c>
      <c r="Q121" s="2"/>
      <c r="R121" s="7">
        <f t="shared" si="74"/>
        <v>-2.17782936362481E-3</v>
      </c>
      <c r="S121" s="2"/>
      <c r="T121" s="6">
        <v>0</v>
      </c>
      <c r="U121" s="2"/>
      <c r="V121" s="7">
        <f t="shared" si="75"/>
        <v>0</v>
      </c>
      <c r="W121" s="2"/>
      <c r="X121" s="6">
        <f t="shared" si="76"/>
        <v>-7027.5</v>
      </c>
      <c r="Y121" s="2"/>
      <c r="Z121" s="7">
        <f t="shared" si="77"/>
        <v>0</v>
      </c>
    </row>
    <row r="122" spans="1:26" s="24" customFormat="1" hidden="1" outlineLevel="2" x14ac:dyDescent="0.3">
      <c r="A122" s="27"/>
      <c r="B122" s="11" t="str">
        <f>CONCATENATE("          ", "6259", " - ", "ROYALTY &amp; COMMISSIONS")</f>
        <v xml:space="preserve">          6259 - ROYALTY &amp; COMMISSIONS</v>
      </c>
      <c r="C122" s="11"/>
      <c r="D122" s="6">
        <v>784.77</v>
      </c>
      <c r="E122" s="2"/>
      <c r="F122" s="7">
        <f t="shared" si="70"/>
        <v>2.5310289467830494E-3</v>
      </c>
      <c r="G122" s="2"/>
      <c r="H122" s="6">
        <v>6649</v>
      </c>
      <c r="I122" s="2"/>
      <c r="J122" s="7">
        <f t="shared" si="71"/>
        <v>2.2796623535139508E-2</v>
      </c>
      <c r="K122" s="2"/>
      <c r="L122" s="6">
        <f t="shared" si="72"/>
        <v>-5864.23</v>
      </c>
      <c r="M122" s="2"/>
      <c r="N122" s="7">
        <f t="shared" si="73"/>
        <v>-0.88197172507143928</v>
      </c>
      <c r="O122" s="11"/>
      <c r="P122" s="6">
        <v>4492.91</v>
      </c>
      <c r="Q122" s="2"/>
      <c r="R122" s="7">
        <f t="shared" si="74"/>
        <v>1.3923573569724007E-3</v>
      </c>
      <c r="S122" s="2"/>
      <c r="T122" s="6">
        <v>19360</v>
      </c>
      <c r="U122" s="2"/>
      <c r="V122" s="7">
        <f t="shared" si="75"/>
        <v>4.1455108571271954E-3</v>
      </c>
      <c r="W122" s="2"/>
      <c r="X122" s="6">
        <f t="shared" si="76"/>
        <v>-14867.09</v>
      </c>
      <c r="Y122" s="2"/>
      <c r="Z122" s="7">
        <f t="shared" si="77"/>
        <v>-0.7679282024793388</v>
      </c>
    </row>
    <row r="123" spans="1:26" s="29" customFormat="1" outlineLevel="1" collapsed="1" x14ac:dyDescent="0.3">
      <c r="A123" s="28"/>
      <c r="B123" s="14" t="str">
        <f>CONCATENATE("     ","Services                                          ")</f>
        <v xml:space="preserve">     Services                                          </v>
      </c>
      <c r="C123" s="14"/>
      <c r="D123" s="1">
        <f>SUM(OSRRefD22_19x_0)</f>
        <v>4925.1099999999997</v>
      </c>
      <c r="E123" s="1"/>
      <c r="F123" s="5">
        <f t="shared" ref="F123:F127" si="78">IF(D$12=0,0,D123/D$12)</f>
        <v>1.5884394123234405E-2</v>
      </c>
      <c r="G123" s="1"/>
      <c r="H123" s="1">
        <f>SUM(OSRRefH22_19x_0)</f>
        <v>4652</v>
      </c>
      <c r="I123" s="1"/>
      <c r="J123" s="5">
        <f t="shared" ref="J123:J127" si="79">IF(H$12=0,0,H123/H$12)</f>
        <v>1.5949750742287411E-2</v>
      </c>
      <c r="K123" s="1"/>
      <c r="L123" s="1">
        <f t="shared" ref="L123:L127" si="80">+D123-H123</f>
        <v>273.10999999999967</v>
      </c>
      <c r="M123" s="1"/>
      <c r="N123" s="5">
        <f t="shared" ref="N123:N127" si="81">IF(H123=0,0,L123/H123)</f>
        <v>5.8708082545141801E-2</v>
      </c>
      <c r="O123" s="14"/>
      <c r="P123" s="1">
        <f>SUM(OSRRefP22_19x_0)</f>
        <v>40332.11</v>
      </c>
      <c r="Q123" s="1"/>
      <c r="R123" s="5">
        <f t="shared" ref="R123:R127" si="82">IF(P$12=0,0,P123/P$12)</f>
        <v>1.2498961715396065E-2</v>
      </c>
      <c r="S123" s="1"/>
      <c r="T123" s="1">
        <f>SUM(OSRRefT22_19x_0)</f>
        <v>23037</v>
      </c>
      <c r="U123" s="1"/>
      <c r="V123" s="5">
        <f t="shared" ref="V123:V127" si="83">IF(T$12=0,0,T123/T$12)</f>
        <v>4.9328581413036771E-3</v>
      </c>
      <c r="W123" s="1"/>
      <c r="X123" s="1">
        <f t="shared" ref="X123:X127" si="84">+P123-T123</f>
        <v>17295.11</v>
      </c>
      <c r="Y123" s="1"/>
      <c r="Z123" s="5">
        <f t="shared" ref="Z123:Z127" si="85">IF(T123=0,0,X123/T123)</f>
        <v>0.75075357034336065</v>
      </c>
    </row>
    <row r="124" spans="1:26" s="24" customFormat="1" hidden="1" outlineLevel="2" x14ac:dyDescent="0.3">
      <c r="A124" s="27"/>
      <c r="B124" s="11" t="str">
        <f>CONCATENATE("          ", "6282", " - ", "JANITORIAL/EXTERMINATOR EXPENS")</f>
        <v xml:space="preserve">          6282 - JANITORIAL/EXTERMINATOR EXPENS</v>
      </c>
      <c r="C124" s="11"/>
      <c r="D124" s="6">
        <v>449.25</v>
      </c>
      <c r="E124" s="2"/>
      <c r="F124" s="7">
        <f t="shared" si="78"/>
        <v>1.4489146556854683E-3</v>
      </c>
      <c r="G124" s="2"/>
      <c r="H124" s="6">
        <v>4558</v>
      </c>
      <c r="I124" s="2"/>
      <c r="J124" s="7">
        <f t="shared" si="79"/>
        <v>1.5627464291346951E-2</v>
      </c>
      <c r="K124" s="2"/>
      <c r="L124" s="6">
        <f t="shared" si="80"/>
        <v>-4108.75</v>
      </c>
      <c r="M124" s="2"/>
      <c r="N124" s="7">
        <f t="shared" si="81"/>
        <v>-0.90143703378674855</v>
      </c>
      <c r="O124" s="11"/>
      <c r="P124" s="6">
        <v>3458.93</v>
      </c>
      <c r="Q124" s="2"/>
      <c r="R124" s="7">
        <f t="shared" si="82"/>
        <v>1.0719259083205642E-3</v>
      </c>
      <c r="S124" s="2"/>
      <c r="T124" s="6">
        <v>22532</v>
      </c>
      <c r="U124" s="2"/>
      <c r="V124" s="7">
        <f t="shared" si="83"/>
        <v>4.8247236897102251E-3</v>
      </c>
      <c r="W124" s="2"/>
      <c r="X124" s="6">
        <f t="shared" si="84"/>
        <v>-19073.07</v>
      </c>
      <c r="Y124" s="2"/>
      <c r="Z124" s="7">
        <f t="shared" si="85"/>
        <v>-0.84648810580507716</v>
      </c>
    </row>
    <row r="125" spans="1:26" s="24" customFormat="1" hidden="1" outlineLevel="2" x14ac:dyDescent="0.3">
      <c r="A125" s="27"/>
      <c r="B125" s="11" t="str">
        <f>CONCATENATE("          ", "6284", " - ", "TRASH REMOVAL EXPENSE")</f>
        <v xml:space="preserve">          6284 - TRASH REMOVAL EXPENSE</v>
      </c>
      <c r="C125" s="11"/>
      <c r="D125" s="6">
        <v>149.69999999999999</v>
      </c>
      <c r="E125" s="2"/>
      <c r="F125" s="7">
        <f t="shared" si="78"/>
        <v>4.8281029261238644E-4</v>
      </c>
      <c r="G125" s="2"/>
      <c r="H125" s="6">
        <v>60</v>
      </c>
      <c r="I125" s="2"/>
      <c r="J125" s="7">
        <f t="shared" si="79"/>
        <v>2.057147559194421E-4</v>
      </c>
      <c r="K125" s="2"/>
      <c r="L125" s="6">
        <f t="shared" si="80"/>
        <v>89.699999999999989</v>
      </c>
      <c r="M125" s="2"/>
      <c r="N125" s="7">
        <f t="shared" si="81"/>
        <v>1.4949999999999999</v>
      </c>
      <c r="O125" s="11"/>
      <c r="P125" s="6">
        <v>741.37</v>
      </c>
      <c r="Q125" s="2"/>
      <c r="R125" s="7">
        <f t="shared" si="82"/>
        <v>2.2975131345578448E-4</v>
      </c>
      <c r="S125" s="2"/>
      <c r="T125" s="6">
        <v>360</v>
      </c>
      <c r="U125" s="2"/>
      <c r="V125" s="7">
        <f t="shared" si="83"/>
        <v>7.7085945690381728E-5</v>
      </c>
      <c r="W125" s="2"/>
      <c r="X125" s="6">
        <f t="shared" si="84"/>
        <v>381.37</v>
      </c>
      <c r="Y125" s="2"/>
      <c r="Z125" s="7">
        <f t="shared" si="85"/>
        <v>1.0593611111111112</v>
      </c>
    </row>
    <row r="126" spans="1:26" s="24" customFormat="1" hidden="1" outlineLevel="2" x14ac:dyDescent="0.3">
      <c r="A126" s="27"/>
      <c r="B126" s="11" t="str">
        <f>CONCATENATE("          ", "6285", " - ", "JANITORIAL SERVICES")</f>
        <v xml:space="preserve">          6285 - JANITORIAL SERVICES</v>
      </c>
      <c r="C126" s="11"/>
      <c r="D126" s="6">
        <v>4222.28</v>
      </c>
      <c r="E126" s="2"/>
      <c r="F126" s="7">
        <f t="shared" si="78"/>
        <v>1.3617636889054287E-2</v>
      </c>
      <c r="G126" s="2"/>
      <c r="H126" s="6"/>
      <c r="I126" s="2"/>
      <c r="J126" s="7">
        <f t="shared" si="79"/>
        <v>0</v>
      </c>
      <c r="K126" s="2"/>
      <c r="L126" s="6">
        <f t="shared" si="80"/>
        <v>4222.28</v>
      </c>
      <c r="M126" s="2"/>
      <c r="N126" s="7">
        <f t="shared" si="81"/>
        <v>0</v>
      </c>
      <c r="O126" s="11"/>
      <c r="P126" s="6">
        <v>35820.17</v>
      </c>
      <c r="Q126" s="2"/>
      <c r="R126" s="7">
        <f t="shared" si="82"/>
        <v>1.1100706942160444E-2</v>
      </c>
      <c r="S126" s="2"/>
      <c r="T126" s="6"/>
      <c r="U126" s="2"/>
      <c r="V126" s="7">
        <f t="shared" si="83"/>
        <v>0</v>
      </c>
      <c r="W126" s="2"/>
      <c r="X126" s="6">
        <f t="shared" si="84"/>
        <v>35820.17</v>
      </c>
      <c r="Y126" s="2"/>
      <c r="Z126" s="7">
        <f t="shared" si="85"/>
        <v>0</v>
      </c>
    </row>
    <row r="127" spans="1:26" s="24" customFormat="1" hidden="1" outlineLevel="2" x14ac:dyDescent="0.3">
      <c r="A127" s="27"/>
      <c r="B127" s="11" t="str">
        <f>CONCATENATE("          ", "6286", " - ", "LAUNDRY EXPENSE")</f>
        <v xml:space="preserve">          6286 - LAUNDRY EXPENSE</v>
      </c>
      <c r="C127" s="11"/>
      <c r="D127" s="6">
        <v>103.88</v>
      </c>
      <c r="E127" s="2"/>
      <c r="F127" s="7">
        <f t="shared" si="78"/>
        <v>3.3503228588226255E-4</v>
      </c>
      <c r="G127" s="2"/>
      <c r="H127" s="6">
        <v>34</v>
      </c>
      <c r="I127" s="2"/>
      <c r="J127" s="7">
        <f t="shared" si="79"/>
        <v>1.1657169502101718E-4</v>
      </c>
      <c r="K127" s="2"/>
      <c r="L127" s="6">
        <f t="shared" si="80"/>
        <v>69.88</v>
      </c>
      <c r="M127" s="2"/>
      <c r="N127" s="7">
        <f t="shared" si="81"/>
        <v>2.0552941176470587</v>
      </c>
      <c r="O127" s="11"/>
      <c r="P127" s="6">
        <v>311.64</v>
      </c>
      <c r="Q127" s="2"/>
      <c r="R127" s="7">
        <f t="shared" si="82"/>
        <v>9.6577551459272256E-5</v>
      </c>
      <c r="S127" s="2"/>
      <c r="T127" s="6">
        <v>145</v>
      </c>
      <c r="U127" s="2"/>
      <c r="V127" s="7">
        <f t="shared" si="83"/>
        <v>3.1048505903070417E-5</v>
      </c>
      <c r="W127" s="2"/>
      <c r="X127" s="6">
        <f t="shared" si="84"/>
        <v>166.64</v>
      </c>
      <c r="Y127" s="2"/>
      <c r="Z127" s="7">
        <f t="shared" si="85"/>
        <v>1.1492413793103446</v>
      </c>
    </row>
    <row r="128" spans="1:26" s="29" customFormat="1" outlineLevel="1" collapsed="1" x14ac:dyDescent="0.3">
      <c r="A128" s="28"/>
      <c r="B128" s="14" t="str">
        <f>CONCATENATE("     ","Subscriptions &amp; Dues                              ")</f>
        <v xml:space="preserve">     Subscriptions &amp; Dues                              </v>
      </c>
      <c r="C128" s="14"/>
      <c r="D128" s="1">
        <f>SUM(OSRRefD22_20x_0)</f>
        <v>148.66</v>
      </c>
      <c r="E128" s="1"/>
      <c r="F128" s="5">
        <f t="shared" ref="F128:F130" si="86">IF(D$12=0,0,D128/D$12)</f>
        <v>4.7945609953077735E-4</v>
      </c>
      <c r="G128" s="1"/>
      <c r="H128" s="1">
        <f>SUM(OSRRefH22_20x_0)</f>
        <v>381</v>
      </c>
      <c r="I128" s="1"/>
      <c r="J128" s="5">
        <f t="shared" ref="J128:J130" si="87">IF(H$12=0,0,H128/H$12)</f>
        <v>1.3062887000884573E-3</v>
      </c>
      <c r="K128" s="1"/>
      <c r="L128" s="1">
        <f t="shared" ref="L128:L130" si="88">+D128-H128</f>
        <v>-232.34</v>
      </c>
      <c r="M128" s="1"/>
      <c r="N128" s="5">
        <f t="shared" ref="N128:N130" si="89">IF(H128=0,0,L128/H128)</f>
        <v>-0.60981627296587926</v>
      </c>
      <c r="O128" s="14"/>
      <c r="P128" s="1">
        <f>SUM(OSRRefP22_20x_0)</f>
        <v>1105.5</v>
      </c>
      <c r="Q128" s="1"/>
      <c r="R128" s="5">
        <f t="shared" ref="R128:R130" si="90">IF(P$12=0,0,P128/P$12)</f>
        <v>3.4259556904834258E-4</v>
      </c>
      <c r="S128" s="1"/>
      <c r="T128" s="1">
        <f>SUM(OSRRefT22_20x_0)</f>
        <v>5260</v>
      </c>
      <c r="U128" s="1"/>
      <c r="V128" s="5">
        <f t="shared" ref="V128:V130" si="91">IF(T$12=0,0,T128/T$12)</f>
        <v>1.1263113175872441E-3</v>
      </c>
      <c r="W128" s="1"/>
      <c r="X128" s="1">
        <f t="shared" ref="X128:X130" si="92">+P128-T128</f>
        <v>-4154.5</v>
      </c>
      <c r="Y128" s="1"/>
      <c r="Z128" s="5">
        <f t="shared" ref="Z128:Z130" si="93">IF(T128=0,0,X128/T128)</f>
        <v>-0.789828897338403</v>
      </c>
    </row>
    <row r="129" spans="1:26" s="24" customFormat="1" hidden="1" outlineLevel="2" x14ac:dyDescent="0.3">
      <c r="A129" s="27"/>
      <c r="B129" s="11" t="str">
        <f>CONCATENATE("          ", "6258", " - ", "MEMBERSHIP DUES")</f>
        <v xml:space="preserve">          6258 - MEMBERSHIP DUES</v>
      </c>
      <c r="C129" s="11"/>
      <c r="D129" s="6">
        <v>148.66</v>
      </c>
      <c r="E129" s="2"/>
      <c r="F129" s="7">
        <f t="shared" si="86"/>
        <v>4.7945609953077735E-4</v>
      </c>
      <c r="G129" s="2"/>
      <c r="H129" s="6">
        <v>300</v>
      </c>
      <c r="I129" s="2"/>
      <c r="J129" s="7">
        <f t="shared" si="87"/>
        <v>1.0285737795972104E-3</v>
      </c>
      <c r="K129" s="2"/>
      <c r="L129" s="6">
        <f t="shared" si="88"/>
        <v>-151.34</v>
      </c>
      <c r="M129" s="2"/>
      <c r="N129" s="7">
        <f t="shared" si="89"/>
        <v>-0.50446666666666673</v>
      </c>
      <c r="O129" s="11"/>
      <c r="P129" s="6">
        <v>1105.5</v>
      </c>
      <c r="Q129" s="2"/>
      <c r="R129" s="7">
        <f t="shared" si="90"/>
        <v>3.4259556904834258E-4</v>
      </c>
      <c r="S129" s="2"/>
      <c r="T129" s="6">
        <v>4895</v>
      </c>
      <c r="U129" s="2"/>
      <c r="V129" s="7">
        <f t="shared" si="91"/>
        <v>1.0481547337622737E-3</v>
      </c>
      <c r="W129" s="2"/>
      <c r="X129" s="6">
        <f t="shared" si="92"/>
        <v>-3789.5</v>
      </c>
      <c r="Y129" s="2"/>
      <c r="Z129" s="7">
        <f t="shared" si="93"/>
        <v>-0.77415730337078648</v>
      </c>
    </row>
    <row r="130" spans="1:26" s="24" customFormat="1" hidden="1" outlineLevel="2" x14ac:dyDescent="0.3">
      <c r="A130" s="27"/>
      <c r="B130" s="11" t="str">
        <f>CONCATENATE("          ", "6275", " - ", "SUBSCRIPTIONS")</f>
        <v xml:space="preserve">          6275 - SUBSCRIPTIONS</v>
      </c>
      <c r="C130" s="11"/>
      <c r="D130" s="6"/>
      <c r="E130" s="2"/>
      <c r="F130" s="7">
        <f t="shared" si="86"/>
        <v>0</v>
      </c>
      <c r="G130" s="2"/>
      <c r="H130" s="6">
        <v>81</v>
      </c>
      <c r="I130" s="2"/>
      <c r="J130" s="7">
        <f t="shared" si="87"/>
        <v>2.7771492049124684E-4</v>
      </c>
      <c r="K130" s="2"/>
      <c r="L130" s="6">
        <f t="shared" si="88"/>
        <v>-81</v>
      </c>
      <c r="M130" s="2"/>
      <c r="N130" s="7">
        <f t="shared" si="89"/>
        <v>-1</v>
      </c>
      <c r="O130" s="11"/>
      <c r="P130" s="6"/>
      <c r="Q130" s="2"/>
      <c r="R130" s="7">
        <f t="shared" si="90"/>
        <v>0</v>
      </c>
      <c r="S130" s="2"/>
      <c r="T130" s="6">
        <v>365</v>
      </c>
      <c r="U130" s="2"/>
      <c r="V130" s="7">
        <f t="shared" si="91"/>
        <v>7.8156583824970371E-5</v>
      </c>
      <c r="W130" s="2"/>
      <c r="X130" s="6">
        <f t="shared" si="92"/>
        <v>-365</v>
      </c>
      <c r="Y130" s="2"/>
      <c r="Z130" s="7">
        <f t="shared" si="93"/>
        <v>-1</v>
      </c>
    </row>
    <row r="131" spans="1:26" s="29" customFormat="1" outlineLevel="1" collapsed="1" x14ac:dyDescent="0.3">
      <c r="A131" s="28"/>
      <c r="B131" s="14" t="str">
        <f>CONCATENATE("     ","Supplies                                          ")</f>
        <v xml:space="preserve">     Supplies                                          </v>
      </c>
      <c r="C131" s="14"/>
      <c r="D131" s="1">
        <f>SUM(OSRRefD22_21x_0)</f>
        <v>7026.06</v>
      </c>
      <c r="E131" s="1"/>
      <c r="F131" s="5">
        <f t="shared" ref="F131:F138" si="94">IF(D$12=0,0,D131/D$12)</f>
        <v>2.2660347925933095E-2</v>
      </c>
      <c r="G131" s="1"/>
      <c r="H131" s="1">
        <f>SUM(OSRRefH22_21x_0)</f>
        <v>9560</v>
      </c>
      <c r="I131" s="1"/>
      <c r="J131" s="5">
        <f t="shared" ref="J131:J138" si="95">IF(H$12=0,0,H131/H$12)</f>
        <v>3.2777217776497773E-2</v>
      </c>
      <c r="K131" s="1"/>
      <c r="L131" s="1">
        <f t="shared" ref="L131:L138" si="96">+D131-H131</f>
        <v>-2533.9399999999996</v>
      </c>
      <c r="M131" s="1"/>
      <c r="N131" s="5">
        <f t="shared" ref="N131:N138" si="97">IF(H131=0,0,L131/H131)</f>
        <v>-0.26505648535564852</v>
      </c>
      <c r="O131" s="14"/>
      <c r="P131" s="1">
        <f>SUM(OSRRefP22_21x_0)</f>
        <v>49321.210000000006</v>
      </c>
      <c r="Q131" s="1"/>
      <c r="R131" s="5">
        <f t="shared" ref="R131:R138" si="98">IF(P$12=0,0,P131/P$12)</f>
        <v>1.5284692904661066E-2</v>
      </c>
      <c r="S131" s="1"/>
      <c r="T131" s="1">
        <f>SUM(OSRRefT22_21x_0)</f>
        <v>61730</v>
      </c>
      <c r="U131" s="1"/>
      <c r="V131" s="5">
        <f t="shared" ref="V131:V138" si="99">IF(T$12=0,0,T131/T$12)</f>
        <v>1.321809840963129E-2</v>
      </c>
      <c r="W131" s="1"/>
      <c r="X131" s="1">
        <f t="shared" ref="X131:X138" si="100">+P131-T131</f>
        <v>-12408.789999999994</v>
      </c>
      <c r="Y131" s="1"/>
      <c r="Z131" s="5">
        <f t="shared" ref="Z131:Z138" si="101">IF(T131=0,0,X131/T131)</f>
        <v>-0.20101717155353951</v>
      </c>
    </row>
    <row r="132" spans="1:26" s="24" customFormat="1" hidden="1" outlineLevel="2" x14ac:dyDescent="0.3">
      <c r="A132" s="27"/>
      <c r="B132" s="11" t="str">
        <f>CONCATENATE("          ", "6234", " - ", "EXPENDABLE SUPPLIES &amp; EQUIPMEN")</f>
        <v xml:space="preserve">          6234 - EXPENDABLE SUPPLIES &amp; EQUIPMEN</v>
      </c>
      <c r="C132" s="11"/>
      <c r="D132" s="6">
        <v>2747.16</v>
      </c>
      <c r="E132" s="2"/>
      <c r="F132" s="7">
        <f t="shared" si="94"/>
        <v>8.8601010250704305E-3</v>
      </c>
      <c r="G132" s="2"/>
      <c r="H132" s="6">
        <v>350</v>
      </c>
      <c r="I132" s="2"/>
      <c r="J132" s="7">
        <f t="shared" si="95"/>
        <v>1.2000027428634122E-3</v>
      </c>
      <c r="K132" s="2"/>
      <c r="L132" s="6">
        <f t="shared" si="96"/>
        <v>2397.16</v>
      </c>
      <c r="M132" s="2"/>
      <c r="N132" s="7">
        <f t="shared" si="97"/>
        <v>6.8490285714285708</v>
      </c>
      <c r="O132" s="11"/>
      <c r="P132" s="6">
        <v>6484.46</v>
      </c>
      <c r="Q132" s="2"/>
      <c r="R132" s="7">
        <f t="shared" si="98"/>
        <v>2.0095407179296387E-3</v>
      </c>
      <c r="S132" s="2"/>
      <c r="T132" s="6">
        <v>1250</v>
      </c>
      <c r="U132" s="2"/>
      <c r="V132" s="7">
        <f t="shared" si="99"/>
        <v>2.676595336471588E-4</v>
      </c>
      <c r="W132" s="2"/>
      <c r="X132" s="6">
        <f t="shared" si="100"/>
        <v>5234.46</v>
      </c>
      <c r="Y132" s="2"/>
      <c r="Z132" s="7">
        <f t="shared" si="101"/>
        <v>4.1875679999999997</v>
      </c>
    </row>
    <row r="133" spans="1:26" s="24" customFormat="1" hidden="1" outlineLevel="2" x14ac:dyDescent="0.3">
      <c r="A133" s="27"/>
      <c r="B133" s="11" t="str">
        <f>CONCATENATE("          ", "6235", " - ", "COVID-19 EXPENSES")</f>
        <v xml:space="preserve">          6235 - COVID-19 EXPENSES</v>
      </c>
      <c r="C133" s="11"/>
      <c r="D133" s="6"/>
      <c r="E133" s="2"/>
      <c r="F133" s="7">
        <f t="shared" si="94"/>
        <v>0</v>
      </c>
      <c r="G133" s="2"/>
      <c r="H133" s="6">
        <v>125</v>
      </c>
      <c r="I133" s="2"/>
      <c r="J133" s="7">
        <f t="shared" si="95"/>
        <v>4.2857240816550438E-4</v>
      </c>
      <c r="K133" s="2"/>
      <c r="L133" s="6">
        <f t="shared" si="96"/>
        <v>-125</v>
      </c>
      <c r="M133" s="2"/>
      <c r="N133" s="7">
        <f t="shared" si="97"/>
        <v>-1</v>
      </c>
      <c r="O133" s="11"/>
      <c r="P133" s="6">
        <v>3430.32</v>
      </c>
      <c r="Q133" s="2"/>
      <c r="R133" s="7">
        <f t="shared" si="98"/>
        <v>1.0630596403599373E-3</v>
      </c>
      <c r="S133" s="2"/>
      <c r="T133" s="6">
        <v>625</v>
      </c>
      <c r="U133" s="2"/>
      <c r="V133" s="7">
        <f t="shared" si="99"/>
        <v>1.338297668235794E-4</v>
      </c>
      <c r="W133" s="2"/>
      <c r="X133" s="6">
        <f t="shared" si="100"/>
        <v>2805.32</v>
      </c>
      <c r="Y133" s="2"/>
      <c r="Z133" s="7">
        <f t="shared" si="101"/>
        <v>4.4885120000000001</v>
      </c>
    </row>
    <row r="134" spans="1:26" s="24" customFormat="1" hidden="1" outlineLevel="2" x14ac:dyDescent="0.3">
      <c r="A134" s="27"/>
      <c r="B134" s="11" t="str">
        <f>CONCATENATE("          ", "6237", " - ", "JANITORIAL SUPPLIES")</f>
        <v xml:space="preserve">          6237 - JANITORIAL SUPPLIES</v>
      </c>
      <c r="C134" s="11"/>
      <c r="D134" s="6">
        <v>489.67</v>
      </c>
      <c r="E134" s="2"/>
      <c r="F134" s="7">
        <f t="shared" si="94"/>
        <v>1.579276659876468E-3</v>
      </c>
      <c r="G134" s="2"/>
      <c r="H134" s="6">
        <v>10</v>
      </c>
      <c r="I134" s="2"/>
      <c r="J134" s="7">
        <f t="shared" si="95"/>
        <v>3.4285792653240348E-5</v>
      </c>
      <c r="K134" s="2"/>
      <c r="L134" s="6">
        <f t="shared" si="96"/>
        <v>479.67</v>
      </c>
      <c r="M134" s="2"/>
      <c r="N134" s="7">
        <f t="shared" si="97"/>
        <v>47.966999999999999</v>
      </c>
      <c r="O134" s="11"/>
      <c r="P134" s="6">
        <v>4393.32</v>
      </c>
      <c r="Q134" s="2"/>
      <c r="R134" s="7">
        <f t="shared" si="98"/>
        <v>1.3614943151618855E-3</v>
      </c>
      <c r="S134" s="2"/>
      <c r="T134" s="6">
        <v>190</v>
      </c>
      <c r="U134" s="2"/>
      <c r="V134" s="7">
        <f t="shared" si="99"/>
        <v>4.0684249114368137E-5</v>
      </c>
      <c r="W134" s="2"/>
      <c r="X134" s="6">
        <f t="shared" si="100"/>
        <v>4203.32</v>
      </c>
      <c r="Y134" s="2"/>
      <c r="Z134" s="7">
        <f t="shared" si="101"/>
        <v>22.122736842105262</v>
      </c>
    </row>
    <row r="135" spans="1:26" s="24" customFormat="1" hidden="1" outlineLevel="2" x14ac:dyDescent="0.3">
      <c r="A135" s="27"/>
      <c r="B135" s="11" t="str">
        <f>CONCATENATE("          ", "6241", " - ", "OFFICE EXPENSE")</f>
        <v xml:space="preserve">          6241 - OFFICE EXPENSE</v>
      </c>
      <c r="C135" s="11"/>
      <c r="D135" s="6">
        <v>512.19000000000005</v>
      </c>
      <c r="E135" s="2"/>
      <c r="F135" s="7">
        <f t="shared" si="94"/>
        <v>1.6519078408359267E-3</v>
      </c>
      <c r="G135" s="2"/>
      <c r="H135" s="6">
        <v>470</v>
      </c>
      <c r="I135" s="2"/>
      <c r="J135" s="7">
        <f t="shared" si="95"/>
        <v>1.6114322547022965E-3</v>
      </c>
      <c r="K135" s="2"/>
      <c r="L135" s="6">
        <f t="shared" si="96"/>
        <v>42.190000000000055</v>
      </c>
      <c r="M135" s="2"/>
      <c r="N135" s="7">
        <f t="shared" si="97"/>
        <v>8.9765957446808625E-2</v>
      </c>
      <c r="O135" s="11"/>
      <c r="P135" s="6">
        <v>7718.89</v>
      </c>
      <c r="Q135" s="2"/>
      <c r="R135" s="7">
        <f t="shared" si="98"/>
        <v>2.3920918244880701E-3</v>
      </c>
      <c r="S135" s="2"/>
      <c r="T135" s="6">
        <v>2650</v>
      </c>
      <c r="U135" s="2"/>
      <c r="V135" s="7">
        <f t="shared" si="99"/>
        <v>5.6743821133197663E-4</v>
      </c>
      <c r="W135" s="2"/>
      <c r="X135" s="6">
        <f t="shared" si="100"/>
        <v>5068.8900000000003</v>
      </c>
      <c r="Y135" s="2"/>
      <c r="Z135" s="7">
        <f t="shared" si="101"/>
        <v>1.9127886792452831</v>
      </c>
    </row>
    <row r="136" spans="1:26" s="24" customFormat="1" hidden="1" outlineLevel="2" x14ac:dyDescent="0.3">
      <c r="A136" s="27"/>
      <c r="B136" s="11" t="str">
        <f>CONCATENATE("          ", "6243", " - ", "PAPER SUPPLIES")</f>
        <v xml:space="preserve">          6243 - PAPER SUPPLIES</v>
      </c>
      <c r="C136" s="11"/>
      <c r="D136" s="6">
        <v>284.11</v>
      </c>
      <c r="E136" s="2"/>
      <c r="F136" s="7">
        <f t="shared" si="94"/>
        <v>9.1630749655380837E-4</v>
      </c>
      <c r="G136" s="2"/>
      <c r="H136" s="6">
        <v>1800</v>
      </c>
      <c r="I136" s="2"/>
      <c r="J136" s="7">
        <f t="shared" si="95"/>
        <v>6.171442677583263E-3</v>
      </c>
      <c r="K136" s="2"/>
      <c r="L136" s="6">
        <f t="shared" si="96"/>
        <v>-1515.8899999999999</v>
      </c>
      <c r="M136" s="2"/>
      <c r="N136" s="7">
        <f t="shared" si="97"/>
        <v>-0.84216111111111103</v>
      </c>
      <c r="O136" s="11"/>
      <c r="P136" s="6">
        <v>4470.8999999999996</v>
      </c>
      <c r="Q136" s="2"/>
      <c r="R136" s="7">
        <f t="shared" si="98"/>
        <v>1.3855364356926592E-3</v>
      </c>
      <c r="S136" s="2"/>
      <c r="T136" s="6">
        <v>18500</v>
      </c>
      <c r="U136" s="2"/>
      <c r="V136" s="7">
        <f t="shared" si="99"/>
        <v>3.9613610979779496E-3</v>
      </c>
      <c r="W136" s="2"/>
      <c r="X136" s="6">
        <f t="shared" si="100"/>
        <v>-14029.1</v>
      </c>
      <c r="Y136" s="2"/>
      <c r="Z136" s="7">
        <f t="shared" si="101"/>
        <v>-0.75832972972972978</v>
      </c>
    </row>
    <row r="137" spans="1:26" s="24" customFormat="1" hidden="1" outlineLevel="2" x14ac:dyDescent="0.3">
      <c r="A137" s="27"/>
      <c r="B137" s="11" t="str">
        <f>CONCATENATE("          ", "6245", " - ", "PRINTING")</f>
        <v xml:space="preserve">          6245 - PRINTING</v>
      </c>
      <c r="C137" s="11"/>
      <c r="D137" s="6">
        <v>1092.56</v>
      </c>
      <c r="E137" s="2"/>
      <c r="F137" s="7">
        <f t="shared" si="94"/>
        <v>3.5237088396565725E-3</v>
      </c>
      <c r="G137" s="2"/>
      <c r="H137" s="6">
        <v>80</v>
      </c>
      <c r="I137" s="2"/>
      <c r="J137" s="7">
        <f t="shared" si="95"/>
        <v>2.7428634122592278E-4</v>
      </c>
      <c r="K137" s="2"/>
      <c r="L137" s="6">
        <f t="shared" si="96"/>
        <v>1012.56</v>
      </c>
      <c r="M137" s="2"/>
      <c r="N137" s="7">
        <f t="shared" si="97"/>
        <v>12.657</v>
      </c>
      <c r="O137" s="11"/>
      <c r="P137" s="6">
        <v>1065.49</v>
      </c>
      <c r="Q137" s="2"/>
      <c r="R137" s="7">
        <f t="shared" si="98"/>
        <v>3.3019642954800415E-4</v>
      </c>
      <c r="S137" s="2"/>
      <c r="T137" s="6">
        <v>1985</v>
      </c>
      <c r="U137" s="2"/>
      <c r="V137" s="7">
        <f t="shared" si="99"/>
        <v>4.2504333943168816E-4</v>
      </c>
      <c r="W137" s="2"/>
      <c r="X137" s="6">
        <f t="shared" si="100"/>
        <v>-919.51</v>
      </c>
      <c r="Y137" s="2"/>
      <c r="Z137" s="7">
        <f t="shared" si="101"/>
        <v>-0.46322921914357684</v>
      </c>
    </row>
    <row r="138" spans="1:26" s="24" customFormat="1" hidden="1" outlineLevel="2" x14ac:dyDescent="0.3">
      <c r="A138" s="27"/>
      <c r="B138" s="11" t="str">
        <f>CONCATENATE("          ", "6247", " - ", "STORE SUPPLIES")</f>
        <v xml:space="preserve">          6247 - STORE SUPPLIES</v>
      </c>
      <c r="C138" s="11"/>
      <c r="D138" s="6">
        <v>1900.37</v>
      </c>
      <c r="E138" s="2"/>
      <c r="F138" s="7">
        <f t="shared" si="94"/>
        <v>6.1290460639398846E-3</v>
      </c>
      <c r="G138" s="2"/>
      <c r="H138" s="6">
        <v>6725</v>
      </c>
      <c r="I138" s="2"/>
      <c r="J138" s="7">
        <f t="shared" si="95"/>
        <v>2.3057195559304137E-2</v>
      </c>
      <c r="K138" s="2"/>
      <c r="L138" s="6">
        <f t="shared" si="96"/>
        <v>-4824.63</v>
      </c>
      <c r="M138" s="2"/>
      <c r="N138" s="7">
        <f t="shared" si="97"/>
        <v>-0.71741710037174722</v>
      </c>
      <c r="O138" s="11"/>
      <c r="P138" s="6">
        <v>21757.83</v>
      </c>
      <c r="Q138" s="2"/>
      <c r="R138" s="7">
        <f t="shared" si="98"/>
        <v>6.7427735414808693E-3</v>
      </c>
      <c r="S138" s="2"/>
      <c r="T138" s="6">
        <v>36530</v>
      </c>
      <c r="U138" s="2"/>
      <c r="V138" s="7">
        <f t="shared" si="99"/>
        <v>7.8220822113045686E-3</v>
      </c>
      <c r="W138" s="2"/>
      <c r="X138" s="6">
        <f t="shared" si="100"/>
        <v>-14772.169999999998</v>
      </c>
      <c r="Y138" s="2"/>
      <c r="Z138" s="7">
        <f t="shared" si="101"/>
        <v>-0.40438461538461534</v>
      </c>
    </row>
    <row r="139" spans="1:26" s="29" customFormat="1" outlineLevel="1" collapsed="1" x14ac:dyDescent="0.3">
      <c r="A139" s="28"/>
      <c r="B139" s="14" t="str">
        <f>CONCATENATE("     ","Telephone/Data Lines                              ")</f>
        <v xml:space="preserve">     Telephone/Data Lines                              </v>
      </c>
      <c r="C139" s="14"/>
      <c r="D139" s="1">
        <f>SUM(OSRRefD22_22x_0)</f>
        <v>1923.64</v>
      </c>
      <c r="E139" s="1"/>
      <c r="F139" s="5">
        <f t="shared" ref="F139:F141" si="102">IF(D$12=0,0,D139/D$12)</f>
        <v>6.2040961341408895E-3</v>
      </c>
      <c r="G139" s="1"/>
      <c r="H139" s="1">
        <f>SUM(OSRRefH22_22x_0)</f>
        <v>1913</v>
      </c>
      <c r="I139" s="1"/>
      <c r="J139" s="5">
        <f t="shared" ref="J139:J141" si="103">IF(H$12=0,0,H139/H$12)</f>
        <v>6.5588721345648787E-3</v>
      </c>
      <c r="K139" s="1"/>
      <c r="L139" s="1">
        <f t="shared" ref="L139:L141" si="104">+D139-H139</f>
        <v>10.6400000000001</v>
      </c>
      <c r="M139" s="1"/>
      <c r="N139" s="5">
        <f t="shared" ref="N139:N141" si="105">IF(H139=0,0,L139/H139)</f>
        <v>5.5619445896498169E-3</v>
      </c>
      <c r="O139" s="14"/>
      <c r="P139" s="1">
        <f>SUM(OSRRefP22_22x_0)</f>
        <v>10044.35</v>
      </c>
      <c r="Q139" s="1"/>
      <c r="R139" s="5">
        <f t="shared" ref="R139:R141" si="106">IF(P$12=0,0,P139/P$12)</f>
        <v>3.112754232447508E-3</v>
      </c>
      <c r="S139" s="1"/>
      <c r="T139" s="1">
        <f>SUM(OSRRefT22_22x_0)</f>
        <v>9915</v>
      </c>
      <c r="U139" s="1"/>
      <c r="V139" s="5">
        <f t="shared" ref="V139:V141" si="107">IF(T$12=0,0,T139/T$12)</f>
        <v>2.1230754208892634E-3</v>
      </c>
      <c r="W139" s="1"/>
      <c r="X139" s="1">
        <f t="shared" ref="X139:X141" si="108">+P139-T139</f>
        <v>129.35000000000036</v>
      </c>
      <c r="Y139" s="1"/>
      <c r="Z139" s="5">
        <f t="shared" ref="Z139:Z141" si="109">IF(T139=0,0,X139/T139)</f>
        <v>1.3045890065557272E-2</v>
      </c>
    </row>
    <row r="140" spans="1:26" s="24" customFormat="1" hidden="1" outlineLevel="2" x14ac:dyDescent="0.3">
      <c r="A140" s="27"/>
      <c r="B140" s="11" t="str">
        <f>CONCATENATE("          ", "6303", " - ", "DATA PHONE LINES")</f>
        <v xml:space="preserve">          6303 - DATA PHONE LINES</v>
      </c>
      <c r="C140" s="11"/>
      <c r="D140" s="6"/>
      <c r="E140" s="2"/>
      <c r="F140" s="7">
        <f t="shared" si="102"/>
        <v>0</v>
      </c>
      <c r="G140" s="2"/>
      <c r="H140" s="6">
        <v>50</v>
      </c>
      <c r="I140" s="2"/>
      <c r="J140" s="7">
        <f t="shared" si="103"/>
        <v>1.7142896326620175E-4</v>
      </c>
      <c r="K140" s="2"/>
      <c r="L140" s="6">
        <f t="shared" si="104"/>
        <v>-50</v>
      </c>
      <c r="M140" s="2"/>
      <c r="N140" s="7">
        <f t="shared" si="105"/>
        <v>-1</v>
      </c>
      <c r="O140" s="11"/>
      <c r="P140" s="6">
        <v>295</v>
      </c>
      <c r="Q140" s="2"/>
      <c r="R140" s="7">
        <f t="shared" si="106"/>
        <v>9.1420798615342438E-5</v>
      </c>
      <c r="S140" s="2"/>
      <c r="T140" s="6">
        <v>250</v>
      </c>
      <c r="U140" s="2"/>
      <c r="V140" s="7">
        <f t="shared" si="107"/>
        <v>5.3531906729431758E-5</v>
      </c>
      <c r="W140" s="2"/>
      <c r="X140" s="6">
        <f t="shared" si="108"/>
        <v>45</v>
      </c>
      <c r="Y140" s="2"/>
      <c r="Z140" s="7">
        <f t="shared" si="109"/>
        <v>0.18</v>
      </c>
    </row>
    <row r="141" spans="1:26" s="24" customFormat="1" hidden="1" outlineLevel="2" x14ac:dyDescent="0.3">
      <c r="A141" s="27"/>
      <c r="B141" s="11" t="str">
        <f>CONCATENATE("          ", "6309", " - ", "TELEPHONE")</f>
        <v xml:space="preserve">          6309 - TELEPHONE</v>
      </c>
      <c r="C141" s="11"/>
      <c r="D141" s="6">
        <v>1923.64</v>
      </c>
      <c r="E141" s="2"/>
      <c r="F141" s="7">
        <f t="shared" si="102"/>
        <v>6.2040961341408895E-3</v>
      </c>
      <c r="G141" s="2"/>
      <c r="H141" s="6">
        <v>1863</v>
      </c>
      <c r="I141" s="2"/>
      <c r="J141" s="7">
        <f t="shared" si="103"/>
        <v>6.3874431712986771E-3</v>
      </c>
      <c r="K141" s="2"/>
      <c r="L141" s="6">
        <f t="shared" si="104"/>
        <v>60.6400000000001</v>
      </c>
      <c r="M141" s="2"/>
      <c r="N141" s="7">
        <f t="shared" si="105"/>
        <v>3.254965110037579E-2</v>
      </c>
      <c r="O141" s="11"/>
      <c r="P141" s="6">
        <v>9749.35</v>
      </c>
      <c r="Q141" s="2"/>
      <c r="R141" s="7">
        <f t="shared" si="106"/>
        <v>3.0213334338321657E-3</v>
      </c>
      <c r="S141" s="2"/>
      <c r="T141" s="6">
        <v>9665</v>
      </c>
      <c r="U141" s="2"/>
      <c r="V141" s="7">
        <f t="shared" si="107"/>
        <v>2.0695435141598315E-3</v>
      </c>
      <c r="W141" s="2"/>
      <c r="X141" s="6">
        <f t="shared" si="108"/>
        <v>84.350000000000364</v>
      </c>
      <c r="Y141" s="2"/>
      <c r="Z141" s="7">
        <f t="shared" si="109"/>
        <v>8.7273667873771724E-3</v>
      </c>
    </row>
    <row r="142" spans="1:26" s="29" customFormat="1" outlineLevel="1" collapsed="1" x14ac:dyDescent="0.3">
      <c r="A142" s="28"/>
      <c r="B142" s="14" t="str">
        <f>CONCATENATE("     ","Training                                          ")</f>
        <v xml:space="preserve">     Training                                          </v>
      </c>
      <c r="C142" s="14"/>
      <c r="D142" s="1">
        <f>SUM(OSRRefD22_23x_0)</f>
        <v>0</v>
      </c>
      <c r="E142" s="1"/>
      <c r="F142" s="5">
        <f t="shared" ref="F142:F147" si="110">IF(D$12=0,0,D142/D$12)</f>
        <v>0</v>
      </c>
      <c r="G142" s="1"/>
      <c r="H142" s="1">
        <f>SUM(OSRRefH22_23x_0)</f>
        <v>0</v>
      </c>
      <c r="I142" s="1"/>
      <c r="J142" s="5">
        <f t="shared" ref="J142:J147" si="111">IF(H$12=0,0,H142/H$12)</f>
        <v>0</v>
      </c>
      <c r="K142" s="1"/>
      <c r="L142" s="1">
        <f t="shared" ref="L142:L147" si="112">+D142-H142</f>
        <v>0</v>
      </c>
      <c r="M142" s="1"/>
      <c r="N142" s="5">
        <f t="shared" ref="N142:N147" si="113">IF(H142=0,0,L142/H142)</f>
        <v>0</v>
      </c>
      <c r="O142" s="14"/>
      <c r="P142" s="1">
        <f>SUM(OSRRefP22_23x_0)</f>
        <v>595</v>
      </c>
      <c r="Q142" s="1"/>
      <c r="R142" s="5">
        <f t="shared" ref="R142:R147" si="114">IF(P$12=0,0,P142/P$12)</f>
        <v>1.8439110229196188E-4</v>
      </c>
      <c r="S142" s="1"/>
      <c r="T142" s="1">
        <f>SUM(OSRRefT22_23x_0)</f>
        <v>75</v>
      </c>
      <c r="U142" s="1"/>
      <c r="V142" s="5">
        <f t="shared" ref="V142:V147" si="115">IF(T$12=0,0,T142/T$12)</f>
        <v>1.6059572018829527E-5</v>
      </c>
      <c r="W142" s="1"/>
      <c r="X142" s="1">
        <f t="shared" ref="X142:X147" si="116">+P142-T142</f>
        <v>520</v>
      </c>
      <c r="Y142" s="1"/>
      <c r="Z142" s="5">
        <f t="shared" ref="Z142:Z147" si="117">IF(T142=0,0,X142/T142)</f>
        <v>6.9333333333333336</v>
      </c>
    </row>
    <row r="143" spans="1:26" s="24" customFormat="1" hidden="1" outlineLevel="2" x14ac:dyDescent="0.3">
      <c r="A143" s="27"/>
      <c r="B143" s="11" t="str">
        <f>CONCATENATE("          ", "6376", " - ", "TRAINING")</f>
        <v xml:space="preserve">          6376 - TRAINING</v>
      </c>
      <c r="C143" s="11"/>
      <c r="D143" s="6"/>
      <c r="E143" s="2"/>
      <c r="F143" s="7">
        <f t="shared" si="110"/>
        <v>0</v>
      </c>
      <c r="G143" s="2"/>
      <c r="H143" s="6">
        <v>0</v>
      </c>
      <c r="I143" s="2"/>
      <c r="J143" s="7">
        <f t="shared" si="111"/>
        <v>0</v>
      </c>
      <c r="K143" s="2"/>
      <c r="L143" s="6">
        <f t="shared" si="112"/>
        <v>0</v>
      </c>
      <c r="M143" s="2"/>
      <c r="N143" s="7">
        <f t="shared" si="113"/>
        <v>0</v>
      </c>
      <c r="O143" s="11"/>
      <c r="P143" s="6">
        <v>595</v>
      </c>
      <c r="Q143" s="2"/>
      <c r="R143" s="7">
        <f t="shared" si="114"/>
        <v>1.8439110229196188E-4</v>
      </c>
      <c r="S143" s="2"/>
      <c r="T143" s="6">
        <v>75</v>
      </c>
      <c r="U143" s="2"/>
      <c r="V143" s="7">
        <f t="shared" si="115"/>
        <v>1.6059572018829527E-5</v>
      </c>
      <c r="W143" s="2"/>
      <c r="X143" s="6">
        <f t="shared" si="116"/>
        <v>520</v>
      </c>
      <c r="Y143" s="2"/>
      <c r="Z143" s="7">
        <f t="shared" si="117"/>
        <v>6.9333333333333336</v>
      </c>
    </row>
    <row r="144" spans="1:26" s="29" customFormat="1" outlineLevel="1" collapsed="1" x14ac:dyDescent="0.3">
      <c r="A144" s="28"/>
      <c r="B144" s="14" t="str">
        <f>CONCATENATE("     ","Travel                                            ")</f>
        <v xml:space="preserve">     Travel                                            </v>
      </c>
      <c r="C144" s="14"/>
      <c r="D144" s="1">
        <f>SUM(OSRRefD22_24x_0)</f>
        <v>97.08</v>
      </c>
      <c r="E144" s="1"/>
      <c r="F144" s="5">
        <f t="shared" si="110"/>
        <v>3.1310102342558768E-4</v>
      </c>
      <c r="G144" s="1"/>
      <c r="H144" s="1">
        <f>SUM(OSRRefH22_24x_0)</f>
        <v>250</v>
      </c>
      <c r="I144" s="1"/>
      <c r="J144" s="5">
        <f t="shared" si="111"/>
        <v>8.5714481633100876E-4</v>
      </c>
      <c r="K144" s="1"/>
      <c r="L144" s="1">
        <f t="shared" si="112"/>
        <v>-152.92000000000002</v>
      </c>
      <c r="M144" s="1"/>
      <c r="N144" s="5">
        <f t="shared" si="113"/>
        <v>-0.61168000000000011</v>
      </c>
      <c r="O144" s="14"/>
      <c r="P144" s="1">
        <f>SUM(OSRRefP22_24x_0)</f>
        <v>857.61</v>
      </c>
      <c r="Q144" s="1"/>
      <c r="R144" s="5">
        <f t="shared" si="114"/>
        <v>2.6577420712035199E-4</v>
      </c>
      <c r="S144" s="1"/>
      <c r="T144" s="1">
        <f>SUM(OSRRefT22_24x_0)</f>
        <v>950</v>
      </c>
      <c r="U144" s="1"/>
      <c r="V144" s="5">
        <f t="shared" si="115"/>
        <v>2.0342124557184068E-4</v>
      </c>
      <c r="W144" s="1"/>
      <c r="X144" s="1">
        <f t="shared" si="116"/>
        <v>-92.389999999999986</v>
      </c>
      <c r="Y144" s="1"/>
      <c r="Z144" s="5">
        <f t="shared" si="117"/>
        <v>-9.7252631578947354E-2</v>
      </c>
    </row>
    <row r="145" spans="1:26" s="24" customFormat="1" hidden="1" outlineLevel="2" x14ac:dyDescent="0.3">
      <c r="A145" s="27"/>
      <c r="B145" s="11" t="str">
        <f>CONCATENATE("          ", "6292", " - ", "TRAVEL/CONFERENCE")</f>
        <v xml:space="preserve">          6292 - TRAVEL/CONFERENCE</v>
      </c>
      <c r="C145" s="11"/>
      <c r="D145" s="6"/>
      <c r="E145" s="2"/>
      <c r="F145" s="7">
        <f t="shared" si="110"/>
        <v>0</v>
      </c>
      <c r="G145" s="2"/>
      <c r="H145" s="6">
        <v>125</v>
      </c>
      <c r="I145" s="2"/>
      <c r="J145" s="7">
        <f t="shared" si="111"/>
        <v>4.2857240816550438E-4</v>
      </c>
      <c r="K145" s="2"/>
      <c r="L145" s="6">
        <f t="shared" si="112"/>
        <v>-125</v>
      </c>
      <c r="M145" s="2"/>
      <c r="N145" s="7">
        <f t="shared" si="113"/>
        <v>-1</v>
      </c>
      <c r="O145" s="11"/>
      <c r="P145" s="6">
        <v>495</v>
      </c>
      <c r="Q145" s="2"/>
      <c r="R145" s="7">
        <f t="shared" si="114"/>
        <v>1.5340100106642207E-4</v>
      </c>
      <c r="S145" s="2"/>
      <c r="T145" s="6">
        <v>625</v>
      </c>
      <c r="U145" s="2"/>
      <c r="V145" s="7">
        <f t="shared" si="115"/>
        <v>1.338297668235794E-4</v>
      </c>
      <c r="W145" s="2"/>
      <c r="X145" s="6">
        <f t="shared" si="116"/>
        <v>-130</v>
      </c>
      <c r="Y145" s="2"/>
      <c r="Z145" s="7">
        <f t="shared" si="117"/>
        <v>-0.20799999999999999</v>
      </c>
    </row>
    <row r="146" spans="1:26" s="24" customFormat="1" hidden="1" outlineLevel="2" x14ac:dyDescent="0.3">
      <c r="A146" s="27"/>
      <c r="B146" s="11" t="str">
        <f>CONCATENATE("          ", "6294", " - ", "TRAVEL OPERATIONAL")</f>
        <v xml:space="preserve">          6294 - TRAVEL OPERATIONAL</v>
      </c>
      <c r="C146" s="11"/>
      <c r="D146" s="6"/>
      <c r="E146" s="2"/>
      <c r="F146" s="7">
        <f t="shared" si="110"/>
        <v>0</v>
      </c>
      <c r="G146" s="2"/>
      <c r="H146" s="6">
        <v>25</v>
      </c>
      <c r="I146" s="2"/>
      <c r="J146" s="7">
        <f t="shared" si="111"/>
        <v>8.5714481633100874E-5</v>
      </c>
      <c r="K146" s="2"/>
      <c r="L146" s="6">
        <f t="shared" si="112"/>
        <v>-25</v>
      </c>
      <c r="M146" s="2"/>
      <c r="N146" s="7">
        <f t="shared" si="113"/>
        <v>-1</v>
      </c>
      <c r="O146" s="11"/>
      <c r="P146" s="6">
        <v>215.53</v>
      </c>
      <c r="Q146" s="2"/>
      <c r="R146" s="7">
        <f t="shared" si="114"/>
        <v>6.6792965171405953E-5</v>
      </c>
      <c r="S146" s="2"/>
      <c r="T146" s="6">
        <v>125</v>
      </c>
      <c r="U146" s="2"/>
      <c r="V146" s="7">
        <f t="shared" si="115"/>
        <v>2.6765953364715879E-5</v>
      </c>
      <c r="W146" s="2"/>
      <c r="X146" s="6">
        <f t="shared" si="116"/>
        <v>90.53</v>
      </c>
      <c r="Y146" s="2"/>
      <c r="Z146" s="7">
        <f t="shared" si="117"/>
        <v>0.72423999999999999</v>
      </c>
    </row>
    <row r="147" spans="1:26" s="24" customFormat="1" hidden="1" outlineLevel="2" x14ac:dyDescent="0.3">
      <c r="A147" s="27"/>
      <c r="B147" s="11" t="str">
        <f>CONCATENATE("          ", "6298", " - ", "VEHICLE MILEAGE")</f>
        <v xml:space="preserve">          6298 - VEHICLE MILEAGE</v>
      </c>
      <c r="C147" s="11"/>
      <c r="D147" s="6">
        <v>97.08</v>
      </c>
      <c r="E147" s="2"/>
      <c r="F147" s="7">
        <f t="shared" si="110"/>
        <v>3.1310102342558768E-4</v>
      </c>
      <c r="G147" s="2"/>
      <c r="H147" s="6">
        <v>100</v>
      </c>
      <c r="I147" s="2"/>
      <c r="J147" s="7">
        <f t="shared" si="111"/>
        <v>3.4285792653240349E-4</v>
      </c>
      <c r="K147" s="2"/>
      <c r="L147" s="6">
        <f t="shared" si="112"/>
        <v>-2.9200000000000017</v>
      </c>
      <c r="M147" s="2"/>
      <c r="N147" s="7">
        <f t="shared" si="113"/>
        <v>-2.9200000000000018E-2</v>
      </c>
      <c r="O147" s="11"/>
      <c r="P147" s="6">
        <v>147.08000000000001</v>
      </c>
      <c r="Q147" s="2"/>
      <c r="R147" s="7">
        <f t="shared" si="114"/>
        <v>4.5580240882523957E-5</v>
      </c>
      <c r="S147" s="2"/>
      <c r="T147" s="6">
        <v>200</v>
      </c>
      <c r="U147" s="2"/>
      <c r="V147" s="7">
        <f t="shared" si="115"/>
        <v>4.2825525383545402E-5</v>
      </c>
      <c r="W147" s="2"/>
      <c r="X147" s="6">
        <f t="shared" si="116"/>
        <v>-52.919999999999987</v>
      </c>
      <c r="Y147" s="2"/>
      <c r="Z147" s="7">
        <f t="shared" si="117"/>
        <v>-0.26459999999999995</v>
      </c>
    </row>
    <row r="148" spans="1:26" s="29" customFormat="1" outlineLevel="1" collapsed="1" x14ac:dyDescent="0.3">
      <c r="A148" s="28"/>
      <c r="B148" s="14" t="str">
        <f>CONCATENATE("     ","Utilities                                         ")</f>
        <v xml:space="preserve">     Utilities                                         </v>
      </c>
      <c r="C148" s="14"/>
      <c r="D148" s="1">
        <f>SUM(OSRRefD22_25x_0)</f>
        <v>6133.61</v>
      </c>
      <c r="E148" s="1"/>
      <c r="F148" s="5">
        <f t="shared" ref="F148:F149" si="118">IF(D$12=0,0,D148/D$12)</f>
        <v>1.9782030987777286E-2</v>
      </c>
      <c r="G148" s="1"/>
      <c r="H148" s="1">
        <f>SUM(OSRRefH22_25x_0)</f>
        <v>6120</v>
      </c>
      <c r="I148" s="1"/>
      <c r="J148" s="5">
        <f t="shared" ref="J148:J149" si="119">IF(H$12=0,0,H148/H$12)</f>
        <v>2.0982905103783093E-2</v>
      </c>
      <c r="K148" s="1"/>
      <c r="L148" s="1">
        <f t="shared" ref="L148:L149" si="120">+D148-H148</f>
        <v>13.609999999999673</v>
      </c>
      <c r="M148" s="1"/>
      <c r="N148" s="5">
        <f t="shared" ref="N148:N149" si="121">IF(H148=0,0,L148/H148)</f>
        <v>2.2238562091502732E-3</v>
      </c>
      <c r="O148" s="14"/>
      <c r="P148" s="1">
        <f>SUM(OSRRefP22_25x_0)</f>
        <v>30683.59</v>
      </c>
      <c r="Q148" s="1"/>
      <c r="R148" s="5">
        <f t="shared" ref="R148:R149" si="122">IF(P$12=0,0,P148/P$12)</f>
        <v>9.5088756006296103E-3</v>
      </c>
      <c r="S148" s="1"/>
      <c r="T148" s="1">
        <f>SUM(OSRRefT22_25x_0)</f>
        <v>30600</v>
      </c>
      <c r="U148" s="1"/>
      <c r="V148" s="5">
        <f t="shared" ref="V148:V149" si="123">IF(T$12=0,0,T148/T$12)</f>
        <v>6.5523053836824474E-3</v>
      </c>
      <c r="W148" s="1"/>
      <c r="X148" s="1">
        <f t="shared" ref="X148:X149" si="124">+P148-T148</f>
        <v>83.590000000000146</v>
      </c>
      <c r="Y148" s="1"/>
      <c r="Z148" s="5">
        <f t="shared" ref="Z148:Z149" si="125">IF(T148=0,0,X148/T148)</f>
        <v>2.7316993464052337E-3</v>
      </c>
    </row>
    <row r="149" spans="1:26" s="24" customFormat="1" hidden="1" outlineLevel="2" x14ac:dyDescent="0.3">
      <c r="A149" s="27"/>
      <c r="B149" s="11" t="str">
        <f>CONCATENATE("          ", "6274", " - ", "UTILITIES")</f>
        <v xml:space="preserve">          6274 - UTILITIES</v>
      </c>
      <c r="C149" s="11"/>
      <c r="D149" s="6">
        <v>6133.61</v>
      </c>
      <c r="E149" s="2"/>
      <c r="F149" s="7">
        <f t="shared" si="118"/>
        <v>1.9782030987777286E-2</v>
      </c>
      <c r="G149" s="2"/>
      <c r="H149" s="6">
        <v>6120</v>
      </c>
      <c r="I149" s="2"/>
      <c r="J149" s="7">
        <f t="shared" si="119"/>
        <v>2.0982905103783093E-2</v>
      </c>
      <c r="K149" s="2"/>
      <c r="L149" s="6">
        <f t="shared" si="120"/>
        <v>13.609999999999673</v>
      </c>
      <c r="M149" s="2"/>
      <c r="N149" s="7">
        <f t="shared" si="121"/>
        <v>2.2238562091502732E-3</v>
      </c>
      <c r="O149" s="11"/>
      <c r="P149" s="6">
        <v>30683.59</v>
      </c>
      <c r="Q149" s="2"/>
      <c r="R149" s="7">
        <f t="shared" si="122"/>
        <v>9.5088756006296103E-3</v>
      </c>
      <c r="S149" s="2"/>
      <c r="T149" s="6">
        <v>30600</v>
      </c>
      <c r="U149" s="2"/>
      <c r="V149" s="7">
        <f t="shared" si="123"/>
        <v>6.5523053836824474E-3</v>
      </c>
      <c r="W149" s="2"/>
      <c r="X149" s="6">
        <f t="shared" si="124"/>
        <v>83.590000000000146</v>
      </c>
      <c r="Y149" s="2"/>
      <c r="Z149" s="7">
        <f t="shared" si="125"/>
        <v>2.7316993464052337E-3</v>
      </c>
    </row>
    <row r="150" spans="1:26" s="63" customFormat="1" x14ac:dyDescent="0.3">
      <c r="A150" s="36"/>
      <c r="B150" s="36"/>
      <c r="C150" s="36"/>
      <c r="D150" s="1"/>
      <c r="E150" s="1"/>
      <c r="F150" s="5"/>
      <c r="G150" s="1"/>
      <c r="H150" s="1"/>
      <c r="I150" s="1"/>
      <c r="J150" s="5"/>
      <c r="K150" s="1"/>
      <c r="L150" s="1"/>
      <c r="M150" s="1"/>
      <c r="N150" s="5"/>
      <c r="O150" s="36"/>
      <c r="P150" s="1"/>
      <c r="Q150" s="1"/>
      <c r="R150" s="5"/>
      <c r="S150" s="1"/>
      <c r="T150" s="1"/>
      <c r="U150" s="1"/>
      <c r="V150" s="5"/>
      <c r="W150" s="1"/>
      <c r="X150" s="1"/>
      <c r="Y150" s="1"/>
      <c r="Z150" s="5"/>
    </row>
    <row r="151" spans="1:26" s="23" customFormat="1" collapsed="1" x14ac:dyDescent="0.3">
      <c r="A151" s="10"/>
      <c r="B151" s="25" t="s">
        <v>293</v>
      </c>
      <c r="C151" s="10"/>
      <c r="D151" s="4">
        <f>SUM(OSRRefD25x_0)</f>
        <v>54598.81</v>
      </c>
      <c r="E151" s="4"/>
      <c r="F151" s="12">
        <f t="shared" ref="F151:F156" si="126">IF(D$12=0,0,D151/D$12)</f>
        <v>0.17609129881354771</v>
      </c>
      <c r="G151" s="4"/>
      <c r="H151" s="4">
        <f>SUM(OSRRefH25x_0)</f>
        <v>51277</v>
      </c>
      <c r="I151" s="4"/>
      <c r="J151" s="12">
        <f t="shared" ref="J151:J156" si="127">IF(H$12=0,0,H151/H$12)</f>
        <v>0.17580725898802055</v>
      </c>
      <c r="K151" s="4"/>
      <c r="L151" s="4">
        <f t="shared" ref="L151:L156" si="128">+D151-H151</f>
        <v>3321.8099999999977</v>
      </c>
      <c r="M151" s="4"/>
      <c r="N151" s="12">
        <f t="shared" ref="N151:N156" si="129">IF(H151=0,0,L151/H151)</f>
        <v>6.4781675995085469E-2</v>
      </c>
      <c r="O151" s="10"/>
      <c r="P151" s="4">
        <f>SUM(OSRRefP25x_0)</f>
        <v>456237.79</v>
      </c>
      <c r="Q151" s="4"/>
      <c r="R151" s="12">
        <f t="shared" ref="R151:R156" si="130">IF(P$12=0,0,P151/P$12)</f>
        <v>0.14138855295016575</v>
      </c>
      <c r="S151" s="4"/>
      <c r="T151" s="4">
        <f>SUM(OSRRefT25x_0)</f>
        <v>336538.5</v>
      </c>
      <c r="U151" s="4"/>
      <c r="V151" s="12">
        <f t="shared" ref="V151:V156" si="131">IF(T$12=0,0,T151/T$12)</f>
        <v>7.2062190371451479E-2</v>
      </c>
      <c r="W151" s="4"/>
      <c r="X151" s="4">
        <f t="shared" ref="X151:X156" si="132">+P151-T151</f>
        <v>119699.28999999998</v>
      </c>
      <c r="Y151" s="4"/>
      <c r="Z151" s="12">
        <f t="shared" ref="Z151:Z156" si="133">IF(T151=0,0,X151/T151)</f>
        <v>0.35567784963681714</v>
      </c>
    </row>
    <row r="152" spans="1:26" s="24" customFormat="1" hidden="1" outlineLevel="1" x14ac:dyDescent="0.3">
      <c r="A152" s="44"/>
      <c r="B152" s="11" t="str">
        <f>CONCATENATE("          ", "9150", " - ", "MISC. INCOME")</f>
        <v xml:space="preserve">          9150 - MISC. INCOME</v>
      </c>
      <c r="C152" s="11"/>
      <c r="D152" s="2">
        <f>--54598.81</f>
        <v>54598.81</v>
      </c>
      <c r="E152" s="2"/>
      <c r="F152" s="19">
        <f t="shared" si="126"/>
        <v>0.17609129881354771</v>
      </c>
      <c r="G152" s="2"/>
      <c r="H152" s="2">
        <v>8277</v>
      </c>
      <c r="I152" s="2"/>
      <c r="J152" s="19">
        <f t="shared" si="127"/>
        <v>2.8378350579087039E-2</v>
      </c>
      <c r="K152" s="2"/>
      <c r="L152" s="2">
        <f t="shared" si="128"/>
        <v>46321.81</v>
      </c>
      <c r="M152" s="2"/>
      <c r="N152" s="19">
        <f t="shared" si="129"/>
        <v>5.5964491965688046</v>
      </c>
      <c r="O152" s="11"/>
      <c r="P152" s="2">
        <f>--212830.82</f>
        <v>212830.82</v>
      </c>
      <c r="Q152" s="2"/>
      <c r="R152" s="19">
        <f t="shared" si="130"/>
        <v>6.5956486557146435E-2</v>
      </c>
      <c r="S152" s="2"/>
      <c r="T152" s="2">
        <v>88558</v>
      </c>
      <c r="U152" s="2"/>
      <c r="V152" s="19">
        <f t="shared" si="131"/>
        <v>1.8962714384580071E-2</v>
      </c>
      <c r="W152" s="2"/>
      <c r="X152" s="2">
        <f t="shared" si="132"/>
        <v>124272.82</v>
      </c>
      <c r="Y152" s="2"/>
      <c r="Z152" s="19">
        <f t="shared" si="133"/>
        <v>1.4032929831297003</v>
      </c>
    </row>
    <row r="153" spans="1:26" s="24" customFormat="1" hidden="1" outlineLevel="1" x14ac:dyDescent="0.3">
      <c r="A153" s="44"/>
      <c r="B153" s="11" t="str">
        <f>CONCATENATE("          ", "9151", " - ", "MISC. INCOME")</f>
        <v xml:space="preserve">          9151 - MISC. INCOME</v>
      </c>
      <c r="C153" s="11"/>
      <c r="D153" s="2">
        <f t="shared" ref="D153:D156" si="134">0</f>
        <v>0</v>
      </c>
      <c r="E153" s="2"/>
      <c r="F153" s="19">
        <f t="shared" si="126"/>
        <v>0</v>
      </c>
      <c r="G153" s="2"/>
      <c r="H153" s="2">
        <v>43000</v>
      </c>
      <c r="I153" s="2"/>
      <c r="J153" s="19">
        <f t="shared" si="127"/>
        <v>0.1474289084089335</v>
      </c>
      <c r="K153" s="2"/>
      <c r="L153" s="2">
        <f t="shared" si="128"/>
        <v>-43000</v>
      </c>
      <c r="M153" s="2"/>
      <c r="N153" s="19">
        <f t="shared" si="129"/>
        <v>-1</v>
      </c>
      <c r="O153" s="11"/>
      <c r="P153" s="2">
        <f>--168463.36</f>
        <v>168463.35999999999</v>
      </c>
      <c r="Q153" s="2"/>
      <c r="R153" s="19">
        <f t="shared" si="130"/>
        <v>5.2206965791945538E-2</v>
      </c>
      <c r="S153" s="2"/>
      <c r="T153" s="2">
        <v>247980.5</v>
      </c>
      <c r="U153" s="2"/>
      <c r="V153" s="19">
        <f t="shared" si="131"/>
        <v>5.3099475986871404E-2</v>
      </c>
      <c r="W153" s="2"/>
      <c r="X153" s="2">
        <f t="shared" si="132"/>
        <v>-79517.140000000014</v>
      </c>
      <c r="Y153" s="2"/>
      <c r="Z153" s="19">
        <f t="shared" si="133"/>
        <v>-0.32065884212669954</v>
      </c>
    </row>
    <row r="154" spans="1:26" s="24" customFormat="1" hidden="1" outlineLevel="1" x14ac:dyDescent="0.3">
      <c r="A154" s="44"/>
      <c r="B154" s="11" t="str">
        <f>CONCATENATE("          ", "9152", " - ", "MISC. INCOME")</f>
        <v xml:space="preserve">          9152 - MISC. INCOME</v>
      </c>
      <c r="C154" s="11"/>
      <c r="D154" s="2">
        <f t="shared" si="134"/>
        <v>0</v>
      </c>
      <c r="E154" s="2"/>
      <c r="F154" s="19">
        <f t="shared" si="126"/>
        <v>0</v>
      </c>
      <c r="G154" s="2"/>
      <c r="H154" s="2"/>
      <c r="I154" s="2"/>
      <c r="J154" s="19">
        <f t="shared" si="127"/>
        <v>0</v>
      </c>
      <c r="K154" s="2"/>
      <c r="L154" s="2">
        <f t="shared" si="128"/>
        <v>0</v>
      </c>
      <c r="M154" s="2"/>
      <c r="N154" s="19">
        <f t="shared" si="129"/>
        <v>0</v>
      </c>
      <c r="O154" s="11"/>
      <c r="P154" s="2">
        <f>--2195.41</f>
        <v>2195.41</v>
      </c>
      <c r="Q154" s="2"/>
      <c r="R154" s="19">
        <f t="shared" si="130"/>
        <v>6.8035978131562348E-4</v>
      </c>
      <c r="S154" s="2"/>
      <c r="T154" s="2"/>
      <c r="U154" s="2"/>
      <c r="V154" s="19">
        <f t="shared" si="131"/>
        <v>0</v>
      </c>
      <c r="W154" s="2"/>
      <c r="X154" s="2">
        <f t="shared" si="132"/>
        <v>2195.41</v>
      </c>
      <c r="Y154" s="2"/>
      <c r="Z154" s="19">
        <f t="shared" si="133"/>
        <v>0</v>
      </c>
    </row>
    <row r="155" spans="1:26" s="24" customFormat="1" hidden="1" outlineLevel="1" x14ac:dyDescent="0.3">
      <c r="A155" s="44"/>
      <c r="B155" s="11" t="str">
        <f>CONCATENATE("          ", "9160", " - ", "MISC. INCOME")</f>
        <v xml:space="preserve">          9160 - MISC. INCOME</v>
      </c>
      <c r="C155" s="11"/>
      <c r="D155" s="2">
        <f t="shared" si="134"/>
        <v>0</v>
      </c>
      <c r="E155" s="2"/>
      <c r="F155" s="19">
        <f t="shared" si="126"/>
        <v>0</v>
      </c>
      <c r="G155" s="2"/>
      <c r="H155" s="2">
        <v>0</v>
      </c>
      <c r="I155" s="2"/>
      <c r="J155" s="19">
        <f t="shared" si="127"/>
        <v>0</v>
      </c>
      <c r="K155" s="2"/>
      <c r="L155" s="2">
        <f t="shared" si="128"/>
        <v>0</v>
      </c>
      <c r="M155" s="2"/>
      <c r="N155" s="19">
        <f t="shared" si="129"/>
        <v>0</v>
      </c>
      <c r="O155" s="11"/>
      <c r="P155" s="2">
        <f>0</f>
        <v>0</v>
      </c>
      <c r="Q155" s="2"/>
      <c r="R155" s="19">
        <f t="shared" si="130"/>
        <v>0</v>
      </c>
      <c r="S155" s="2"/>
      <c r="T155" s="2">
        <v>0</v>
      </c>
      <c r="U155" s="2"/>
      <c r="V155" s="19">
        <f t="shared" si="131"/>
        <v>0</v>
      </c>
      <c r="W155" s="2"/>
      <c r="X155" s="2">
        <f t="shared" si="132"/>
        <v>0</v>
      </c>
      <c r="Y155" s="2"/>
      <c r="Z155" s="19">
        <f t="shared" si="133"/>
        <v>0</v>
      </c>
    </row>
    <row r="156" spans="1:26" s="24" customFormat="1" hidden="1" outlineLevel="1" x14ac:dyDescent="0.3">
      <c r="A156" s="44"/>
      <c r="B156" s="11" t="str">
        <f>CONCATENATE("          ", "9163", " - ", "MISC. INCOME")</f>
        <v xml:space="preserve">          9163 - MISC. INCOME</v>
      </c>
      <c r="C156" s="11"/>
      <c r="D156" s="2">
        <f t="shared" si="134"/>
        <v>0</v>
      </c>
      <c r="E156" s="2"/>
      <c r="F156" s="19">
        <f t="shared" si="126"/>
        <v>0</v>
      </c>
      <c r="G156" s="2"/>
      <c r="H156" s="2"/>
      <c r="I156" s="2"/>
      <c r="J156" s="19">
        <f t="shared" si="127"/>
        <v>0</v>
      </c>
      <c r="K156" s="2"/>
      <c r="L156" s="2">
        <f t="shared" si="128"/>
        <v>0</v>
      </c>
      <c r="M156" s="2"/>
      <c r="N156" s="19">
        <f t="shared" si="129"/>
        <v>0</v>
      </c>
      <c r="O156" s="11"/>
      <c r="P156" s="2">
        <f>--72748.2</f>
        <v>72748.2</v>
      </c>
      <c r="Q156" s="2"/>
      <c r="R156" s="19">
        <f t="shared" si="130"/>
        <v>2.2544740819758151E-2</v>
      </c>
      <c r="S156" s="2"/>
      <c r="T156" s="2"/>
      <c r="U156" s="2"/>
      <c r="V156" s="19">
        <f t="shared" si="131"/>
        <v>0</v>
      </c>
      <c r="W156" s="2"/>
      <c r="X156" s="2">
        <f t="shared" si="132"/>
        <v>72748.2</v>
      </c>
      <c r="Y156" s="2"/>
      <c r="Z156" s="19">
        <f t="shared" si="133"/>
        <v>0</v>
      </c>
    </row>
    <row r="157" spans="1:26" x14ac:dyDescent="0.3">
      <c r="A157" s="9"/>
      <c r="B157" s="10"/>
      <c r="C157" s="10"/>
      <c r="D157" s="3"/>
      <c r="E157" s="3"/>
      <c r="F157" s="8"/>
      <c r="G157" s="3"/>
      <c r="H157" s="3"/>
      <c r="I157" s="3"/>
      <c r="J157" s="8"/>
      <c r="K157" s="3"/>
      <c r="L157" s="3"/>
      <c r="M157" s="3"/>
      <c r="N157" s="8"/>
      <c r="O157" s="10"/>
      <c r="P157" s="3"/>
      <c r="Q157" s="3"/>
      <c r="R157" s="8"/>
      <c r="S157" s="3"/>
      <c r="T157" s="3"/>
      <c r="U157" s="3"/>
      <c r="V157" s="8"/>
      <c r="W157" s="3"/>
      <c r="X157" s="3"/>
      <c r="Y157" s="3"/>
      <c r="Z157" s="8"/>
    </row>
    <row r="158" spans="1:26" s="23" customFormat="1" x14ac:dyDescent="0.3">
      <c r="A158" s="10"/>
      <c r="B158" s="26" t="s">
        <v>277</v>
      </c>
      <c r="C158" s="26"/>
      <c r="D158" s="20">
        <f>+D54-D56+D151</f>
        <v>-70878.749999999854</v>
      </c>
      <c r="E158" s="13"/>
      <c r="F158" s="22">
        <f>IF(D$12=0,0,D158/D$12)</f>
        <v>-0.22859712777221186</v>
      </c>
      <c r="G158" s="13"/>
      <c r="H158" s="20">
        <f>+H54-H56+H151</f>
        <v>-121185.9622369128</v>
      </c>
      <c r="I158" s="13"/>
      <c r="J158" s="22">
        <f>IF(H$12=0,0,H158/H$12)</f>
        <v>-0.41549567737382076</v>
      </c>
      <c r="K158" s="15"/>
      <c r="L158" s="20">
        <f>+D158-H158</f>
        <v>50307.21223691295</v>
      </c>
      <c r="M158" s="15"/>
      <c r="N158" s="22">
        <f>IF(H158=0,0,L158/H158)</f>
        <v>-0.415124089525854</v>
      </c>
      <c r="O158" s="25"/>
      <c r="P158" s="20">
        <f>+P54-P56+P151</f>
        <v>3080.7700000008917</v>
      </c>
      <c r="Q158" s="13"/>
      <c r="R158" s="22">
        <f>IF(P$12=0,0,P158/P$12)</f>
        <v>9.5473374152633917E-4</v>
      </c>
      <c r="S158" s="13"/>
      <c r="T158" s="20">
        <f>+T54-T56+T151</f>
        <v>156560.5437517867</v>
      </c>
      <c r="U158" s="13"/>
      <c r="V158" s="22">
        <f>IF(T$12=0,0,T158/T$12)</f>
        <v>3.352393770251906E-2</v>
      </c>
      <c r="W158" s="15"/>
      <c r="X158" s="20">
        <f>+P158-T158</f>
        <v>-153479.7737517858</v>
      </c>
      <c r="Y158" s="15"/>
      <c r="Z158" s="22">
        <f>IF(T158=0,0,X158/T158)</f>
        <v>-0.98032218127138604</v>
      </c>
    </row>
    <row r="159" spans="1:26" x14ac:dyDescent="0.3">
      <c r="A159" s="9"/>
      <c r="B159" s="10"/>
      <c r="C159" s="9"/>
      <c r="D159" s="3"/>
      <c r="E159" s="3"/>
      <c r="F159" s="8"/>
      <c r="G159" s="3"/>
      <c r="H159" s="3"/>
      <c r="I159" s="3"/>
      <c r="J159" s="8"/>
      <c r="K159" s="3"/>
      <c r="L159" s="3"/>
      <c r="M159" s="3"/>
      <c r="N159" s="8"/>
      <c r="P159" s="3"/>
      <c r="Q159" s="3"/>
      <c r="R159" s="8"/>
      <c r="S159" s="3"/>
      <c r="T159" s="3"/>
      <c r="U159" s="3"/>
      <c r="V159" s="8"/>
      <c r="W159" s="3"/>
      <c r="X159" s="3"/>
      <c r="Y159" s="3"/>
      <c r="Z159" s="8"/>
    </row>
    <row r="160" spans="1:26" s="23" customFormat="1" x14ac:dyDescent="0.3">
      <c r="A160" s="52"/>
      <c r="B160" s="10" t="s">
        <v>128</v>
      </c>
      <c r="C160" s="10"/>
      <c r="D160" s="4">
        <v>47198.79</v>
      </c>
      <c r="E160" s="4"/>
      <c r="F160" s="12">
        <f>IF(D$12=0,0,D160/D$12)</f>
        <v>0.1522248604599237</v>
      </c>
      <c r="G160" s="4"/>
      <c r="H160" s="4">
        <v>80342</v>
      </c>
      <c r="I160" s="4"/>
      <c r="J160" s="12">
        <f>IF(H$12=0,0,H160/H$12)</f>
        <v>0.2754589153346636</v>
      </c>
      <c r="K160" s="4"/>
      <c r="L160" s="4">
        <f>+D160-H160</f>
        <v>-33143.21</v>
      </c>
      <c r="M160" s="4"/>
      <c r="N160" s="12">
        <f>IF(H160=0,0,L160/H160)</f>
        <v>-0.41252657389659203</v>
      </c>
      <c r="O160" s="10"/>
      <c r="P160" s="4">
        <v>384354.14</v>
      </c>
      <c r="Q160" s="4"/>
      <c r="R160" s="12">
        <f>IF(P$12=0,0,P160/P$12)</f>
        <v>0.119111737050553</v>
      </c>
      <c r="S160" s="4"/>
      <c r="T160" s="4">
        <v>583822</v>
      </c>
      <c r="U160" s="4"/>
      <c r="V160" s="12">
        <f>IF(T$12=0,0,T160/T$12)</f>
        <v>0.12501241940236124</v>
      </c>
      <c r="W160" s="4"/>
      <c r="X160" s="4">
        <f>+P160-T160</f>
        <v>-199467.86</v>
      </c>
      <c r="Y160" s="4"/>
      <c r="Z160" s="12">
        <f>IF(T160=0,0,X160/T160)</f>
        <v>-0.34165869049127984</v>
      </c>
    </row>
    <row r="161" spans="1:26" x14ac:dyDescent="0.3">
      <c r="A161" s="9"/>
      <c r="B161" s="10"/>
      <c r="C161" s="10"/>
      <c r="D161" s="3"/>
      <c r="E161" s="3"/>
      <c r="F161" s="8"/>
      <c r="G161" s="3"/>
      <c r="H161" s="3"/>
      <c r="I161" s="3"/>
      <c r="J161" s="8"/>
      <c r="K161" s="3"/>
      <c r="L161" s="3"/>
      <c r="M161" s="3"/>
      <c r="N161" s="8"/>
      <c r="O161" s="10"/>
      <c r="P161" s="3"/>
      <c r="Q161" s="3"/>
      <c r="R161" s="8"/>
      <c r="S161" s="3"/>
      <c r="T161" s="3"/>
      <c r="U161" s="3"/>
      <c r="V161" s="8"/>
      <c r="W161" s="3"/>
      <c r="X161" s="3"/>
      <c r="Y161" s="3"/>
      <c r="Z161" s="8"/>
    </row>
    <row r="162" spans="1:26" s="23" customFormat="1" ht="15" thickBot="1" x14ac:dyDescent="0.35">
      <c r="A162" s="10"/>
      <c r="B162" s="26" t="s">
        <v>126</v>
      </c>
      <c r="C162" s="26"/>
      <c r="D162" s="33">
        <f>+D158-D160</f>
        <v>-118077.53999999986</v>
      </c>
      <c r="E162" s="13"/>
      <c r="F162" s="34">
        <f>IF(D$12=0,0,D162/D$12)</f>
        <v>-0.38082198823213559</v>
      </c>
      <c r="G162" s="13"/>
      <c r="H162" s="33">
        <f>+H158-H160</f>
        <v>-201527.9622369128</v>
      </c>
      <c r="I162" s="13"/>
      <c r="J162" s="34">
        <f>IF(H$12=0,0,H162/H$12)</f>
        <v>-0.69095459270848436</v>
      </c>
      <c r="K162" s="15"/>
      <c r="L162" s="33">
        <f>D162-H162</f>
        <v>83450.422236912942</v>
      </c>
      <c r="M162" s="15"/>
      <c r="N162" s="34">
        <f>IF(H162=0,0,L162/H162)</f>
        <v>-0.41408855282727497</v>
      </c>
      <c r="O162" s="25"/>
      <c r="P162" s="33">
        <f>+P158-P160</f>
        <v>-381273.36999999912</v>
      </c>
      <c r="Q162" s="13"/>
      <c r="R162" s="34">
        <f>IF(P$12=0,0,P162/P$12)</f>
        <v>-0.11815700330902666</v>
      </c>
      <c r="S162" s="13"/>
      <c r="T162" s="33">
        <f>+T158-T160</f>
        <v>-427261.4562482133</v>
      </c>
      <c r="U162" s="13"/>
      <c r="V162" s="34">
        <f>IF(T$12=0,0,T162/T$12)</f>
        <v>-9.1488481699842167E-2</v>
      </c>
      <c r="W162" s="15"/>
      <c r="X162" s="33">
        <f>P162-T162</f>
        <v>45988.086248214182</v>
      </c>
      <c r="Y162" s="15"/>
      <c r="Z162" s="34">
        <f>IF(T162=0,0,X162/T162)</f>
        <v>-0.10763453050981003</v>
      </c>
    </row>
    <row r="163" spans="1:26" ht="15" thickTop="1" x14ac:dyDescent="0.3">
      <c r="A163" s="9"/>
      <c r="B163" s="9"/>
      <c r="C163" s="9"/>
      <c r="D163" s="3"/>
      <c r="E163" s="3"/>
      <c r="F163" s="8"/>
      <c r="G163" s="3"/>
      <c r="H163" s="3"/>
      <c r="I163" s="3"/>
      <c r="J163" s="8"/>
      <c r="K163" s="3"/>
      <c r="L163" s="3"/>
      <c r="M163" s="3"/>
      <c r="N163" s="8"/>
      <c r="P163" s="3"/>
      <c r="Q163" s="3"/>
      <c r="R163" s="8"/>
      <c r="S163" s="3"/>
      <c r="T163" s="3"/>
      <c r="U163" s="3"/>
      <c r="V163" s="8"/>
      <c r="W163" s="3"/>
      <c r="X163" s="3"/>
      <c r="Y163" s="3"/>
      <c r="Z163" s="8"/>
    </row>
    <row r="164" spans="1:26" x14ac:dyDescent="0.3">
      <c r="A164" s="9"/>
      <c r="B164" s="9"/>
      <c r="C164" s="9"/>
      <c r="D164" s="3"/>
      <c r="E164" s="3"/>
      <c r="F164" s="8"/>
      <c r="G164" s="3"/>
      <c r="H164" s="3"/>
      <c r="I164" s="3"/>
      <c r="J164" s="8"/>
      <c r="K164" s="3"/>
      <c r="L164" s="3"/>
      <c r="M164" s="3"/>
      <c r="N164" s="8"/>
      <c r="P164" s="3"/>
      <c r="Q164" s="3"/>
      <c r="R164" s="8"/>
      <c r="S164" s="3"/>
      <c r="T164" s="3"/>
      <c r="U164" s="3"/>
      <c r="V164" s="8"/>
      <c r="W164" s="3"/>
      <c r="X164" s="3"/>
      <c r="Y164" s="3"/>
      <c r="Z164" s="8"/>
    </row>
    <row r="165" spans="1:26" s="23" customFormat="1" ht="15" thickBot="1" x14ac:dyDescent="0.35">
      <c r="A165" s="10"/>
      <c r="B165" s="26" t="s">
        <v>294</v>
      </c>
      <c r="C165" s="26"/>
      <c r="D165" s="35">
        <f>SUM(D162:D164)</f>
        <v>-118077.53999999986</v>
      </c>
      <c r="E165" s="13"/>
      <c r="F165" s="32">
        <f>IF(D$12=0,0,D165/D$12)</f>
        <v>-0.38082198823213559</v>
      </c>
      <c r="G165" s="13"/>
      <c r="H165" s="35">
        <f>SUM(H162:H164)</f>
        <v>-201527.9622369128</v>
      </c>
      <c r="I165" s="13"/>
      <c r="J165" s="32">
        <f>IF(H$12=0,0,H165/H$12)</f>
        <v>-0.69095459270848436</v>
      </c>
      <c r="K165" s="15"/>
      <c r="L165" s="35">
        <f>+D165-H165</f>
        <v>83450.422236912942</v>
      </c>
      <c r="M165" s="15"/>
      <c r="N165" s="32">
        <f>IF(H165=0,0,L165/H165)</f>
        <v>-0.41408855282727497</v>
      </c>
      <c r="O165" s="25"/>
      <c r="P165" s="35">
        <f>SUM(P162:P164)</f>
        <v>-381273.36999999912</v>
      </c>
      <c r="Q165" s="13"/>
      <c r="R165" s="32">
        <f>IF(P$12=0,0,P165/P$12)</f>
        <v>-0.11815700330902666</v>
      </c>
      <c r="S165" s="13"/>
      <c r="T165" s="35">
        <f>SUM(T162:T164)</f>
        <v>-427261.4562482133</v>
      </c>
      <c r="U165" s="13"/>
      <c r="V165" s="32">
        <f>IF(T$12=0,0,T165/T$12)</f>
        <v>-9.1488481699842167E-2</v>
      </c>
      <c r="W165" s="15"/>
      <c r="X165" s="35">
        <f>+P165-T165</f>
        <v>45988.086248214182</v>
      </c>
      <c r="Y165" s="15"/>
      <c r="Z165" s="32">
        <f>IF(T165=0,0,X165/T165)</f>
        <v>-0.10763453050981003</v>
      </c>
    </row>
    <row r="166" spans="1:26" ht="15" thickTop="1" x14ac:dyDescent="0.3">
      <c r="A166" s="9"/>
      <c r="C166" s="9"/>
      <c r="D166" s="17"/>
      <c r="E166" s="17"/>
      <c r="G166" s="17"/>
      <c r="H166" s="17"/>
      <c r="I166" s="17"/>
      <c r="J166" s="42"/>
      <c r="K166" s="17"/>
      <c r="L166" s="17"/>
      <c r="M166" s="17"/>
      <c r="P166" s="17"/>
      <c r="Q166" s="17"/>
      <c r="R166" s="42"/>
      <c r="S166" s="17"/>
      <c r="T166" s="17"/>
      <c r="U166" s="17"/>
      <c r="V166" s="42"/>
      <c r="W166" s="17"/>
      <c r="X166" s="17"/>
    </row>
    <row r="167" spans="1:26" x14ac:dyDescent="0.3">
      <c r="A167" s="9"/>
      <c r="B167" s="60">
        <v>44543.753090196762</v>
      </c>
      <c r="D167" s="17"/>
      <c r="E167" s="17"/>
      <c r="G167" s="17"/>
      <c r="H167" s="17"/>
      <c r="I167" s="17"/>
      <c r="J167" s="42"/>
      <c r="K167" s="17"/>
      <c r="L167" s="17"/>
      <c r="M167" s="17"/>
      <c r="P167" s="17"/>
      <c r="Q167" s="17"/>
      <c r="R167" s="42"/>
      <c r="S167" s="17"/>
      <c r="T167" s="17"/>
      <c r="U167" s="17"/>
      <c r="V167" s="42"/>
      <c r="W167" s="17"/>
      <c r="X167" s="17"/>
    </row>
    <row r="168" spans="1:26" x14ac:dyDescent="0.3">
      <c r="A168" s="9"/>
      <c r="B168" s="58" t="s">
        <v>56</v>
      </c>
      <c r="D168" s="17"/>
      <c r="E168" s="17"/>
      <c r="G168" s="17"/>
      <c r="H168" s="17"/>
      <c r="I168" s="17"/>
      <c r="J168" s="42"/>
      <c r="K168" s="17"/>
      <c r="L168" s="17"/>
      <c r="M168" s="17"/>
      <c r="P168" s="17"/>
      <c r="Q168" s="17"/>
      <c r="R168" s="42"/>
      <c r="S168" s="17"/>
      <c r="T168" s="17"/>
      <c r="U168" s="17"/>
      <c r="V168" s="42"/>
      <c r="W168" s="17"/>
      <c r="X168" s="17"/>
    </row>
    <row r="169" spans="1:26" x14ac:dyDescent="0.3">
      <c r="A169" s="9"/>
      <c r="B169" s="55"/>
      <c r="D169" s="17"/>
      <c r="E169" s="17"/>
      <c r="G169" s="17"/>
      <c r="H169" s="17"/>
      <c r="I169" s="17"/>
      <c r="J169" s="42"/>
      <c r="K169" s="17"/>
      <c r="L169" s="17"/>
      <c r="M169" s="17"/>
      <c r="P169" s="17"/>
      <c r="Q169" s="17"/>
      <c r="R169" s="42"/>
      <c r="S169" s="17"/>
      <c r="T169" s="17"/>
      <c r="U169" s="17"/>
      <c r="V169" s="42"/>
      <c r="W169" s="17"/>
      <c r="X169" s="17"/>
    </row>
    <row r="170" spans="1:26" x14ac:dyDescent="0.3">
      <c r="D170" s="17"/>
      <c r="E170" s="17"/>
      <c r="G170" s="17"/>
      <c r="H170" s="17"/>
      <c r="I170" s="17"/>
      <c r="J170" s="42"/>
      <c r="K170" s="17"/>
      <c r="L170" s="17"/>
      <c r="M170" s="17"/>
      <c r="P170" s="17"/>
      <c r="Q170" s="17"/>
      <c r="R170" s="42"/>
      <c r="S170" s="17"/>
      <c r="T170" s="17"/>
      <c r="U170" s="17"/>
      <c r="V170" s="42"/>
      <c r="W170" s="17"/>
      <c r="X170" s="17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outlinePr summaryBelow="0" summaryRight="0"/>
  </sheetPr>
  <dimension ref="A2:Z16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256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294738.4800000001</v>
      </c>
      <c r="E12" s="4"/>
      <c r="F12" s="12"/>
      <c r="G12" s="4"/>
      <c r="H12" s="4">
        <f>SUM(OSRRefH13x_0)</f>
        <v>266790</v>
      </c>
      <c r="I12" s="4"/>
      <c r="J12" s="12"/>
      <c r="K12" s="4"/>
      <c r="L12" s="4">
        <f t="shared" ref="L12:L19" si="0">+D12-H12</f>
        <v>27948.480000000098</v>
      </c>
      <c r="M12" s="4"/>
      <c r="N12" s="12">
        <f t="shared" ref="N12:N19" si="1">IF(H12=0,0,L12/H12)</f>
        <v>0.10475834926346601</v>
      </c>
      <c r="O12" s="10"/>
      <c r="P12" s="4">
        <f>SUM(OSRRefP13x_0)</f>
        <v>3162907.55</v>
      </c>
      <c r="Q12" s="4"/>
      <c r="R12" s="12"/>
      <c r="S12" s="4"/>
      <c r="T12" s="4">
        <f>SUM(OSRRefT13x_0)</f>
        <v>4539467</v>
      </c>
      <c r="U12" s="4"/>
      <c r="V12" s="12"/>
      <c r="W12" s="4"/>
      <c r="X12" s="4">
        <f t="shared" ref="X12:X19" si="2">+P12-T12</f>
        <v>-1376559.4500000002</v>
      </c>
      <c r="Y12" s="4"/>
      <c r="Z12" s="12">
        <f t="shared" ref="Z12:Z19" si="3">IF(T12=0,0,X12/T12)</f>
        <v>-0.30324252825276626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--262588.59</f>
        <v>262588.59000000003</v>
      </c>
      <c r="E13" s="2"/>
      <c r="F13" s="19"/>
      <c r="G13" s="2"/>
      <c r="H13" s="2">
        <v>235605</v>
      </c>
      <c r="I13" s="2"/>
      <c r="J13" s="19"/>
      <c r="K13" s="2"/>
      <c r="L13" s="2">
        <f t="shared" si="0"/>
        <v>26983.590000000026</v>
      </c>
      <c r="M13" s="2"/>
      <c r="N13" s="19">
        <f t="shared" si="1"/>
        <v>0.11452893614312101</v>
      </c>
      <c r="O13" s="11"/>
      <c r="P13" s="2">
        <f>--2632102.79</f>
        <v>2632102.79</v>
      </c>
      <c r="Q13" s="2"/>
      <c r="R13" s="19"/>
      <c r="S13" s="2"/>
      <c r="T13" s="2">
        <v>4405710</v>
      </c>
      <c r="U13" s="2"/>
      <c r="V13" s="19"/>
      <c r="W13" s="2"/>
      <c r="X13" s="2">
        <f t="shared" si="2"/>
        <v>-1773607.21</v>
      </c>
      <c r="Y13" s="2"/>
      <c r="Z13" s="19">
        <f t="shared" si="3"/>
        <v>-0.40257012150141519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--49477.97</f>
        <v>49477.97</v>
      </c>
      <c r="E14" s="2"/>
      <c r="F14" s="19"/>
      <c r="G14" s="2"/>
      <c r="H14" s="2">
        <v>31185</v>
      </c>
      <c r="I14" s="2"/>
      <c r="J14" s="19"/>
      <c r="K14" s="2"/>
      <c r="L14" s="2">
        <f t="shared" si="0"/>
        <v>18292.97</v>
      </c>
      <c r="M14" s="2"/>
      <c r="N14" s="19">
        <f t="shared" si="1"/>
        <v>0.58659515792849126</v>
      </c>
      <c r="O14" s="11"/>
      <c r="P14" s="2">
        <f>--643932.83</f>
        <v>643932.82999999996</v>
      </c>
      <c r="Q14" s="2"/>
      <c r="R14" s="19"/>
      <c r="S14" s="2"/>
      <c r="T14" s="2">
        <v>133757</v>
      </c>
      <c r="U14" s="2"/>
      <c r="V14" s="19"/>
      <c r="W14" s="2"/>
      <c r="X14" s="2">
        <f t="shared" si="2"/>
        <v>510175.82999999996</v>
      </c>
      <c r="Y14" s="2"/>
      <c r="Z14" s="19">
        <f t="shared" si="3"/>
        <v>3.8141991073364383</v>
      </c>
    </row>
    <row r="15" spans="1:26" s="24" customFormat="1" hidden="1" outlineLevel="1" x14ac:dyDescent="0.3">
      <c r="A15" s="44"/>
      <c r="B15" s="11" t="str">
        <f>CONCATENATE("          ", "4141", " - ", "NON-TAXABLE SALES-LOGO GIFTS")</f>
        <v xml:space="preserve">          4141 - NON-TAXABLE SALES-LOGO GIFTS</v>
      </c>
      <c r="C15" s="11"/>
      <c r="D15" s="2">
        <f t="shared" ref="D15:D16" si="4">0</f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ref="P15:P16" si="5">0</f>
        <v>0</v>
      </c>
      <c r="Q15" s="2"/>
      <c r="R15" s="19"/>
      <c r="S15" s="2"/>
      <c r="T15" s="2"/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"4146", " - ", "NON-TAXABLE SALES-COIN OP MACH")</f>
        <v xml:space="preserve">          4146 - NON-TAXABLE SALES-COIN OP MACH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5"/>
        <v>0</v>
      </c>
      <c r="Q16" s="2"/>
      <c r="R16" s="19"/>
      <c r="S16" s="2"/>
      <c r="T16" s="2"/>
      <c r="U16" s="2"/>
      <c r="V16" s="19"/>
      <c r="W16" s="2"/>
      <c r="X16" s="2">
        <f t="shared" si="2"/>
        <v>0</v>
      </c>
      <c r="Y16" s="2"/>
      <c r="Z16" s="19">
        <f t="shared" si="3"/>
        <v>0</v>
      </c>
    </row>
    <row r="17" spans="1:26" s="24" customFormat="1" hidden="1" outlineLevel="1" x14ac:dyDescent="0.3">
      <c r="A17" s="44"/>
      <c r="B17" s="11" t="str">
        <f>CONCATENATE("          ", "4200", " - ", "TAXABLE RETURNS")</f>
        <v xml:space="preserve">          4200 - TAXABLE RETURNS</v>
      </c>
      <c r="C17" s="11"/>
      <c r="D17" s="2">
        <f>-10145.23</f>
        <v>-10145.23</v>
      </c>
      <c r="E17" s="2"/>
      <c r="F17" s="19"/>
      <c r="G17" s="2"/>
      <c r="H17" s="2"/>
      <c r="I17" s="2"/>
      <c r="J17" s="19"/>
      <c r="K17" s="2"/>
      <c r="L17" s="2">
        <f t="shared" si="0"/>
        <v>-10145.23</v>
      </c>
      <c r="M17" s="2"/>
      <c r="N17" s="19">
        <f t="shared" si="1"/>
        <v>0</v>
      </c>
      <c r="O17" s="11"/>
      <c r="P17" s="2">
        <f>-72538.2</f>
        <v>-72538.2</v>
      </c>
      <c r="Q17" s="2"/>
      <c r="R17" s="19"/>
      <c r="S17" s="2"/>
      <c r="T17" s="2"/>
      <c r="U17" s="2"/>
      <c r="V17" s="19"/>
      <c r="W17" s="2"/>
      <c r="X17" s="2">
        <f t="shared" si="2"/>
        <v>-72538.2</v>
      </c>
      <c r="Y17" s="2"/>
      <c r="Z17" s="19">
        <f t="shared" si="3"/>
        <v>0</v>
      </c>
    </row>
    <row r="18" spans="1:26" s="24" customFormat="1" hidden="1" outlineLevel="1" x14ac:dyDescent="0.3">
      <c r="A18" s="44"/>
      <c r="B18" s="11" t="str">
        <f>CONCATENATE("          ", "4300", " - ", "NON-TAX RETURNS")</f>
        <v xml:space="preserve">          4300 - NON-TAX RETURNS</v>
      </c>
      <c r="C18" s="11"/>
      <c r="D18" s="2">
        <f>-700.92</f>
        <v>-700.92</v>
      </c>
      <c r="E18" s="2"/>
      <c r="F18" s="19"/>
      <c r="G18" s="2"/>
      <c r="H18" s="2"/>
      <c r="I18" s="2"/>
      <c r="J18" s="19"/>
      <c r="K18" s="2"/>
      <c r="L18" s="2">
        <f t="shared" si="0"/>
        <v>-700.92</v>
      </c>
      <c r="M18" s="2"/>
      <c r="N18" s="19">
        <f t="shared" si="1"/>
        <v>0</v>
      </c>
      <c r="O18" s="11"/>
      <c r="P18" s="2">
        <f>-26500.39</f>
        <v>-26500.39</v>
      </c>
      <c r="Q18" s="2"/>
      <c r="R18" s="19"/>
      <c r="S18" s="2"/>
      <c r="T18" s="2"/>
      <c r="U18" s="2"/>
      <c r="V18" s="19"/>
      <c r="W18" s="2"/>
      <c r="X18" s="2">
        <f t="shared" si="2"/>
        <v>-26500.39</v>
      </c>
      <c r="Y18" s="2"/>
      <c r="Z18" s="19">
        <f t="shared" si="3"/>
        <v>0</v>
      </c>
    </row>
    <row r="19" spans="1:26" s="24" customFormat="1" hidden="1" outlineLevel="1" x14ac:dyDescent="0.3">
      <c r="A19" s="44"/>
      <c r="B19" s="11" t="str">
        <f>CONCATENATE("          ", "4500", " - ", "SALES DISCOUNT")</f>
        <v xml:space="preserve">          4500 - SALES DISCOUNT</v>
      </c>
      <c r="C19" s="11"/>
      <c r="D19" s="2">
        <f>-6481.93</f>
        <v>-6481.93</v>
      </c>
      <c r="E19" s="2"/>
      <c r="F19" s="19"/>
      <c r="G19" s="2"/>
      <c r="H19" s="2"/>
      <c r="I19" s="2"/>
      <c r="J19" s="19"/>
      <c r="K19" s="2"/>
      <c r="L19" s="2">
        <f t="shared" si="0"/>
        <v>-6481.93</v>
      </c>
      <c r="M19" s="2"/>
      <c r="N19" s="19">
        <f t="shared" si="1"/>
        <v>0</v>
      </c>
      <c r="O19" s="11"/>
      <c r="P19" s="2">
        <f>-14089.48</f>
        <v>-14089.48</v>
      </c>
      <c r="Q19" s="2"/>
      <c r="R19" s="19"/>
      <c r="S19" s="2"/>
      <c r="T19" s="2"/>
      <c r="U19" s="2"/>
      <c r="V19" s="19"/>
      <c r="W19" s="2"/>
      <c r="X19" s="2">
        <f t="shared" si="2"/>
        <v>-14089.48</v>
      </c>
      <c r="Y19" s="2"/>
      <c r="Z19" s="19">
        <f t="shared" si="3"/>
        <v>0</v>
      </c>
    </row>
    <row r="20" spans="1:26" x14ac:dyDescent="0.3">
      <c r="A20" s="9"/>
      <c r="B20" s="10"/>
      <c r="C20" s="9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collapsed="1" x14ac:dyDescent="0.3">
      <c r="A21" s="10"/>
      <c r="B21" s="25" t="s">
        <v>257</v>
      </c>
      <c r="C21" s="10"/>
      <c r="D21" s="4">
        <f>SUM(OSRRefD16x_0)</f>
        <v>138076.09</v>
      </c>
      <c r="E21" s="4"/>
      <c r="F21" s="12">
        <f t="shared" ref="F21:F48" si="6">IF(D$12=0,0,D21/D$12)</f>
        <v>0.46846984486043342</v>
      </c>
      <c r="G21" s="4"/>
      <c r="H21" s="4">
        <f>SUM(OSRRefH16x_0)</f>
        <v>132404</v>
      </c>
      <c r="I21" s="4"/>
      <c r="J21" s="12">
        <f t="shared" ref="J21:J48" si="7">IF(H$12=0,0,H21/H$12)</f>
        <v>0.49628546797106338</v>
      </c>
      <c r="K21" s="4"/>
      <c r="L21" s="4">
        <f t="shared" ref="L21:L48" si="8">+D21-H21</f>
        <v>5672.0899999999965</v>
      </c>
      <c r="M21" s="4"/>
      <c r="N21" s="12">
        <f t="shared" ref="N21:N48" si="9">IF(H21=0,0,L21/H21)</f>
        <v>4.283926467478321E-2</v>
      </c>
      <c r="O21" s="10"/>
      <c r="P21" s="4">
        <f>SUM(OSRRefP16x_0)</f>
        <v>1953826.99</v>
      </c>
      <c r="Q21" s="4"/>
      <c r="R21" s="12">
        <f t="shared" ref="R21:R48" si="10">IF(P$12=0,0,P21/P$12)</f>
        <v>0.61773129916490921</v>
      </c>
      <c r="S21" s="4"/>
      <c r="T21" s="4">
        <f>SUM(OSRRefT16x_0)</f>
        <v>2882525</v>
      </c>
      <c r="U21" s="4"/>
      <c r="V21" s="12">
        <f t="shared" ref="V21:V48" si="11">IF(T$12=0,0,T21/T$12)</f>
        <v>0.63499194949539228</v>
      </c>
      <c r="W21" s="4"/>
      <c r="X21" s="4">
        <f t="shared" ref="X21:X48" si="12">+P21-T21</f>
        <v>-928698.01</v>
      </c>
      <c r="Y21" s="4"/>
      <c r="Z21" s="12">
        <f t="shared" ref="Z21:Z48" si="13">IF(T21=0,0,X21/T21)</f>
        <v>-0.32218211810825581</v>
      </c>
    </row>
    <row r="22" spans="1:26" s="24" customFormat="1" hidden="1" outlineLevel="1" x14ac:dyDescent="0.3">
      <c r="A22" s="44"/>
      <c r="B22" s="11" t="str">
        <f>CONCATENATE("          ", "5000", " - ", "PURCHASES @ COST")</f>
        <v xml:space="preserve">          5000 - PURCHASES @ COST</v>
      </c>
      <c r="C22" s="11"/>
      <c r="D22" s="2">
        <v>-67930.34</v>
      </c>
      <c r="E22" s="2"/>
      <c r="F22" s="19">
        <f t="shared" si="6"/>
        <v>-0.2304766584939977</v>
      </c>
      <c r="G22" s="2"/>
      <c r="H22" s="2">
        <v>132404</v>
      </c>
      <c r="I22" s="2"/>
      <c r="J22" s="19">
        <f t="shared" si="7"/>
        <v>0.49628546797106338</v>
      </c>
      <c r="K22" s="2"/>
      <c r="L22" s="2">
        <f t="shared" si="8"/>
        <v>-200334.34</v>
      </c>
      <c r="M22" s="2"/>
      <c r="N22" s="19">
        <f t="shared" si="9"/>
        <v>-1.5130535331258874</v>
      </c>
      <c r="O22" s="11"/>
      <c r="P22" s="2">
        <v>2248206.7799999998</v>
      </c>
      <c r="Q22" s="2"/>
      <c r="R22" s="19">
        <f t="shared" si="10"/>
        <v>0.71080382352623617</v>
      </c>
      <c r="S22" s="2"/>
      <c r="T22" s="2">
        <v>2882525</v>
      </c>
      <c r="U22" s="2"/>
      <c r="V22" s="19">
        <f t="shared" si="11"/>
        <v>0.63499194949539228</v>
      </c>
      <c r="W22" s="2"/>
      <c r="X22" s="2">
        <f t="shared" si="12"/>
        <v>-634318.2200000002</v>
      </c>
      <c r="Y22" s="2"/>
      <c r="Z22" s="19">
        <f t="shared" si="13"/>
        <v>-0.2200564505078014</v>
      </c>
    </row>
    <row r="23" spans="1:26" s="24" customFormat="1" hidden="1" outlineLevel="1" x14ac:dyDescent="0.3">
      <c r="A23" s="44"/>
      <c r="B23" s="11" t="str">
        <f>CONCATENATE("          ", "5001", " - ", "PURCHASES @ COST-NEW TEXT")</f>
        <v xml:space="preserve">          5001 - PURCHASES @ COST-NEW TEXT</v>
      </c>
      <c r="C23" s="11"/>
      <c r="D23" s="2"/>
      <c r="E23" s="2"/>
      <c r="F23" s="19">
        <f t="shared" si="6"/>
        <v>0</v>
      </c>
      <c r="G23" s="2"/>
      <c r="H23" s="2"/>
      <c r="I23" s="2"/>
      <c r="J23" s="19">
        <f t="shared" si="7"/>
        <v>0</v>
      </c>
      <c r="K23" s="2"/>
      <c r="L23" s="2">
        <f t="shared" si="8"/>
        <v>0</v>
      </c>
      <c r="M23" s="2"/>
      <c r="N23" s="19">
        <f t="shared" si="9"/>
        <v>0</v>
      </c>
      <c r="O23" s="11"/>
      <c r="P23" s="2">
        <v>0</v>
      </c>
      <c r="Q23" s="2"/>
      <c r="R23" s="19">
        <f t="shared" si="10"/>
        <v>0</v>
      </c>
      <c r="S23" s="2"/>
      <c r="T23" s="2"/>
      <c r="U23" s="2"/>
      <c r="V23" s="19">
        <f t="shared" si="11"/>
        <v>0</v>
      </c>
      <c r="W23" s="2"/>
      <c r="X23" s="2">
        <f t="shared" si="12"/>
        <v>0</v>
      </c>
      <c r="Y23" s="2"/>
      <c r="Z23" s="19">
        <f t="shared" si="13"/>
        <v>0</v>
      </c>
    </row>
    <row r="24" spans="1:26" s="24" customFormat="1" hidden="1" outlineLevel="1" x14ac:dyDescent="0.3">
      <c r="A24" s="44"/>
      <c r="B24" s="11" t="str">
        <f>CONCATENATE("          ", "5002", " - ", "PURCHASES @ COST-USED TEXT")</f>
        <v xml:space="preserve">          5002 - PURCHASES @ COST-USED TEXT</v>
      </c>
      <c r="C24" s="11"/>
      <c r="D24" s="2"/>
      <c r="E24" s="2"/>
      <c r="F24" s="19">
        <f t="shared" si="6"/>
        <v>0</v>
      </c>
      <c r="G24" s="2"/>
      <c r="H24" s="2"/>
      <c r="I24" s="2"/>
      <c r="J24" s="19">
        <f t="shared" si="7"/>
        <v>0</v>
      </c>
      <c r="K24" s="2"/>
      <c r="L24" s="2">
        <f t="shared" si="8"/>
        <v>0</v>
      </c>
      <c r="M24" s="2"/>
      <c r="N24" s="19">
        <f t="shared" si="9"/>
        <v>0</v>
      </c>
      <c r="O24" s="11"/>
      <c r="P24" s="2">
        <v>0</v>
      </c>
      <c r="Q24" s="2"/>
      <c r="R24" s="19">
        <f t="shared" si="10"/>
        <v>0</v>
      </c>
      <c r="S24" s="2"/>
      <c r="T24" s="2"/>
      <c r="U24" s="2"/>
      <c r="V24" s="19">
        <f t="shared" si="11"/>
        <v>0</v>
      </c>
      <c r="W24" s="2"/>
      <c r="X24" s="2">
        <f t="shared" si="12"/>
        <v>0</v>
      </c>
      <c r="Y24" s="2"/>
      <c r="Z24" s="19">
        <f t="shared" si="13"/>
        <v>0</v>
      </c>
    </row>
    <row r="25" spans="1:26" s="24" customFormat="1" hidden="1" outlineLevel="1" x14ac:dyDescent="0.3">
      <c r="A25" s="44"/>
      <c r="B25" s="11" t="str">
        <f>CONCATENATE("          ", "5004", " - ", "PURCHASES @ COST-DIGITAL TEXT")</f>
        <v xml:space="preserve">          5004 - PURCHASES @ COST-DIGITAL TEXT</v>
      </c>
      <c r="C25" s="11"/>
      <c r="D25" s="2"/>
      <c r="E25" s="2"/>
      <c r="F25" s="19">
        <f t="shared" si="6"/>
        <v>0</v>
      </c>
      <c r="G25" s="2"/>
      <c r="H25" s="2"/>
      <c r="I25" s="2"/>
      <c r="J25" s="19">
        <f t="shared" si="7"/>
        <v>0</v>
      </c>
      <c r="K25" s="2"/>
      <c r="L25" s="2">
        <f t="shared" si="8"/>
        <v>0</v>
      </c>
      <c r="M25" s="2"/>
      <c r="N25" s="19">
        <f t="shared" si="9"/>
        <v>0</v>
      </c>
      <c r="O25" s="11"/>
      <c r="P25" s="2">
        <v>0</v>
      </c>
      <c r="Q25" s="2"/>
      <c r="R25" s="19">
        <f t="shared" si="10"/>
        <v>0</v>
      </c>
      <c r="S25" s="2"/>
      <c r="T25" s="2"/>
      <c r="U25" s="2"/>
      <c r="V25" s="19">
        <f t="shared" si="11"/>
        <v>0</v>
      </c>
      <c r="W25" s="2"/>
      <c r="X25" s="2">
        <f t="shared" si="12"/>
        <v>0</v>
      </c>
      <c r="Y25" s="2"/>
      <c r="Z25" s="19">
        <f t="shared" si="13"/>
        <v>0</v>
      </c>
    </row>
    <row r="26" spans="1:26" s="24" customFormat="1" hidden="1" outlineLevel="1" x14ac:dyDescent="0.3">
      <c r="A26" s="44"/>
      <c r="B26" s="11" t="str">
        <f>CONCATENATE("          ", "5026", " - ", "PURCHASES @ COST-WRITING INSTR")</f>
        <v xml:space="preserve">          5026 - PURCHASES @ COST-WRITING INSTR</v>
      </c>
      <c r="C26" s="11"/>
      <c r="D26" s="2"/>
      <c r="E26" s="2"/>
      <c r="F26" s="19">
        <f t="shared" si="6"/>
        <v>0</v>
      </c>
      <c r="G26" s="2"/>
      <c r="H26" s="2"/>
      <c r="I26" s="2"/>
      <c r="J26" s="19">
        <f t="shared" si="7"/>
        <v>0</v>
      </c>
      <c r="K26" s="2"/>
      <c r="L26" s="2">
        <f t="shared" si="8"/>
        <v>0</v>
      </c>
      <c r="M26" s="2"/>
      <c r="N26" s="19">
        <f t="shared" si="9"/>
        <v>0</v>
      </c>
      <c r="O26" s="11"/>
      <c r="P26" s="2">
        <v>0</v>
      </c>
      <c r="Q26" s="2"/>
      <c r="R26" s="19">
        <f t="shared" si="10"/>
        <v>0</v>
      </c>
      <c r="S26" s="2"/>
      <c r="T26" s="2"/>
      <c r="U26" s="2"/>
      <c r="V26" s="19">
        <f t="shared" si="11"/>
        <v>0</v>
      </c>
      <c r="W26" s="2"/>
      <c r="X26" s="2">
        <f t="shared" si="12"/>
        <v>0</v>
      </c>
      <c r="Y26" s="2"/>
      <c r="Z26" s="19">
        <f t="shared" si="13"/>
        <v>0</v>
      </c>
    </row>
    <row r="27" spans="1:26" s="24" customFormat="1" hidden="1" outlineLevel="1" x14ac:dyDescent="0.3">
      <c r="A27" s="44"/>
      <c r="B27" s="11" t="str">
        <f>CONCATENATE("          ", "5027", " - ", "PURCHASES @ COST-SCHOOL SUPPLI")</f>
        <v xml:space="preserve">          5027 - PURCHASES @ COST-SCHOOL SUPPLI</v>
      </c>
      <c r="C27" s="11"/>
      <c r="D27" s="2"/>
      <c r="E27" s="2"/>
      <c r="F27" s="19">
        <f t="shared" si="6"/>
        <v>0</v>
      </c>
      <c r="G27" s="2"/>
      <c r="H27" s="2"/>
      <c r="I27" s="2"/>
      <c r="J27" s="19">
        <f t="shared" si="7"/>
        <v>0</v>
      </c>
      <c r="K27" s="2"/>
      <c r="L27" s="2">
        <f t="shared" si="8"/>
        <v>0</v>
      </c>
      <c r="M27" s="2"/>
      <c r="N27" s="19">
        <f t="shared" si="9"/>
        <v>0</v>
      </c>
      <c r="O27" s="11"/>
      <c r="P27" s="2">
        <v>0</v>
      </c>
      <c r="Q27" s="2"/>
      <c r="R27" s="19">
        <f t="shared" si="10"/>
        <v>0</v>
      </c>
      <c r="S27" s="2"/>
      <c r="T27" s="2"/>
      <c r="U27" s="2"/>
      <c r="V27" s="19">
        <f t="shared" si="11"/>
        <v>0</v>
      </c>
      <c r="W27" s="2"/>
      <c r="X27" s="2">
        <f t="shared" si="12"/>
        <v>0</v>
      </c>
      <c r="Y27" s="2"/>
      <c r="Z27" s="19">
        <f t="shared" si="13"/>
        <v>0</v>
      </c>
    </row>
    <row r="28" spans="1:26" s="24" customFormat="1" hidden="1" outlineLevel="1" x14ac:dyDescent="0.3">
      <c r="A28" s="44"/>
      <c r="B28" s="11" t="str">
        <f>CONCATENATE("          ", "5028", " - ", "PURCHASES @ COST-ART/TECH")</f>
        <v xml:space="preserve">          5028 - PURCHASES @ COST-ART/TECH</v>
      </c>
      <c r="C28" s="11"/>
      <c r="D28" s="2"/>
      <c r="E28" s="2"/>
      <c r="F28" s="19">
        <f t="shared" si="6"/>
        <v>0</v>
      </c>
      <c r="G28" s="2"/>
      <c r="H28" s="2"/>
      <c r="I28" s="2"/>
      <c r="J28" s="19">
        <f t="shared" si="7"/>
        <v>0</v>
      </c>
      <c r="K28" s="2"/>
      <c r="L28" s="2">
        <f t="shared" si="8"/>
        <v>0</v>
      </c>
      <c r="M28" s="2"/>
      <c r="N28" s="19">
        <f t="shared" si="9"/>
        <v>0</v>
      </c>
      <c r="O28" s="11"/>
      <c r="P28" s="2">
        <v>0</v>
      </c>
      <c r="Q28" s="2"/>
      <c r="R28" s="19">
        <f t="shared" si="10"/>
        <v>0</v>
      </c>
      <c r="S28" s="2"/>
      <c r="T28" s="2"/>
      <c r="U28" s="2"/>
      <c r="V28" s="19">
        <f t="shared" si="11"/>
        <v>0</v>
      </c>
      <c r="W28" s="2"/>
      <c r="X28" s="2">
        <f t="shared" si="12"/>
        <v>0</v>
      </c>
      <c r="Y28" s="2"/>
      <c r="Z28" s="19">
        <f t="shared" si="13"/>
        <v>0</v>
      </c>
    </row>
    <row r="29" spans="1:26" s="24" customFormat="1" hidden="1" outlineLevel="1" x14ac:dyDescent="0.3">
      <c r="A29" s="44"/>
      <c r="B29" s="11" t="str">
        <f>CONCATENATE("          ", "5031", " - ", "PURCHASES @ COST-FOOD")</f>
        <v xml:space="preserve">          5031 - PURCHASES @ COST-FOOD</v>
      </c>
      <c r="C29" s="11"/>
      <c r="D29" s="2"/>
      <c r="E29" s="2"/>
      <c r="F29" s="19">
        <f t="shared" si="6"/>
        <v>0</v>
      </c>
      <c r="G29" s="2"/>
      <c r="H29" s="2"/>
      <c r="I29" s="2"/>
      <c r="J29" s="19">
        <f t="shared" si="7"/>
        <v>0</v>
      </c>
      <c r="K29" s="2"/>
      <c r="L29" s="2">
        <f t="shared" si="8"/>
        <v>0</v>
      </c>
      <c r="M29" s="2"/>
      <c r="N29" s="19">
        <f t="shared" si="9"/>
        <v>0</v>
      </c>
      <c r="O29" s="11"/>
      <c r="P29" s="2">
        <v>0</v>
      </c>
      <c r="Q29" s="2"/>
      <c r="R29" s="19">
        <f t="shared" si="10"/>
        <v>0</v>
      </c>
      <c r="S29" s="2"/>
      <c r="T29" s="2"/>
      <c r="U29" s="2"/>
      <c r="V29" s="19">
        <f t="shared" si="11"/>
        <v>0</v>
      </c>
      <c r="W29" s="2"/>
      <c r="X29" s="2">
        <f t="shared" si="12"/>
        <v>0</v>
      </c>
      <c r="Y29" s="2"/>
      <c r="Z29" s="19">
        <f t="shared" si="13"/>
        <v>0</v>
      </c>
    </row>
    <row r="30" spans="1:26" s="24" customFormat="1" hidden="1" outlineLevel="1" x14ac:dyDescent="0.3">
      <c r="A30" s="44"/>
      <c r="B30" s="11" t="str">
        <f>CONCATENATE("          ", "5040", " - ", "PURCHASES @ COST-LOGO CLOTHING")</f>
        <v xml:space="preserve">          5040 - PURCHASES @ COST-LOGO CLOTHING</v>
      </c>
      <c r="C30" s="11"/>
      <c r="D30" s="2"/>
      <c r="E30" s="2"/>
      <c r="F30" s="19">
        <f t="shared" si="6"/>
        <v>0</v>
      </c>
      <c r="G30" s="2"/>
      <c r="H30" s="2"/>
      <c r="I30" s="2"/>
      <c r="J30" s="19">
        <f t="shared" si="7"/>
        <v>0</v>
      </c>
      <c r="K30" s="2"/>
      <c r="L30" s="2">
        <f t="shared" si="8"/>
        <v>0</v>
      </c>
      <c r="M30" s="2"/>
      <c r="N30" s="19">
        <f t="shared" si="9"/>
        <v>0</v>
      </c>
      <c r="O30" s="11"/>
      <c r="P30" s="2">
        <v>0</v>
      </c>
      <c r="Q30" s="2"/>
      <c r="R30" s="19">
        <f t="shared" si="10"/>
        <v>0</v>
      </c>
      <c r="S30" s="2"/>
      <c r="T30" s="2"/>
      <c r="U30" s="2"/>
      <c r="V30" s="19">
        <f t="shared" si="11"/>
        <v>0</v>
      </c>
      <c r="W30" s="2"/>
      <c r="X30" s="2">
        <f t="shared" si="12"/>
        <v>0</v>
      </c>
      <c r="Y30" s="2"/>
      <c r="Z30" s="19">
        <f t="shared" si="13"/>
        <v>0</v>
      </c>
    </row>
    <row r="31" spans="1:26" s="24" customFormat="1" hidden="1" outlineLevel="1" x14ac:dyDescent="0.3">
      <c r="A31" s="44"/>
      <c r="B31" s="11" t="str">
        <f>CONCATENATE("          ", "5041", " - ", "PURCHASES @ COST-LOGO GIFTS")</f>
        <v xml:space="preserve">          5041 - PURCHASES @ COST-LOGO GIFTS</v>
      </c>
      <c r="C31" s="11"/>
      <c r="D31" s="2"/>
      <c r="E31" s="2"/>
      <c r="F31" s="19">
        <f t="shared" si="6"/>
        <v>0</v>
      </c>
      <c r="G31" s="2"/>
      <c r="H31" s="2"/>
      <c r="I31" s="2"/>
      <c r="J31" s="19">
        <f t="shared" si="7"/>
        <v>0</v>
      </c>
      <c r="K31" s="2"/>
      <c r="L31" s="2">
        <f t="shared" si="8"/>
        <v>0</v>
      </c>
      <c r="M31" s="2"/>
      <c r="N31" s="19">
        <f t="shared" si="9"/>
        <v>0</v>
      </c>
      <c r="O31" s="11"/>
      <c r="P31" s="2">
        <v>0</v>
      </c>
      <c r="Q31" s="2"/>
      <c r="R31" s="19">
        <f t="shared" si="10"/>
        <v>0</v>
      </c>
      <c r="S31" s="2"/>
      <c r="T31" s="2"/>
      <c r="U31" s="2"/>
      <c r="V31" s="19">
        <f t="shared" si="11"/>
        <v>0</v>
      </c>
      <c r="W31" s="2"/>
      <c r="X31" s="2">
        <f t="shared" si="12"/>
        <v>0</v>
      </c>
      <c r="Y31" s="2"/>
      <c r="Z31" s="19">
        <f t="shared" si="13"/>
        <v>0</v>
      </c>
    </row>
    <row r="32" spans="1:26" s="24" customFormat="1" hidden="1" outlineLevel="1" x14ac:dyDescent="0.3">
      <c r="A32" s="44"/>
      <c r="B32" s="11" t="str">
        <f>CONCATENATE("          ", "5042", " - ", "PURCHASES @ COST-EVERYDAY GIFT")</f>
        <v xml:space="preserve">          5042 - PURCHASES @ COST-EVERYDAY GIFT</v>
      </c>
      <c r="C32" s="11"/>
      <c r="D32" s="2"/>
      <c r="E32" s="2"/>
      <c r="F32" s="19">
        <f t="shared" si="6"/>
        <v>0</v>
      </c>
      <c r="G32" s="2"/>
      <c r="H32" s="2"/>
      <c r="I32" s="2"/>
      <c r="J32" s="19">
        <f t="shared" si="7"/>
        <v>0</v>
      </c>
      <c r="K32" s="2"/>
      <c r="L32" s="2">
        <f t="shared" si="8"/>
        <v>0</v>
      </c>
      <c r="M32" s="2"/>
      <c r="N32" s="19">
        <f t="shared" si="9"/>
        <v>0</v>
      </c>
      <c r="O32" s="11"/>
      <c r="P32" s="2">
        <v>0</v>
      </c>
      <c r="Q32" s="2"/>
      <c r="R32" s="19">
        <f t="shared" si="10"/>
        <v>0</v>
      </c>
      <c r="S32" s="2"/>
      <c r="T32" s="2"/>
      <c r="U32" s="2"/>
      <c r="V32" s="19">
        <f t="shared" si="11"/>
        <v>0</v>
      </c>
      <c r="W32" s="2"/>
      <c r="X32" s="2">
        <f t="shared" si="12"/>
        <v>0</v>
      </c>
      <c r="Y32" s="2"/>
      <c r="Z32" s="19">
        <f t="shared" si="13"/>
        <v>0</v>
      </c>
    </row>
    <row r="33" spans="1:26" s="24" customFormat="1" hidden="1" outlineLevel="1" x14ac:dyDescent="0.3">
      <c r="A33" s="44"/>
      <c r="B33" s="11" t="str">
        <f>CONCATENATE("          ", "5043", " - ", "PURCHASES @ COST-CARDS")</f>
        <v xml:space="preserve">          5043 - PURCHASES @ COST-CARDS</v>
      </c>
      <c r="C33" s="11"/>
      <c r="D33" s="2"/>
      <c r="E33" s="2"/>
      <c r="F33" s="19">
        <f t="shared" si="6"/>
        <v>0</v>
      </c>
      <c r="G33" s="2"/>
      <c r="H33" s="2"/>
      <c r="I33" s="2"/>
      <c r="J33" s="19">
        <f t="shared" si="7"/>
        <v>0</v>
      </c>
      <c r="K33" s="2"/>
      <c r="L33" s="2">
        <f t="shared" si="8"/>
        <v>0</v>
      </c>
      <c r="M33" s="2"/>
      <c r="N33" s="19">
        <f t="shared" si="9"/>
        <v>0</v>
      </c>
      <c r="O33" s="11"/>
      <c r="P33" s="2">
        <v>0</v>
      </c>
      <c r="Q33" s="2"/>
      <c r="R33" s="19">
        <f t="shared" si="10"/>
        <v>0</v>
      </c>
      <c r="S33" s="2"/>
      <c r="T33" s="2"/>
      <c r="U33" s="2"/>
      <c r="V33" s="19">
        <f t="shared" si="11"/>
        <v>0</v>
      </c>
      <c r="W33" s="2"/>
      <c r="X33" s="2">
        <f t="shared" si="12"/>
        <v>0</v>
      </c>
      <c r="Y33" s="2"/>
      <c r="Z33" s="19">
        <f t="shared" si="13"/>
        <v>0</v>
      </c>
    </row>
    <row r="34" spans="1:26" s="24" customFormat="1" hidden="1" outlineLevel="1" x14ac:dyDescent="0.3">
      <c r="A34" s="44"/>
      <c r="B34" s="11" t="str">
        <f>CONCATENATE("          ", "5044", " - ", "PURCHASES @ COST-ACCESSORIES")</f>
        <v xml:space="preserve">          5044 - PURCHASES @ COST-ACCESSORIES</v>
      </c>
      <c r="C34" s="11"/>
      <c r="D34" s="2"/>
      <c r="E34" s="2"/>
      <c r="F34" s="19">
        <f t="shared" si="6"/>
        <v>0</v>
      </c>
      <c r="G34" s="2"/>
      <c r="H34" s="2"/>
      <c r="I34" s="2"/>
      <c r="J34" s="19">
        <f t="shared" si="7"/>
        <v>0</v>
      </c>
      <c r="K34" s="2"/>
      <c r="L34" s="2">
        <f t="shared" si="8"/>
        <v>0</v>
      </c>
      <c r="M34" s="2"/>
      <c r="N34" s="19">
        <f t="shared" si="9"/>
        <v>0</v>
      </c>
      <c r="O34" s="11"/>
      <c r="P34" s="2">
        <v>0</v>
      </c>
      <c r="Q34" s="2"/>
      <c r="R34" s="19">
        <f t="shared" si="10"/>
        <v>0</v>
      </c>
      <c r="S34" s="2"/>
      <c r="T34" s="2"/>
      <c r="U34" s="2"/>
      <c r="V34" s="19">
        <f t="shared" si="11"/>
        <v>0</v>
      </c>
      <c r="W34" s="2"/>
      <c r="X34" s="2">
        <f t="shared" si="12"/>
        <v>0</v>
      </c>
      <c r="Y34" s="2"/>
      <c r="Z34" s="19">
        <f t="shared" si="13"/>
        <v>0</v>
      </c>
    </row>
    <row r="35" spans="1:26" s="24" customFormat="1" hidden="1" outlineLevel="1" x14ac:dyDescent="0.3">
      <c r="A35" s="44"/>
      <c r="B35" s="11" t="str">
        <f>CONCATENATE("          ", "5045", " - ", "PURCHASES @ COST-SPECIAL ORDER")</f>
        <v xml:space="preserve">          5045 - PURCHASES @ COST-SPECIAL ORDER</v>
      </c>
      <c r="C35" s="11"/>
      <c r="D35" s="2"/>
      <c r="E35" s="2"/>
      <c r="F35" s="19">
        <f t="shared" si="6"/>
        <v>0</v>
      </c>
      <c r="G35" s="2"/>
      <c r="H35" s="2"/>
      <c r="I35" s="2"/>
      <c r="J35" s="19">
        <f t="shared" si="7"/>
        <v>0</v>
      </c>
      <c r="K35" s="2"/>
      <c r="L35" s="2">
        <f t="shared" si="8"/>
        <v>0</v>
      </c>
      <c r="M35" s="2"/>
      <c r="N35" s="19">
        <f t="shared" si="9"/>
        <v>0</v>
      </c>
      <c r="O35" s="11"/>
      <c r="P35" s="2">
        <v>0</v>
      </c>
      <c r="Q35" s="2"/>
      <c r="R35" s="19">
        <f t="shared" si="10"/>
        <v>0</v>
      </c>
      <c r="S35" s="2"/>
      <c r="T35" s="2"/>
      <c r="U35" s="2"/>
      <c r="V35" s="19">
        <f t="shared" si="11"/>
        <v>0</v>
      </c>
      <c r="W35" s="2"/>
      <c r="X35" s="2">
        <f t="shared" si="12"/>
        <v>0</v>
      </c>
      <c r="Y35" s="2"/>
      <c r="Z35" s="19">
        <f t="shared" si="13"/>
        <v>0</v>
      </c>
    </row>
    <row r="36" spans="1:26" s="24" customFormat="1" hidden="1" outlineLevel="1" x14ac:dyDescent="0.3">
      <c r="A36" s="44"/>
      <c r="B36" s="11" t="str">
        <f>CONCATENATE("          ", "5200", " - ", "PURCHASES OFFSET")</f>
        <v xml:space="preserve">          5200 - PURCHASES OFFSET</v>
      </c>
      <c r="C36" s="11"/>
      <c r="D36" s="2">
        <v>57137.78</v>
      </c>
      <c r="E36" s="2"/>
      <c r="F36" s="19">
        <f t="shared" si="6"/>
        <v>0.19385924769646631</v>
      </c>
      <c r="G36" s="2"/>
      <c r="H36" s="2"/>
      <c r="I36" s="2"/>
      <c r="J36" s="19">
        <f t="shared" si="7"/>
        <v>0</v>
      </c>
      <c r="K36" s="2"/>
      <c r="L36" s="2">
        <f t="shared" si="8"/>
        <v>57137.78</v>
      </c>
      <c r="M36" s="2"/>
      <c r="N36" s="19">
        <f t="shared" si="9"/>
        <v>0</v>
      </c>
      <c r="O36" s="11"/>
      <c r="P36" s="2">
        <v>-2055217.21</v>
      </c>
      <c r="Q36" s="2"/>
      <c r="R36" s="19">
        <f t="shared" si="10"/>
        <v>-0.64978731673646295</v>
      </c>
      <c r="S36" s="2"/>
      <c r="T36" s="2"/>
      <c r="U36" s="2"/>
      <c r="V36" s="19">
        <f t="shared" si="11"/>
        <v>0</v>
      </c>
      <c r="W36" s="2"/>
      <c r="X36" s="2">
        <f t="shared" si="12"/>
        <v>-2055217.21</v>
      </c>
      <c r="Y36" s="2"/>
      <c r="Z36" s="19">
        <f t="shared" si="13"/>
        <v>0</v>
      </c>
    </row>
    <row r="37" spans="1:26" s="24" customFormat="1" hidden="1" outlineLevel="1" x14ac:dyDescent="0.3">
      <c r="A37" s="44"/>
      <c r="B37" s="11" t="str">
        <f>CONCATENATE("          ", "5300", " - ", "COG$ OFFSET")</f>
        <v xml:space="preserve">          5300 - COG$ OFFSET</v>
      </c>
      <c r="C37" s="11"/>
      <c r="D37" s="2">
        <v>137747.54999999999</v>
      </c>
      <c r="E37" s="2"/>
      <c r="F37" s="19">
        <f t="shared" si="6"/>
        <v>0.46735516176917224</v>
      </c>
      <c r="G37" s="2"/>
      <c r="H37" s="2"/>
      <c r="I37" s="2"/>
      <c r="J37" s="19">
        <f t="shared" si="7"/>
        <v>0</v>
      </c>
      <c r="K37" s="2"/>
      <c r="L37" s="2">
        <f t="shared" si="8"/>
        <v>137747.54999999999</v>
      </c>
      <c r="M37" s="2"/>
      <c r="N37" s="19">
        <f t="shared" si="9"/>
        <v>0</v>
      </c>
      <c r="O37" s="11"/>
      <c r="P37" s="2">
        <v>1700080.36</v>
      </c>
      <c r="Q37" s="2"/>
      <c r="R37" s="19">
        <f t="shared" si="10"/>
        <v>0.53750554928486616</v>
      </c>
      <c r="S37" s="2"/>
      <c r="T37" s="2"/>
      <c r="U37" s="2"/>
      <c r="V37" s="19">
        <f t="shared" si="11"/>
        <v>0</v>
      </c>
      <c r="W37" s="2"/>
      <c r="X37" s="2">
        <f t="shared" si="12"/>
        <v>1700080.36</v>
      </c>
      <c r="Y37" s="2"/>
      <c r="Z37" s="19">
        <f t="shared" si="13"/>
        <v>0</v>
      </c>
    </row>
    <row r="38" spans="1:26" s="24" customFormat="1" hidden="1" outlineLevel="1" x14ac:dyDescent="0.3">
      <c r="A38" s="44"/>
      <c r="B38" s="11" t="str">
        <f>CONCATENATE("          ", "5500", " - ", "FREIGHT-IN")</f>
        <v xml:space="preserve">          5500 - FREIGHT-IN</v>
      </c>
      <c r="C38" s="11"/>
      <c r="D38" s="2">
        <v>11121.1</v>
      </c>
      <c r="E38" s="2"/>
      <c r="F38" s="19">
        <f t="shared" si="6"/>
        <v>3.773209388879252E-2</v>
      </c>
      <c r="G38" s="2"/>
      <c r="H38" s="2"/>
      <c r="I38" s="2"/>
      <c r="J38" s="19">
        <f t="shared" si="7"/>
        <v>0</v>
      </c>
      <c r="K38" s="2"/>
      <c r="L38" s="2">
        <f t="shared" si="8"/>
        <v>11121.1</v>
      </c>
      <c r="M38" s="2"/>
      <c r="N38" s="19">
        <f t="shared" si="9"/>
        <v>0</v>
      </c>
      <c r="O38" s="11"/>
      <c r="P38" s="2">
        <v>60757.06</v>
      </c>
      <c r="Q38" s="2"/>
      <c r="R38" s="19">
        <f t="shared" si="10"/>
        <v>1.92092430902699E-2</v>
      </c>
      <c r="S38" s="2"/>
      <c r="T38" s="2"/>
      <c r="U38" s="2"/>
      <c r="V38" s="19">
        <f t="shared" si="11"/>
        <v>0</v>
      </c>
      <c r="W38" s="2"/>
      <c r="X38" s="2">
        <f t="shared" si="12"/>
        <v>60757.06</v>
      </c>
      <c r="Y38" s="2"/>
      <c r="Z38" s="19">
        <f t="shared" si="13"/>
        <v>0</v>
      </c>
    </row>
    <row r="39" spans="1:26" s="24" customFormat="1" hidden="1" outlineLevel="1" x14ac:dyDescent="0.3">
      <c r="A39" s="44"/>
      <c r="B39" s="11" t="str">
        <f>CONCATENATE("          ", "5501", " - ", "FREIGHT-IN-NEW TEXT")</f>
        <v xml:space="preserve">          5501 - FREIGHT-IN-NEW TEXT</v>
      </c>
      <c r="C39" s="11"/>
      <c r="D39" s="2"/>
      <c r="E39" s="2"/>
      <c r="F39" s="19">
        <f t="shared" si="6"/>
        <v>0</v>
      </c>
      <c r="G39" s="2"/>
      <c r="H39" s="2"/>
      <c r="I39" s="2"/>
      <c r="J39" s="19">
        <f t="shared" si="7"/>
        <v>0</v>
      </c>
      <c r="K39" s="2"/>
      <c r="L39" s="2">
        <f t="shared" si="8"/>
        <v>0</v>
      </c>
      <c r="M39" s="2"/>
      <c r="N39" s="19">
        <f t="shared" si="9"/>
        <v>0</v>
      </c>
      <c r="O39" s="11"/>
      <c r="P39" s="2">
        <v>0</v>
      </c>
      <c r="Q39" s="2"/>
      <c r="R39" s="19">
        <f t="shared" si="10"/>
        <v>0</v>
      </c>
      <c r="S39" s="2"/>
      <c r="T39" s="2"/>
      <c r="U39" s="2"/>
      <c r="V39" s="19">
        <f t="shared" si="11"/>
        <v>0</v>
      </c>
      <c r="W39" s="2"/>
      <c r="X39" s="2">
        <f t="shared" si="12"/>
        <v>0</v>
      </c>
      <c r="Y39" s="2"/>
      <c r="Z39" s="19">
        <f t="shared" si="13"/>
        <v>0</v>
      </c>
    </row>
    <row r="40" spans="1:26" s="24" customFormat="1" hidden="1" outlineLevel="1" x14ac:dyDescent="0.3">
      <c r="A40" s="44"/>
      <c r="B40" s="11" t="str">
        <f>CONCATENATE("          ", "5502", " - ", "FREIGHT-IN-USED TEXT")</f>
        <v xml:space="preserve">          5502 - FREIGHT-IN-USED TEXT</v>
      </c>
      <c r="C40" s="11"/>
      <c r="D40" s="2"/>
      <c r="E40" s="2"/>
      <c r="F40" s="19">
        <f t="shared" si="6"/>
        <v>0</v>
      </c>
      <c r="G40" s="2"/>
      <c r="H40" s="2"/>
      <c r="I40" s="2"/>
      <c r="J40" s="19">
        <f t="shared" si="7"/>
        <v>0</v>
      </c>
      <c r="K40" s="2"/>
      <c r="L40" s="2">
        <f t="shared" si="8"/>
        <v>0</v>
      </c>
      <c r="M40" s="2"/>
      <c r="N40" s="19">
        <f t="shared" si="9"/>
        <v>0</v>
      </c>
      <c r="O40" s="11"/>
      <c r="P40" s="2">
        <v>0</v>
      </c>
      <c r="Q40" s="2"/>
      <c r="R40" s="19">
        <f t="shared" si="10"/>
        <v>0</v>
      </c>
      <c r="S40" s="2"/>
      <c r="T40" s="2"/>
      <c r="U40" s="2"/>
      <c r="V40" s="19">
        <f t="shared" si="11"/>
        <v>0</v>
      </c>
      <c r="W40" s="2"/>
      <c r="X40" s="2">
        <f t="shared" si="12"/>
        <v>0</v>
      </c>
      <c r="Y40" s="2"/>
      <c r="Z40" s="19">
        <f t="shared" si="13"/>
        <v>0</v>
      </c>
    </row>
    <row r="41" spans="1:26" s="24" customFormat="1" hidden="1" outlineLevel="1" x14ac:dyDescent="0.3">
      <c r="A41" s="44"/>
      <c r="B41" s="11" t="str">
        <f>CONCATENATE("          ", "5518", " - ", "FREIGHT-IN-STUDY GUIDES")</f>
        <v xml:space="preserve">          5518 - FREIGHT-IN-STUDY GUIDES</v>
      </c>
      <c r="C41" s="11"/>
      <c r="D41" s="2"/>
      <c r="E41" s="2"/>
      <c r="F41" s="19">
        <f t="shared" si="6"/>
        <v>0</v>
      </c>
      <c r="G41" s="2"/>
      <c r="H41" s="2"/>
      <c r="I41" s="2"/>
      <c r="J41" s="19">
        <f t="shared" si="7"/>
        <v>0</v>
      </c>
      <c r="K41" s="2"/>
      <c r="L41" s="2">
        <f t="shared" si="8"/>
        <v>0</v>
      </c>
      <c r="M41" s="2"/>
      <c r="N41" s="19">
        <f t="shared" si="9"/>
        <v>0</v>
      </c>
      <c r="O41" s="11"/>
      <c r="P41" s="2">
        <v>0</v>
      </c>
      <c r="Q41" s="2"/>
      <c r="R41" s="19">
        <f t="shared" si="10"/>
        <v>0</v>
      </c>
      <c r="S41" s="2"/>
      <c r="T41" s="2"/>
      <c r="U41" s="2"/>
      <c r="V41" s="19">
        <f t="shared" si="11"/>
        <v>0</v>
      </c>
      <c r="W41" s="2"/>
      <c r="X41" s="2">
        <f t="shared" si="12"/>
        <v>0</v>
      </c>
      <c r="Y41" s="2"/>
      <c r="Z41" s="19">
        <f t="shared" si="13"/>
        <v>0</v>
      </c>
    </row>
    <row r="42" spans="1:26" s="24" customFormat="1" hidden="1" outlineLevel="1" x14ac:dyDescent="0.3">
      <c r="A42" s="44"/>
      <c r="B42" s="11" t="str">
        <f>CONCATENATE("          ", "5527", " - ", "FREIGHT-IN-SCHOOL SUPPLIES")</f>
        <v xml:space="preserve">          5527 - FREIGHT-IN-SCHOOL SUPPLIES</v>
      </c>
      <c r="C42" s="11"/>
      <c r="D42" s="2"/>
      <c r="E42" s="2"/>
      <c r="F42" s="19">
        <f t="shared" si="6"/>
        <v>0</v>
      </c>
      <c r="G42" s="2"/>
      <c r="H42" s="2"/>
      <c r="I42" s="2"/>
      <c r="J42" s="19">
        <f t="shared" si="7"/>
        <v>0</v>
      </c>
      <c r="K42" s="2"/>
      <c r="L42" s="2">
        <f t="shared" si="8"/>
        <v>0</v>
      </c>
      <c r="M42" s="2"/>
      <c r="N42" s="19">
        <f t="shared" si="9"/>
        <v>0</v>
      </c>
      <c r="O42" s="11"/>
      <c r="P42" s="2">
        <v>0</v>
      </c>
      <c r="Q42" s="2"/>
      <c r="R42" s="19">
        <f t="shared" si="10"/>
        <v>0</v>
      </c>
      <c r="S42" s="2"/>
      <c r="T42" s="2"/>
      <c r="U42" s="2"/>
      <c r="V42" s="19">
        <f t="shared" si="11"/>
        <v>0</v>
      </c>
      <c r="W42" s="2"/>
      <c r="X42" s="2">
        <f t="shared" si="12"/>
        <v>0</v>
      </c>
      <c r="Y42" s="2"/>
      <c r="Z42" s="19">
        <f t="shared" si="13"/>
        <v>0</v>
      </c>
    </row>
    <row r="43" spans="1:26" s="24" customFormat="1" hidden="1" outlineLevel="1" x14ac:dyDescent="0.3">
      <c r="A43" s="44"/>
      <c r="B43" s="11" t="str">
        <f>CONCATENATE("          ", "5528", " - ", "FREIGHT-IN-ART/TECH")</f>
        <v xml:space="preserve">          5528 - FREIGHT-IN-ART/TECH</v>
      </c>
      <c r="C43" s="11"/>
      <c r="D43" s="2"/>
      <c r="E43" s="2"/>
      <c r="F43" s="19">
        <f t="shared" si="6"/>
        <v>0</v>
      </c>
      <c r="G43" s="2"/>
      <c r="H43" s="2"/>
      <c r="I43" s="2"/>
      <c r="J43" s="19">
        <f t="shared" si="7"/>
        <v>0</v>
      </c>
      <c r="K43" s="2"/>
      <c r="L43" s="2">
        <f t="shared" si="8"/>
        <v>0</v>
      </c>
      <c r="M43" s="2"/>
      <c r="N43" s="19">
        <f t="shared" si="9"/>
        <v>0</v>
      </c>
      <c r="O43" s="11"/>
      <c r="P43" s="2">
        <v>0</v>
      </c>
      <c r="Q43" s="2"/>
      <c r="R43" s="19">
        <f t="shared" si="10"/>
        <v>0</v>
      </c>
      <c r="S43" s="2"/>
      <c r="T43" s="2"/>
      <c r="U43" s="2"/>
      <c r="V43" s="19">
        <f t="shared" si="11"/>
        <v>0</v>
      </c>
      <c r="W43" s="2"/>
      <c r="X43" s="2">
        <f t="shared" si="12"/>
        <v>0</v>
      </c>
      <c r="Y43" s="2"/>
      <c r="Z43" s="19">
        <f t="shared" si="13"/>
        <v>0</v>
      </c>
    </row>
    <row r="44" spans="1:26" s="24" customFormat="1" hidden="1" outlineLevel="1" x14ac:dyDescent="0.3">
      <c r="A44" s="44"/>
      <c r="B44" s="11" t="str">
        <f>CONCATENATE("          ", "5540", " - ", "FREIGHT-IN-LOGO CLOTHING")</f>
        <v xml:space="preserve">          5540 - FREIGHT-IN-LOGO CLOTHING</v>
      </c>
      <c r="C44" s="11"/>
      <c r="D44" s="2"/>
      <c r="E44" s="2"/>
      <c r="F44" s="19">
        <f t="shared" si="6"/>
        <v>0</v>
      </c>
      <c r="G44" s="2"/>
      <c r="H44" s="2"/>
      <c r="I44" s="2"/>
      <c r="J44" s="19">
        <f t="shared" si="7"/>
        <v>0</v>
      </c>
      <c r="K44" s="2"/>
      <c r="L44" s="2">
        <f t="shared" si="8"/>
        <v>0</v>
      </c>
      <c r="M44" s="2"/>
      <c r="N44" s="19">
        <f t="shared" si="9"/>
        <v>0</v>
      </c>
      <c r="O44" s="11"/>
      <c r="P44" s="2">
        <v>0</v>
      </c>
      <c r="Q44" s="2"/>
      <c r="R44" s="19">
        <f t="shared" si="10"/>
        <v>0</v>
      </c>
      <c r="S44" s="2"/>
      <c r="T44" s="2"/>
      <c r="U44" s="2"/>
      <c r="V44" s="19">
        <f t="shared" si="11"/>
        <v>0</v>
      </c>
      <c r="W44" s="2"/>
      <c r="X44" s="2">
        <f t="shared" si="12"/>
        <v>0</v>
      </c>
      <c r="Y44" s="2"/>
      <c r="Z44" s="19">
        <f t="shared" si="13"/>
        <v>0</v>
      </c>
    </row>
    <row r="45" spans="1:26" s="24" customFormat="1" hidden="1" outlineLevel="1" x14ac:dyDescent="0.3">
      <c r="A45" s="44"/>
      <c r="B45" s="11" t="str">
        <f>CONCATENATE("          ", "5541", " - ", "FREIGHT-IN-LOGO GIFTS")</f>
        <v xml:space="preserve">          5541 - FREIGHT-IN-LOGO GIFTS</v>
      </c>
      <c r="C45" s="11"/>
      <c r="D45" s="2"/>
      <c r="E45" s="2"/>
      <c r="F45" s="19">
        <f t="shared" si="6"/>
        <v>0</v>
      </c>
      <c r="G45" s="2"/>
      <c r="H45" s="2"/>
      <c r="I45" s="2"/>
      <c r="J45" s="19">
        <f t="shared" si="7"/>
        <v>0</v>
      </c>
      <c r="K45" s="2"/>
      <c r="L45" s="2">
        <f t="shared" si="8"/>
        <v>0</v>
      </c>
      <c r="M45" s="2"/>
      <c r="N45" s="19">
        <f t="shared" si="9"/>
        <v>0</v>
      </c>
      <c r="O45" s="11"/>
      <c r="P45" s="2">
        <v>0</v>
      </c>
      <c r="Q45" s="2"/>
      <c r="R45" s="19">
        <f t="shared" si="10"/>
        <v>0</v>
      </c>
      <c r="S45" s="2"/>
      <c r="T45" s="2"/>
      <c r="U45" s="2"/>
      <c r="V45" s="19">
        <f t="shared" si="11"/>
        <v>0</v>
      </c>
      <c r="W45" s="2"/>
      <c r="X45" s="2">
        <f t="shared" si="12"/>
        <v>0</v>
      </c>
      <c r="Y45" s="2"/>
      <c r="Z45" s="19">
        <f t="shared" si="13"/>
        <v>0</v>
      </c>
    </row>
    <row r="46" spans="1:26" s="24" customFormat="1" hidden="1" outlineLevel="1" x14ac:dyDescent="0.3">
      <c r="A46" s="44"/>
      <c r="B46" s="11" t="str">
        <f>CONCATENATE("          ", "5542", " - ", "FREIGHT-IN-EVERYDAY GIFTS")</f>
        <v xml:space="preserve">          5542 - FREIGHT-IN-EVERYDAY GIFTS</v>
      </c>
      <c r="C46" s="11"/>
      <c r="D46" s="2"/>
      <c r="E46" s="2"/>
      <c r="F46" s="19">
        <f t="shared" si="6"/>
        <v>0</v>
      </c>
      <c r="G46" s="2"/>
      <c r="H46" s="2"/>
      <c r="I46" s="2"/>
      <c r="J46" s="19">
        <f t="shared" si="7"/>
        <v>0</v>
      </c>
      <c r="K46" s="2"/>
      <c r="L46" s="2">
        <f t="shared" si="8"/>
        <v>0</v>
      </c>
      <c r="M46" s="2"/>
      <c r="N46" s="19">
        <f t="shared" si="9"/>
        <v>0</v>
      </c>
      <c r="O46" s="11"/>
      <c r="P46" s="2">
        <v>0</v>
      </c>
      <c r="Q46" s="2"/>
      <c r="R46" s="19">
        <f t="shared" si="10"/>
        <v>0</v>
      </c>
      <c r="S46" s="2"/>
      <c r="T46" s="2"/>
      <c r="U46" s="2"/>
      <c r="V46" s="19">
        <f t="shared" si="11"/>
        <v>0</v>
      </c>
      <c r="W46" s="2"/>
      <c r="X46" s="2">
        <f t="shared" si="12"/>
        <v>0</v>
      </c>
      <c r="Y46" s="2"/>
      <c r="Z46" s="19">
        <f t="shared" si="13"/>
        <v>0</v>
      </c>
    </row>
    <row r="47" spans="1:26" s="24" customFormat="1" hidden="1" outlineLevel="1" x14ac:dyDescent="0.3">
      <c r="A47" s="44"/>
      <c r="B47" s="11" t="str">
        <f>CONCATENATE("          ", "5544", " - ", "FREIGHT-IN-ACCESSORIES")</f>
        <v xml:space="preserve">          5544 - FREIGHT-IN-ACCESSORIES</v>
      </c>
      <c r="C47" s="11"/>
      <c r="D47" s="2"/>
      <c r="E47" s="2"/>
      <c r="F47" s="19">
        <f t="shared" si="6"/>
        <v>0</v>
      </c>
      <c r="G47" s="2"/>
      <c r="H47" s="2"/>
      <c r="I47" s="2"/>
      <c r="J47" s="19">
        <f t="shared" si="7"/>
        <v>0</v>
      </c>
      <c r="K47" s="2"/>
      <c r="L47" s="2">
        <f t="shared" si="8"/>
        <v>0</v>
      </c>
      <c r="M47" s="2"/>
      <c r="N47" s="19">
        <f t="shared" si="9"/>
        <v>0</v>
      </c>
      <c r="O47" s="11"/>
      <c r="P47" s="2">
        <v>0</v>
      </c>
      <c r="Q47" s="2"/>
      <c r="R47" s="19">
        <f t="shared" si="10"/>
        <v>0</v>
      </c>
      <c r="S47" s="2"/>
      <c r="T47" s="2"/>
      <c r="U47" s="2"/>
      <c r="V47" s="19">
        <f t="shared" si="11"/>
        <v>0</v>
      </c>
      <c r="W47" s="2"/>
      <c r="X47" s="2">
        <f t="shared" si="12"/>
        <v>0</v>
      </c>
      <c r="Y47" s="2"/>
      <c r="Z47" s="19">
        <f t="shared" si="13"/>
        <v>0</v>
      </c>
    </row>
    <row r="48" spans="1:26" s="24" customFormat="1" hidden="1" outlineLevel="1" x14ac:dyDescent="0.3">
      <c r="A48" s="44"/>
      <c r="B48" s="11" t="str">
        <f>CONCATENATE("          ", "5545", " - ", "FREIGHT-IN-SPECIAL ORDERS")</f>
        <v xml:space="preserve">          5545 - FREIGHT-IN-SPECIAL ORDERS</v>
      </c>
      <c r="C48" s="11"/>
      <c r="D48" s="2"/>
      <c r="E48" s="2"/>
      <c r="F48" s="19">
        <f t="shared" si="6"/>
        <v>0</v>
      </c>
      <c r="G48" s="2"/>
      <c r="H48" s="2"/>
      <c r="I48" s="2"/>
      <c r="J48" s="19">
        <f t="shared" si="7"/>
        <v>0</v>
      </c>
      <c r="K48" s="2"/>
      <c r="L48" s="2">
        <f t="shared" si="8"/>
        <v>0</v>
      </c>
      <c r="M48" s="2"/>
      <c r="N48" s="19">
        <f t="shared" si="9"/>
        <v>0</v>
      </c>
      <c r="O48" s="11"/>
      <c r="P48" s="2">
        <v>0</v>
      </c>
      <c r="Q48" s="2"/>
      <c r="R48" s="19">
        <f t="shared" si="10"/>
        <v>0</v>
      </c>
      <c r="S48" s="2"/>
      <c r="T48" s="2"/>
      <c r="U48" s="2"/>
      <c r="V48" s="19">
        <f t="shared" si="11"/>
        <v>0</v>
      </c>
      <c r="W48" s="2"/>
      <c r="X48" s="2">
        <f t="shared" si="12"/>
        <v>0</v>
      </c>
      <c r="Y48" s="2"/>
      <c r="Z48" s="19">
        <f t="shared" si="13"/>
        <v>0</v>
      </c>
    </row>
    <row r="49" spans="1:26" x14ac:dyDescent="0.3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3">
      <c r="A50" s="10"/>
      <c r="B50" s="26" t="s">
        <v>108</v>
      </c>
      <c r="C50" s="26"/>
      <c r="D50" s="20">
        <f>D12-D21</f>
        <v>156662.3900000001</v>
      </c>
      <c r="E50" s="13"/>
      <c r="F50" s="22">
        <f>IF(D$12=0,0,D50/D$12)</f>
        <v>0.53153015513956658</v>
      </c>
      <c r="G50" s="13"/>
      <c r="H50" s="20">
        <f>H12-H21</f>
        <v>134386</v>
      </c>
      <c r="I50" s="13"/>
      <c r="J50" s="22">
        <f>IF(H$12=0,0,H50/H$12)</f>
        <v>0.50371453202893657</v>
      </c>
      <c r="K50" s="15"/>
      <c r="L50" s="20">
        <f>+D50-H50</f>
        <v>22276.390000000101</v>
      </c>
      <c r="M50" s="15"/>
      <c r="N50" s="22">
        <f>IF(H50=0,0,L50/H50)</f>
        <v>0.16576421651064918</v>
      </c>
      <c r="O50" s="25"/>
      <c r="P50" s="20">
        <f>P12-P21</f>
        <v>1209080.5599999998</v>
      </c>
      <c r="Q50" s="13"/>
      <c r="R50" s="22">
        <f>IF(P$12=0,0,P50/P$12)</f>
        <v>0.38226870083509079</v>
      </c>
      <c r="S50" s="13"/>
      <c r="T50" s="20">
        <f>T12-T21</f>
        <v>1656942</v>
      </c>
      <c r="U50" s="13"/>
      <c r="V50" s="22">
        <f>IF(T$12=0,0,T50/T$12)</f>
        <v>0.36500805050460772</v>
      </c>
      <c r="W50" s="15"/>
      <c r="X50" s="20">
        <f>+P50-T50</f>
        <v>-447861.44000000018</v>
      </c>
      <c r="Y50" s="15"/>
      <c r="Z50" s="22">
        <f>IF(T50=0,0,X50/T50)</f>
        <v>-0.27029397528700472</v>
      </c>
    </row>
    <row r="51" spans="1:26" x14ac:dyDescent="0.3">
      <c r="A51" s="9"/>
      <c r="B51" s="10"/>
      <c r="C51" s="9"/>
      <c r="D51" s="1"/>
      <c r="E51" s="1"/>
      <c r="F51" s="5"/>
      <c r="G51" s="1"/>
      <c r="H51" s="1"/>
      <c r="I51" s="1"/>
      <c r="J51" s="5"/>
      <c r="K51" s="1"/>
      <c r="L51" s="1"/>
      <c r="M51" s="1"/>
      <c r="N51" s="5"/>
      <c r="O51" s="36"/>
      <c r="P51" s="1"/>
      <c r="Q51" s="1"/>
      <c r="R51" s="5"/>
      <c r="S51" s="1"/>
      <c r="T51" s="1"/>
      <c r="U51" s="1"/>
      <c r="V51" s="5"/>
      <c r="W51" s="1"/>
      <c r="X51" s="1"/>
      <c r="Y51" s="1"/>
      <c r="Z51" s="5"/>
    </row>
    <row r="52" spans="1:26" s="23" customFormat="1" x14ac:dyDescent="0.3">
      <c r="A52" s="10"/>
      <c r="B52" s="25" t="s">
        <v>295</v>
      </c>
      <c r="C52" s="10"/>
      <c r="D52" s="21">
        <f>SUM(OSRRefD22x_0)</f>
        <v>264883.31999999995</v>
      </c>
      <c r="E52" s="21"/>
      <c r="F52" s="30">
        <f t="shared" ref="F52:F63" si="14">IF(D$12=0,0,D52/D$12)</f>
        <v>0.89870627004658454</v>
      </c>
      <c r="G52" s="21"/>
      <c r="H52" s="21">
        <f>SUM(OSRRefH22x_0)</f>
        <v>287086.99384960509</v>
      </c>
      <c r="I52" s="21"/>
      <c r="J52" s="30">
        <f t="shared" ref="J52:J63" si="15">IF(H$12=0,0,H52/H$12)</f>
        <v>1.0760785406109865</v>
      </c>
      <c r="K52" s="4"/>
      <c r="L52" s="21">
        <f t="shared" ref="L52:L63" si="16">+D52-H52</f>
        <v>-22203.67384960514</v>
      </c>
      <c r="M52" s="4"/>
      <c r="N52" s="30">
        <f t="shared" ref="N52:N63" si="17">IF(H52=0,0,L52/H52)</f>
        <v>-7.7341273987622278E-2</v>
      </c>
      <c r="O52" s="10"/>
      <c r="P52" s="21">
        <f>SUM(OSRRefP22x_0)</f>
        <v>1591336.9099999995</v>
      </c>
      <c r="Q52" s="21"/>
      <c r="R52" s="30">
        <f t="shared" ref="R52:R63" si="18">IF(P$12=0,0,P52/P$12)</f>
        <v>0.50312469929764447</v>
      </c>
      <c r="S52" s="21"/>
      <c r="T52" s="21">
        <f>SUM(OSRRefT22x_0)</f>
        <v>1727929.7998555209</v>
      </c>
      <c r="U52" s="21"/>
      <c r="V52" s="30">
        <f t="shared" ref="V52:V63" si="19">IF(T$12=0,0,T52/T$12)</f>
        <v>0.38064596567295694</v>
      </c>
      <c r="W52" s="4"/>
      <c r="X52" s="21">
        <f t="shared" ref="X52:X63" si="20">+P52-T52</f>
        <v>-136592.8898555215</v>
      </c>
      <c r="Y52" s="4"/>
      <c r="Z52" s="30">
        <f t="shared" ref="Z52:Z63" si="21">IF(T52=0,0,X52/T52)</f>
        <v>-7.9050022672762843E-2</v>
      </c>
    </row>
    <row r="53" spans="1:26" s="29" customFormat="1" outlineLevel="1" collapsed="1" x14ac:dyDescent="0.3">
      <c r="A53" s="28"/>
      <c r="B53" s="14" t="str">
        <f>CONCATENATE("     ","*Benefits                                         ")</f>
        <v xml:space="preserve">     *Benefits                                         </v>
      </c>
      <c r="C53" s="14"/>
      <c r="D53" s="1">
        <f>SUM(OSRRefD22_0x_0)</f>
        <v>51237.49</v>
      </c>
      <c r="E53" s="1"/>
      <c r="F53" s="5">
        <f t="shared" si="14"/>
        <v>0.17384051787197918</v>
      </c>
      <c r="G53" s="1"/>
      <c r="H53" s="1">
        <f>SUM(OSRRefH22_0x_0)</f>
        <v>42683.104265889786</v>
      </c>
      <c r="I53" s="1"/>
      <c r="J53" s="5">
        <f t="shared" si="15"/>
        <v>0.1599876467104831</v>
      </c>
      <c r="K53" s="1"/>
      <c r="L53" s="1">
        <f t="shared" si="16"/>
        <v>8554.3857341102121</v>
      </c>
      <c r="M53" s="1"/>
      <c r="N53" s="5">
        <f t="shared" si="17"/>
        <v>0.20041620405164512</v>
      </c>
      <c r="O53" s="14"/>
      <c r="P53" s="1">
        <f>SUM(OSRRefP22_0x_0)</f>
        <v>257076.36</v>
      </c>
      <c r="Q53" s="1"/>
      <c r="R53" s="5">
        <f t="shared" si="18"/>
        <v>8.1278493264844237E-2</v>
      </c>
      <c r="S53" s="1"/>
      <c r="T53" s="1">
        <f>SUM(OSRRefT22_0x_0)</f>
        <v>247182.8143566245</v>
      </c>
      <c r="U53" s="1"/>
      <c r="V53" s="5">
        <f t="shared" si="19"/>
        <v>5.4451946529542897E-2</v>
      </c>
      <c r="W53" s="1"/>
      <c r="X53" s="1">
        <f t="shared" si="20"/>
        <v>9893.545643375488</v>
      </c>
      <c r="Y53" s="1"/>
      <c r="Z53" s="5">
        <f t="shared" si="21"/>
        <v>4.0025216433944778E-2</v>
      </c>
    </row>
    <row r="54" spans="1:26" s="24" customFormat="1" hidden="1" outlineLevel="2" x14ac:dyDescent="0.3">
      <c r="A54" s="27"/>
      <c r="B54" s="11" t="str">
        <f>CONCATENATE("          ", "6111", " - ", "F.I.C.A.")</f>
        <v xml:space="preserve">          6111 - F.I.C.A.</v>
      </c>
      <c r="C54" s="11"/>
      <c r="D54" s="6">
        <v>8839.07</v>
      </c>
      <c r="E54" s="2"/>
      <c r="F54" s="7">
        <f t="shared" si="14"/>
        <v>2.9989535129583342E-2</v>
      </c>
      <c r="G54" s="2"/>
      <c r="H54" s="6">
        <v>8658.1542206720806</v>
      </c>
      <c r="I54" s="2"/>
      <c r="J54" s="7">
        <f t="shared" si="15"/>
        <v>3.2453068783208069E-2</v>
      </c>
      <c r="K54" s="2"/>
      <c r="L54" s="6">
        <f t="shared" si="16"/>
        <v>180.91577932791915</v>
      </c>
      <c r="M54" s="2"/>
      <c r="N54" s="7">
        <f t="shared" si="17"/>
        <v>2.089542120836417E-2</v>
      </c>
      <c r="O54" s="11"/>
      <c r="P54" s="6">
        <v>49049.78</v>
      </c>
      <c r="Q54" s="2"/>
      <c r="R54" s="7">
        <f t="shared" si="18"/>
        <v>1.5507813372540719E-2</v>
      </c>
      <c r="S54" s="2"/>
      <c r="T54" s="6">
        <v>51525.063733888703</v>
      </c>
      <c r="U54" s="2"/>
      <c r="V54" s="7">
        <f t="shared" si="19"/>
        <v>1.1350465535687054E-2</v>
      </c>
      <c r="W54" s="2"/>
      <c r="X54" s="6">
        <f t="shared" si="20"/>
        <v>-2475.2837338887039</v>
      </c>
      <c r="Y54" s="2"/>
      <c r="Z54" s="7">
        <f t="shared" si="21"/>
        <v>-4.8040381796959866E-2</v>
      </c>
    </row>
    <row r="55" spans="1:26" s="24" customFormat="1" hidden="1" outlineLevel="2" x14ac:dyDescent="0.3">
      <c r="A55" s="27"/>
      <c r="B55" s="11" t="str">
        <f>CONCATENATE("          ", "6112", " - ", "COMPENSATION INSURANCE")</f>
        <v xml:space="preserve">          6112 - COMPENSATION INSURANCE</v>
      </c>
      <c r="C55" s="11"/>
      <c r="D55" s="6">
        <v>2407.42</v>
      </c>
      <c r="E55" s="2"/>
      <c r="F55" s="7">
        <f t="shared" si="14"/>
        <v>8.1679867521879026E-3</v>
      </c>
      <c r="G55" s="2"/>
      <c r="H55" s="6">
        <v>2215.7361754799999</v>
      </c>
      <c r="I55" s="2"/>
      <c r="J55" s="7">
        <f t="shared" si="15"/>
        <v>8.3051695171483184E-3</v>
      </c>
      <c r="K55" s="2"/>
      <c r="L55" s="6">
        <f t="shared" si="16"/>
        <v>191.68382452000014</v>
      </c>
      <c r="M55" s="2"/>
      <c r="N55" s="7">
        <f t="shared" si="17"/>
        <v>8.651022023345141E-2</v>
      </c>
      <c r="O55" s="11"/>
      <c r="P55" s="6">
        <v>12701.04</v>
      </c>
      <c r="Q55" s="2"/>
      <c r="R55" s="7">
        <f t="shared" si="18"/>
        <v>4.0156216390200847E-3</v>
      </c>
      <c r="S55" s="2"/>
      <c r="T55" s="6">
        <v>14204.657515139999</v>
      </c>
      <c r="U55" s="2"/>
      <c r="V55" s="7">
        <f t="shared" si="19"/>
        <v>3.1291465529190978E-3</v>
      </c>
      <c r="W55" s="2"/>
      <c r="X55" s="6">
        <f t="shared" si="20"/>
        <v>-1503.6175151399984</v>
      </c>
      <c r="Y55" s="2"/>
      <c r="Z55" s="7">
        <f t="shared" si="21"/>
        <v>-0.10585383797795697</v>
      </c>
    </row>
    <row r="56" spans="1:26" s="24" customFormat="1" hidden="1" outlineLevel="2" x14ac:dyDescent="0.3">
      <c r="A56" s="27"/>
      <c r="B56" s="11" t="str">
        <f>CONCATENATE("          ", "6113", " - ", "GROUP INSURANCE")</f>
        <v xml:space="preserve">          6113 - GROUP INSURANCE</v>
      </c>
      <c r="C56" s="11"/>
      <c r="D56" s="6">
        <v>17975.22</v>
      </c>
      <c r="E56" s="2"/>
      <c r="F56" s="7">
        <f t="shared" si="14"/>
        <v>6.098701465787567E-2</v>
      </c>
      <c r="G56" s="2"/>
      <c r="H56" s="6">
        <v>15715.9230769231</v>
      </c>
      <c r="I56" s="2"/>
      <c r="J56" s="7">
        <f t="shared" si="15"/>
        <v>5.8907466835050416E-2</v>
      </c>
      <c r="K56" s="2"/>
      <c r="L56" s="6">
        <f t="shared" si="16"/>
        <v>2259.2969230769013</v>
      </c>
      <c r="M56" s="2"/>
      <c r="N56" s="7">
        <f t="shared" si="17"/>
        <v>0.1437584615309298</v>
      </c>
      <c r="O56" s="11"/>
      <c r="P56" s="6">
        <v>90256.33</v>
      </c>
      <c r="Q56" s="2"/>
      <c r="R56" s="7">
        <f t="shared" si="18"/>
        <v>2.8535873582520618E-2</v>
      </c>
      <c r="S56" s="2"/>
      <c r="T56" s="6">
        <v>85658.576923076995</v>
      </c>
      <c r="U56" s="2"/>
      <c r="V56" s="7">
        <f t="shared" si="19"/>
        <v>1.8869743281111417E-2</v>
      </c>
      <c r="W56" s="2"/>
      <c r="X56" s="6">
        <f t="shared" si="20"/>
        <v>4597.753076923007</v>
      </c>
      <c r="Y56" s="2"/>
      <c r="Z56" s="7">
        <f t="shared" si="21"/>
        <v>5.367533809313544E-2</v>
      </c>
    </row>
    <row r="57" spans="1:26" s="24" customFormat="1" hidden="1" outlineLevel="2" x14ac:dyDescent="0.3">
      <c r="A57" s="27"/>
      <c r="B57" s="11" t="str">
        <f>CONCATENATE("          ", "6114", " - ", "STATE UNEMPLOYMENT INSURANCE")</f>
        <v xml:space="preserve">          6114 - STATE UNEMPLOYMENT INSURANCE</v>
      </c>
      <c r="C57" s="11"/>
      <c r="D57" s="6">
        <v>432.61</v>
      </c>
      <c r="E57" s="2"/>
      <c r="F57" s="7">
        <f t="shared" si="14"/>
        <v>1.4677757719317812E-3</v>
      </c>
      <c r="G57" s="2"/>
      <c r="H57" s="6">
        <v>298.27217746846202</v>
      </c>
      <c r="I57" s="2"/>
      <c r="J57" s="7">
        <f t="shared" si="15"/>
        <v>1.118003588846891E-3</v>
      </c>
      <c r="K57" s="2"/>
      <c r="L57" s="6">
        <f t="shared" si="16"/>
        <v>134.337822531538</v>
      </c>
      <c r="M57" s="2"/>
      <c r="N57" s="7">
        <f t="shared" si="17"/>
        <v>0.45038670274817127</v>
      </c>
      <c r="O57" s="11"/>
      <c r="P57" s="6">
        <v>2292.79</v>
      </c>
      <c r="Q57" s="2"/>
      <c r="R57" s="7">
        <f t="shared" si="18"/>
        <v>7.2489946789623997E-4</v>
      </c>
      <c r="S57" s="2"/>
      <c r="T57" s="6">
        <v>1912.16543473038</v>
      </c>
      <c r="U57" s="2"/>
      <c r="V57" s="7">
        <f t="shared" si="19"/>
        <v>4.2123126673910833E-4</v>
      </c>
      <c r="W57" s="2"/>
      <c r="X57" s="6">
        <f t="shared" si="20"/>
        <v>380.62456526962001</v>
      </c>
      <c r="Y57" s="2"/>
      <c r="Z57" s="7">
        <f t="shared" si="21"/>
        <v>0.19905420229672177</v>
      </c>
    </row>
    <row r="58" spans="1:26" s="24" customFormat="1" hidden="1" outlineLevel="2" x14ac:dyDescent="0.3">
      <c r="A58" s="27"/>
      <c r="B58" s="11" t="str">
        <f>CONCATENATE("          ", "6115", " - ", "P.E.R.S.")</f>
        <v xml:space="preserve">          6115 - P.E.R.S.</v>
      </c>
      <c r="C58" s="11"/>
      <c r="D58" s="6">
        <v>8571.01</v>
      </c>
      <c r="E58" s="2"/>
      <c r="F58" s="7">
        <f t="shared" si="14"/>
        <v>2.9080050898002859E-2</v>
      </c>
      <c r="G58" s="2"/>
      <c r="H58" s="6">
        <v>4215.5982431846096</v>
      </c>
      <c r="I58" s="2"/>
      <c r="J58" s="7">
        <f t="shared" si="15"/>
        <v>1.580118536371157E-2</v>
      </c>
      <c r="K58" s="2"/>
      <c r="L58" s="6">
        <f t="shared" si="16"/>
        <v>4355.4117568153906</v>
      </c>
      <c r="M58" s="2"/>
      <c r="N58" s="7">
        <f t="shared" si="17"/>
        <v>1.0331657585864162</v>
      </c>
      <c r="O58" s="11"/>
      <c r="P58" s="6">
        <v>36904.04</v>
      </c>
      <c r="Q58" s="2"/>
      <c r="R58" s="7">
        <f t="shared" si="18"/>
        <v>1.1667758041173225E-2</v>
      </c>
      <c r="S58" s="2"/>
      <c r="T58" s="6">
        <v>25003.383799053801</v>
      </c>
      <c r="U58" s="2"/>
      <c r="V58" s="7">
        <f t="shared" si="19"/>
        <v>5.5079999037450436E-3</v>
      </c>
      <c r="W58" s="2"/>
      <c r="X58" s="6">
        <f t="shared" si="20"/>
        <v>11900.6562009462</v>
      </c>
      <c r="Y58" s="2"/>
      <c r="Z58" s="7">
        <f t="shared" si="21"/>
        <v>0.47596182567083395</v>
      </c>
    </row>
    <row r="59" spans="1:26" s="24" customFormat="1" hidden="1" outlineLevel="2" x14ac:dyDescent="0.3">
      <c r="A59" s="27"/>
      <c r="B59" s="11" t="str">
        <f>CONCATENATE("          ", "6116", " - ", "EDUCATIONAL BENEFITS")</f>
        <v xml:space="preserve">          6116 - EDUCATIONAL BENEFITS</v>
      </c>
      <c r="C59" s="11"/>
      <c r="D59" s="6"/>
      <c r="E59" s="2"/>
      <c r="F59" s="7">
        <f t="shared" si="14"/>
        <v>0</v>
      </c>
      <c r="G59" s="2"/>
      <c r="H59" s="6">
        <v>0</v>
      </c>
      <c r="I59" s="2"/>
      <c r="J59" s="7">
        <f t="shared" si="15"/>
        <v>0</v>
      </c>
      <c r="K59" s="2"/>
      <c r="L59" s="6">
        <f t="shared" si="16"/>
        <v>0</v>
      </c>
      <c r="M59" s="2"/>
      <c r="N59" s="7">
        <f t="shared" si="17"/>
        <v>0</v>
      </c>
      <c r="O59" s="11"/>
      <c r="P59" s="6"/>
      <c r="Q59" s="2"/>
      <c r="R59" s="7">
        <f t="shared" si="18"/>
        <v>0</v>
      </c>
      <c r="S59" s="2"/>
      <c r="T59" s="6">
        <v>0</v>
      </c>
      <c r="U59" s="2"/>
      <c r="V59" s="7">
        <f t="shared" si="19"/>
        <v>0</v>
      </c>
      <c r="W59" s="2"/>
      <c r="X59" s="6">
        <f t="shared" si="20"/>
        <v>0</v>
      </c>
      <c r="Y59" s="2"/>
      <c r="Z59" s="7">
        <f t="shared" si="21"/>
        <v>0</v>
      </c>
    </row>
    <row r="60" spans="1:26" s="24" customFormat="1" hidden="1" outlineLevel="2" x14ac:dyDescent="0.3">
      <c r="A60" s="27"/>
      <c r="B60" s="11" t="str">
        <f>CONCATENATE("          ", "6117", " - ", "RETIREMENT STAFF HOURLY")</f>
        <v xml:space="preserve">          6117 - RETIREMENT STAFF HOURLY</v>
      </c>
      <c r="C60" s="11"/>
      <c r="D60" s="6">
        <v>588.41999999999996</v>
      </c>
      <c r="E60" s="2"/>
      <c r="F60" s="7">
        <f t="shared" si="14"/>
        <v>1.9964139056427234E-3</v>
      </c>
      <c r="G60" s="2"/>
      <c r="H60" s="6"/>
      <c r="I60" s="2"/>
      <c r="J60" s="7">
        <f t="shared" si="15"/>
        <v>0</v>
      </c>
      <c r="K60" s="2"/>
      <c r="L60" s="6">
        <f t="shared" si="16"/>
        <v>588.41999999999996</v>
      </c>
      <c r="M60" s="2"/>
      <c r="N60" s="7">
        <f t="shared" si="17"/>
        <v>0</v>
      </c>
      <c r="O60" s="11"/>
      <c r="P60" s="6">
        <v>3104.14</v>
      </c>
      <c r="Q60" s="2"/>
      <c r="R60" s="7">
        <f t="shared" si="18"/>
        <v>9.814197699202431E-4</v>
      </c>
      <c r="S60" s="2"/>
      <c r="T60" s="6"/>
      <c r="U60" s="2"/>
      <c r="V60" s="7">
        <f t="shared" si="19"/>
        <v>0</v>
      </c>
      <c r="W60" s="2"/>
      <c r="X60" s="6">
        <f t="shared" si="20"/>
        <v>3104.14</v>
      </c>
      <c r="Y60" s="2"/>
      <c r="Z60" s="7">
        <f t="shared" si="21"/>
        <v>0</v>
      </c>
    </row>
    <row r="61" spans="1:26" s="24" customFormat="1" hidden="1" outlineLevel="2" x14ac:dyDescent="0.3">
      <c r="A61" s="27"/>
      <c r="B61" s="11" t="str">
        <f>CONCATENATE("          ", "6118", " - ", "VACATION")</f>
        <v xml:space="preserve">          6118 - VACATION</v>
      </c>
      <c r="C61" s="11"/>
      <c r="D61" s="6">
        <v>5643.29</v>
      </c>
      <c r="E61" s="2"/>
      <c r="F61" s="7">
        <f t="shared" si="14"/>
        <v>1.9146770384376E-2</v>
      </c>
      <c r="G61" s="2"/>
      <c r="H61" s="6">
        <v>3793.1837726692302</v>
      </c>
      <c r="I61" s="2"/>
      <c r="J61" s="7">
        <f t="shared" si="15"/>
        <v>1.4217863385693729E-2</v>
      </c>
      <c r="K61" s="2"/>
      <c r="L61" s="6">
        <f t="shared" si="16"/>
        <v>1850.1062273307698</v>
      </c>
      <c r="M61" s="2"/>
      <c r="N61" s="7">
        <f t="shared" si="17"/>
        <v>0.48774494941721908</v>
      </c>
      <c r="O61" s="11"/>
      <c r="P61" s="6">
        <v>28890.89</v>
      </c>
      <c r="Q61" s="2"/>
      <c r="R61" s="7">
        <f t="shared" si="18"/>
        <v>9.1342821575673312E-3</v>
      </c>
      <c r="S61" s="2"/>
      <c r="T61" s="6">
        <v>22975.991518911502</v>
      </c>
      <c r="U61" s="2"/>
      <c r="V61" s="7">
        <f t="shared" si="19"/>
        <v>5.0613852945536339E-3</v>
      </c>
      <c r="W61" s="2"/>
      <c r="X61" s="6">
        <f t="shared" si="20"/>
        <v>5914.8984810884976</v>
      </c>
      <c r="Y61" s="2"/>
      <c r="Z61" s="7">
        <f t="shared" si="21"/>
        <v>0.25743822529791388</v>
      </c>
    </row>
    <row r="62" spans="1:26" s="24" customFormat="1" hidden="1" outlineLevel="2" x14ac:dyDescent="0.3">
      <c r="A62" s="27"/>
      <c r="B62" s="11" t="str">
        <f>CONCATENATE("          ", "6119", " - ", "SICK LEAVE")</f>
        <v xml:space="preserve">          6119 - SICK LEAVE</v>
      </c>
      <c r="C62" s="11"/>
      <c r="D62" s="6">
        <v>3805.28</v>
      </c>
      <c r="E62" s="2"/>
      <c r="F62" s="7">
        <f t="shared" si="14"/>
        <v>1.2910699681968906E-2</v>
      </c>
      <c r="G62" s="2"/>
      <c r="H62" s="6">
        <v>5336.2365994923002</v>
      </c>
      <c r="I62" s="2"/>
      <c r="J62" s="7">
        <f t="shared" si="15"/>
        <v>2.0001636491218937E-2</v>
      </c>
      <c r="K62" s="2"/>
      <c r="L62" s="6">
        <f t="shared" si="16"/>
        <v>-1530.9565994923</v>
      </c>
      <c r="M62" s="2"/>
      <c r="N62" s="7">
        <f t="shared" si="17"/>
        <v>-0.28689818581843957</v>
      </c>
      <c r="O62" s="11"/>
      <c r="P62" s="6">
        <v>20974.86</v>
      </c>
      <c r="Q62" s="2"/>
      <c r="R62" s="7">
        <f t="shared" si="18"/>
        <v>6.6315121983252408E-3</v>
      </c>
      <c r="S62" s="2"/>
      <c r="T62" s="6">
        <v>33652.975431823099</v>
      </c>
      <c r="U62" s="2"/>
      <c r="V62" s="7">
        <f t="shared" si="19"/>
        <v>7.4134199966258375E-3</v>
      </c>
      <c r="W62" s="2"/>
      <c r="X62" s="6">
        <f t="shared" si="20"/>
        <v>-12678.115431823098</v>
      </c>
      <c r="Y62" s="2"/>
      <c r="Z62" s="7">
        <f t="shared" si="21"/>
        <v>-0.37673089137415033</v>
      </c>
    </row>
    <row r="63" spans="1:26" s="24" customFormat="1" hidden="1" outlineLevel="2" x14ac:dyDescent="0.3">
      <c r="A63" s="27"/>
      <c r="B63" s="11" t="str">
        <f>CONCATENATE("          ", "6156", " - ", "EMPLOYEE MEALS")</f>
        <v xml:space="preserve">          6156 - EMPLOYEE MEALS</v>
      </c>
      <c r="C63" s="11"/>
      <c r="D63" s="6">
        <v>2975.17</v>
      </c>
      <c r="E63" s="2"/>
      <c r="F63" s="7">
        <f t="shared" si="14"/>
        <v>1.0094270690410018E-2</v>
      </c>
      <c r="G63" s="2"/>
      <c r="H63" s="6">
        <v>2450</v>
      </c>
      <c r="I63" s="2"/>
      <c r="J63" s="7">
        <f t="shared" si="15"/>
        <v>9.1832527456051569E-3</v>
      </c>
      <c r="K63" s="2"/>
      <c r="L63" s="6">
        <f t="shared" si="16"/>
        <v>525.17000000000007</v>
      </c>
      <c r="M63" s="2"/>
      <c r="N63" s="7">
        <f t="shared" si="17"/>
        <v>0.21435510204081637</v>
      </c>
      <c r="O63" s="11"/>
      <c r="P63" s="6">
        <v>12902.49</v>
      </c>
      <c r="Q63" s="2"/>
      <c r="R63" s="7">
        <f t="shared" si="18"/>
        <v>4.0793130358805461E-3</v>
      </c>
      <c r="S63" s="2"/>
      <c r="T63" s="6">
        <v>12250</v>
      </c>
      <c r="U63" s="2"/>
      <c r="V63" s="7">
        <f t="shared" si="19"/>
        <v>2.6985546981617005E-3</v>
      </c>
      <c r="W63" s="2"/>
      <c r="X63" s="6">
        <f t="shared" si="20"/>
        <v>652.48999999999978</v>
      </c>
      <c r="Y63" s="2"/>
      <c r="Z63" s="7">
        <f t="shared" si="21"/>
        <v>5.326448979591835E-2</v>
      </c>
    </row>
    <row r="64" spans="1:26" s="29" customFormat="1" outlineLevel="1" collapsed="1" x14ac:dyDescent="0.3">
      <c r="A64" s="28"/>
      <c r="B64" s="14" t="str">
        <f>CONCATENATE("     ","*Payroll                                          ")</f>
        <v xml:space="preserve">     *Payroll                                          </v>
      </c>
      <c r="C64" s="14"/>
      <c r="D64" s="1">
        <f>SUM(OSRRefD22_1x_0)</f>
        <v>121390.19</v>
      </c>
      <c r="E64" s="1"/>
      <c r="F64" s="5">
        <f t="shared" ref="F64:F74" si="22">IF(D$12=0,0,D64/D$12)</f>
        <v>0.41185728446451908</v>
      </c>
      <c r="G64" s="1"/>
      <c r="H64" s="1">
        <f>SUM(OSRRefH22_1x_0)</f>
        <v>135235.8895837153</v>
      </c>
      <c r="I64" s="1"/>
      <c r="J64" s="5">
        <f t="shared" ref="J64:J74" si="23">IF(H$12=0,0,H64/H$12)</f>
        <v>0.50690014462204469</v>
      </c>
      <c r="K64" s="1"/>
      <c r="L64" s="1">
        <f t="shared" ref="L64:L74" si="24">+D64-H64</f>
        <v>-13845.699583715294</v>
      </c>
      <c r="M64" s="1"/>
      <c r="N64" s="5">
        <f t="shared" ref="N64:N74" si="25">IF(H64=0,0,L64/H64)</f>
        <v>-0.10238184276626042</v>
      </c>
      <c r="O64" s="14"/>
      <c r="P64" s="1">
        <f>SUM(OSRRefP22_1x_0)</f>
        <v>804930.64</v>
      </c>
      <c r="Q64" s="1"/>
      <c r="R64" s="5">
        <f t="shared" ref="R64:R74" si="26">IF(P$12=0,0,P64/P$12)</f>
        <v>0.25449072642037862</v>
      </c>
      <c r="S64" s="1"/>
      <c r="T64" s="1">
        <f>SUM(OSRRefT22_1x_0)</f>
        <v>870823.98549889633</v>
      </c>
      <c r="U64" s="1"/>
      <c r="V64" s="5">
        <f t="shared" ref="V64:V74" si="27">IF(T$12=0,0,T64/T$12)</f>
        <v>0.19183397202775046</v>
      </c>
      <c r="W64" s="1"/>
      <c r="X64" s="1">
        <f t="shared" ref="X64:X74" si="28">+P64-T64</f>
        <v>-65893.34549889632</v>
      </c>
      <c r="Y64" s="1"/>
      <c r="Z64" s="5">
        <f t="shared" ref="Z64:Z74" si="29">IF(T64=0,0,X64/T64)</f>
        <v>-7.5667811861137385E-2</v>
      </c>
    </row>
    <row r="65" spans="1:26" s="24" customFormat="1" hidden="1" outlineLevel="2" x14ac:dyDescent="0.3">
      <c r="A65" s="27"/>
      <c r="B65" s="11" t="str">
        <f>CONCATENATE("          ", "6001", " - ", "ADMINISTRATIVE SALARIES")</f>
        <v xml:space="preserve">          6001 - ADMINISTRATIVE SALARIES</v>
      </c>
      <c r="C65" s="11"/>
      <c r="D65" s="6">
        <v>4192.43</v>
      </c>
      <c r="E65" s="2"/>
      <c r="F65" s="7">
        <f t="shared" si="22"/>
        <v>1.4224237025311384E-2</v>
      </c>
      <c r="G65" s="2"/>
      <c r="H65" s="6">
        <v>4139.8076923076896</v>
      </c>
      <c r="I65" s="2"/>
      <c r="J65" s="7">
        <f t="shared" si="23"/>
        <v>1.551710218639263E-2</v>
      </c>
      <c r="K65" s="2"/>
      <c r="L65" s="6">
        <f t="shared" si="24"/>
        <v>52.622307692310642</v>
      </c>
      <c r="M65" s="2"/>
      <c r="N65" s="7">
        <f t="shared" si="25"/>
        <v>1.2711292795095253E-2</v>
      </c>
      <c r="O65" s="11"/>
      <c r="P65" s="6">
        <v>23676.51</v>
      </c>
      <c r="Q65" s="2"/>
      <c r="R65" s="7">
        <f t="shared" si="26"/>
        <v>7.4856788020882872E-3</v>
      </c>
      <c r="S65" s="2"/>
      <c r="T65" s="6">
        <v>22768.942307692301</v>
      </c>
      <c r="U65" s="2"/>
      <c r="V65" s="7">
        <f t="shared" si="27"/>
        <v>5.0157743866608793E-3</v>
      </c>
      <c r="W65" s="2"/>
      <c r="X65" s="6">
        <f t="shared" si="28"/>
        <v>907.56769230769714</v>
      </c>
      <c r="Y65" s="2"/>
      <c r="Z65" s="7">
        <f t="shared" si="29"/>
        <v>3.9859896873693727E-2</v>
      </c>
    </row>
    <row r="66" spans="1:26" s="24" customFormat="1" hidden="1" outlineLevel="2" x14ac:dyDescent="0.3">
      <c r="A66" s="27"/>
      <c r="B66" s="11" t="str">
        <f>CONCATENATE("          ", "6002", " - ", "STAFF SALARIES")</f>
        <v xml:space="preserve">          6002 - STAFF SALARIES</v>
      </c>
      <c r="C66" s="11"/>
      <c r="D66" s="6">
        <v>39449.300000000003</v>
      </c>
      <c r="E66" s="2"/>
      <c r="F66" s="7">
        <f t="shared" si="22"/>
        <v>0.13384509548939788</v>
      </c>
      <c r="G66" s="2"/>
      <c r="H66" s="6">
        <v>40067.404623407601</v>
      </c>
      <c r="I66" s="2"/>
      <c r="J66" s="7">
        <f t="shared" si="23"/>
        <v>0.15018330755803291</v>
      </c>
      <c r="K66" s="2"/>
      <c r="L66" s="6">
        <f t="shared" si="24"/>
        <v>-618.10462340759841</v>
      </c>
      <c r="M66" s="2"/>
      <c r="N66" s="7">
        <f t="shared" si="25"/>
        <v>-1.5426619947489641E-2</v>
      </c>
      <c r="O66" s="11"/>
      <c r="P66" s="6">
        <v>289015.34999999998</v>
      </c>
      <c r="Q66" s="2"/>
      <c r="R66" s="7">
        <f t="shared" si="26"/>
        <v>9.1376477317523866E-2</v>
      </c>
      <c r="S66" s="2"/>
      <c r="T66" s="6">
        <v>238335.311967204</v>
      </c>
      <c r="U66" s="2"/>
      <c r="V66" s="7">
        <f t="shared" si="27"/>
        <v>5.2502928640565952E-2</v>
      </c>
      <c r="W66" s="2"/>
      <c r="X66" s="6">
        <f t="shared" si="28"/>
        <v>50680.038032795972</v>
      </c>
      <c r="Y66" s="2"/>
      <c r="Z66" s="7">
        <f t="shared" si="29"/>
        <v>0.21264175087814838</v>
      </c>
    </row>
    <row r="67" spans="1:26" s="24" customFormat="1" hidden="1" outlineLevel="2" x14ac:dyDescent="0.3">
      <c r="A67" s="27"/>
      <c r="B67" s="11" t="str">
        <f>CONCATENATE("          ", "6003", " - ", "STAFF HOURLY-9 MONTH")</f>
        <v xml:space="preserve">          6003 - STAFF HOURLY-9 MONTH</v>
      </c>
      <c r="C67" s="11"/>
      <c r="D67" s="6"/>
      <c r="E67" s="2"/>
      <c r="F67" s="7">
        <f t="shared" si="22"/>
        <v>0</v>
      </c>
      <c r="G67" s="2"/>
      <c r="H67" s="6">
        <v>0</v>
      </c>
      <c r="I67" s="2"/>
      <c r="J67" s="7">
        <f t="shared" si="23"/>
        <v>0</v>
      </c>
      <c r="K67" s="2"/>
      <c r="L67" s="6">
        <f t="shared" si="24"/>
        <v>0</v>
      </c>
      <c r="M67" s="2"/>
      <c r="N67" s="7">
        <f t="shared" si="25"/>
        <v>0</v>
      </c>
      <c r="O67" s="11"/>
      <c r="P67" s="6"/>
      <c r="Q67" s="2"/>
      <c r="R67" s="7">
        <f t="shared" si="26"/>
        <v>0</v>
      </c>
      <c r="S67" s="2"/>
      <c r="T67" s="6">
        <v>0</v>
      </c>
      <c r="U67" s="2"/>
      <c r="V67" s="7">
        <f t="shared" si="27"/>
        <v>0</v>
      </c>
      <c r="W67" s="2"/>
      <c r="X67" s="6">
        <f t="shared" si="28"/>
        <v>0</v>
      </c>
      <c r="Y67" s="2"/>
      <c r="Z67" s="7">
        <f t="shared" si="29"/>
        <v>0</v>
      </c>
    </row>
    <row r="68" spans="1:26" s="24" customFormat="1" hidden="1" outlineLevel="2" x14ac:dyDescent="0.3">
      <c r="A68" s="27"/>
      <c r="B68" s="11" t="str">
        <f>CONCATENATE("          ", "6004", " - ", "STAFF HOURLY")</f>
        <v xml:space="preserve">          6004 - STAFF HOURLY</v>
      </c>
      <c r="C68" s="11"/>
      <c r="D68" s="6">
        <v>20628.84</v>
      </c>
      <c r="E68" s="2"/>
      <c r="F68" s="7">
        <f t="shared" si="22"/>
        <v>6.9990318196660281E-2</v>
      </c>
      <c r="G68" s="2"/>
      <c r="H68" s="6">
        <v>33498.414768000002</v>
      </c>
      <c r="I68" s="2"/>
      <c r="J68" s="7">
        <f t="shared" si="23"/>
        <v>0.12556098342516586</v>
      </c>
      <c r="K68" s="2"/>
      <c r="L68" s="6">
        <f t="shared" si="24"/>
        <v>-12869.574768000002</v>
      </c>
      <c r="M68" s="2"/>
      <c r="N68" s="7">
        <f t="shared" si="25"/>
        <v>-0.38418459073752675</v>
      </c>
      <c r="O68" s="11"/>
      <c r="P68" s="6">
        <v>110613.59</v>
      </c>
      <c r="Q68" s="2"/>
      <c r="R68" s="7">
        <f t="shared" si="26"/>
        <v>3.4972122406802565E-2</v>
      </c>
      <c r="S68" s="2"/>
      <c r="T68" s="6">
        <v>184241.28122400001</v>
      </c>
      <c r="U68" s="2"/>
      <c r="V68" s="7">
        <f t="shared" si="27"/>
        <v>4.0586544901416839E-2</v>
      </c>
      <c r="W68" s="2"/>
      <c r="X68" s="6">
        <f t="shared" si="28"/>
        <v>-73627.691224000009</v>
      </c>
      <c r="Y68" s="2"/>
      <c r="Z68" s="7">
        <f t="shared" si="29"/>
        <v>-0.39962646120813544</v>
      </c>
    </row>
    <row r="69" spans="1:26" s="24" customFormat="1" hidden="1" outlineLevel="2" x14ac:dyDescent="0.3">
      <c r="A69" s="27"/>
      <c r="B69" s="11" t="str">
        <f>CONCATENATE("          ", "6005", " - ", "TEMPORARY WAGES-HOURLY")</f>
        <v xml:space="preserve">          6005 - TEMPORARY WAGES-HOURLY</v>
      </c>
      <c r="C69" s="11"/>
      <c r="D69" s="6">
        <v>7275.68</v>
      </c>
      <c r="E69" s="2"/>
      <c r="F69" s="7">
        <f t="shared" si="22"/>
        <v>2.4685205677928441E-2</v>
      </c>
      <c r="G69" s="2"/>
      <c r="H69" s="6">
        <v>3080</v>
      </c>
      <c r="I69" s="2"/>
      <c r="J69" s="7">
        <f t="shared" si="23"/>
        <v>1.1544660594475056E-2</v>
      </c>
      <c r="K69" s="2"/>
      <c r="L69" s="6">
        <f t="shared" si="24"/>
        <v>4195.68</v>
      </c>
      <c r="M69" s="2"/>
      <c r="N69" s="7">
        <f t="shared" si="25"/>
        <v>1.3622337662337662</v>
      </c>
      <c r="O69" s="11"/>
      <c r="P69" s="6">
        <v>46432.85</v>
      </c>
      <c r="Q69" s="2"/>
      <c r="R69" s="7">
        <f t="shared" si="26"/>
        <v>1.4680432249750708E-2</v>
      </c>
      <c r="S69" s="2"/>
      <c r="T69" s="6">
        <v>18171</v>
      </c>
      <c r="U69" s="2"/>
      <c r="V69" s="7">
        <f t="shared" si="27"/>
        <v>4.0028928506364294E-3</v>
      </c>
      <c r="W69" s="2"/>
      <c r="X69" s="6">
        <f t="shared" si="28"/>
        <v>28261.85</v>
      </c>
      <c r="Y69" s="2"/>
      <c r="Z69" s="7">
        <f t="shared" si="29"/>
        <v>1.5553271696659512</v>
      </c>
    </row>
    <row r="70" spans="1:26" s="24" customFormat="1" hidden="1" outlineLevel="2" x14ac:dyDescent="0.3">
      <c r="A70" s="27"/>
      <c r="B70" s="11" t="str">
        <f>CONCATENATE("          ", "6006", " - ", "TEMPORARY PART TIME")</f>
        <v xml:space="preserve">          6006 - TEMPORARY PART TIME</v>
      </c>
      <c r="C70" s="11"/>
      <c r="D70" s="6"/>
      <c r="E70" s="2"/>
      <c r="F70" s="7">
        <f t="shared" si="22"/>
        <v>0</v>
      </c>
      <c r="G70" s="2"/>
      <c r="H70" s="6">
        <v>0</v>
      </c>
      <c r="I70" s="2"/>
      <c r="J70" s="7">
        <f t="shared" si="23"/>
        <v>0</v>
      </c>
      <c r="K70" s="2"/>
      <c r="L70" s="6">
        <f t="shared" si="24"/>
        <v>0</v>
      </c>
      <c r="M70" s="2"/>
      <c r="N70" s="7">
        <f t="shared" si="25"/>
        <v>0</v>
      </c>
      <c r="O70" s="11"/>
      <c r="P70" s="6">
        <v>9877.6200000000008</v>
      </c>
      <c r="Q70" s="2"/>
      <c r="R70" s="7">
        <f t="shared" si="26"/>
        <v>3.1229556488301408E-3</v>
      </c>
      <c r="S70" s="2"/>
      <c r="T70" s="6">
        <v>0</v>
      </c>
      <c r="U70" s="2"/>
      <c r="V70" s="7">
        <f t="shared" si="27"/>
        <v>0</v>
      </c>
      <c r="W70" s="2"/>
      <c r="X70" s="6">
        <f t="shared" si="28"/>
        <v>9877.6200000000008</v>
      </c>
      <c r="Y70" s="2"/>
      <c r="Z70" s="7">
        <f t="shared" si="29"/>
        <v>0</v>
      </c>
    </row>
    <row r="71" spans="1:26" s="24" customFormat="1" hidden="1" outlineLevel="2" x14ac:dyDescent="0.3">
      <c r="A71" s="27"/>
      <c r="B71" s="11" t="str">
        <f>CONCATENATE("          ", "6007", " - ", "STUDENT HOURLY")</f>
        <v xml:space="preserve">          6007 - STUDENT HOURLY</v>
      </c>
      <c r="C71" s="11"/>
      <c r="D71" s="6">
        <v>42782.01</v>
      </c>
      <c r="E71" s="2"/>
      <c r="F71" s="7">
        <f t="shared" si="22"/>
        <v>0.14515244158143173</v>
      </c>
      <c r="G71" s="2"/>
      <c r="H71" s="6">
        <v>28465.200000000001</v>
      </c>
      <c r="I71" s="2"/>
      <c r="J71" s="7">
        <f t="shared" si="23"/>
        <v>0.10669515349151018</v>
      </c>
      <c r="K71" s="2"/>
      <c r="L71" s="6">
        <f t="shared" si="24"/>
        <v>14316.810000000001</v>
      </c>
      <c r="M71" s="2"/>
      <c r="N71" s="7">
        <f t="shared" si="25"/>
        <v>0.50295834914211035</v>
      </c>
      <c r="O71" s="11"/>
      <c r="P71" s="6">
        <v>274609.05</v>
      </c>
      <c r="Q71" s="2"/>
      <c r="R71" s="7">
        <f t="shared" si="26"/>
        <v>8.6821712509428231E-2</v>
      </c>
      <c r="S71" s="2"/>
      <c r="T71" s="6">
        <v>187048.48</v>
      </c>
      <c r="U71" s="2"/>
      <c r="V71" s="7">
        <f t="shared" si="27"/>
        <v>4.1204943223510607E-2</v>
      </c>
      <c r="W71" s="2"/>
      <c r="X71" s="6">
        <f t="shared" si="28"/>
        <v>87560.569999999978</v>
      </c>
      <c r="Y71" s="2"/>
      <c r="Z71" s="7">
        <f t="shared" si="29"/>
        <v>0.46811698229250498</v>
      </c>
    </row>
    <row r="72" spans="1:26" s="24" customFormat="1" hidden="1" outlineLevel="2" x14ac:dyDescent="0.3">
      <c r="A72" s="27"/>
      <c r="B72" s="11" t="str">
        <f>CONCATENATE("          ", "6008", " - ", "STUDENT HOURLY-FICA EXEMPT")</f>
        <v xml:space="preserve">          6008 - STUDENT HOURLY-FICA EXEMPT</v>
      </c>
      <c r="C72" s="11"/>
      <c r="D72" s="6">
        <v>7061.93</v>
      </c>
      <c r="E72" s="2"/>
      <c r="F72" s="7">
        <f t="shared" si="22"/>
        <v>2.3959986493789335E-2</v>
      </c>
      <c r="G72" s="2"/>
      <c r="H72" s="6">
        <v>25985.0625</v>
      </c>
      <c r="I72" s="2"/>
      <c r="J72" s="7">
        <f t="shared" si="23"/>
        <v>9.7398937366468014E-2</v>
      </c>
      <c r="K72" s="2"/>
      <c r="L72" s="6">
        <f t="shared" si="24"/>
        <v>-18923.1325</v>
      </c>
      <c r="M72" s="2"/>
      <c r="N72" s="7">
        <f t="shared" si="25"/>
        <v>-0.72823117127388093</v>
      </c>
      <c r="O72" s="11"/>
      <c r="P72" s="6">
        <v>50705.67</v>
      </c>
      <c r="Q72" s="2"/>
      <c r="R72" s="7">
        <f t="shared" si="26"/>
        <v>1.6031347485954816E-2</v>
      </c>
      <c r="S72" s="2"/>
      <c r="T72" s="6">
        <v>220258.97</v>
      </c>
      <c r="U72" s="2"/>
      <c r="V72" s="7">
        <f t="shared" si="27"/>
        <v>4.8520888024959762E-2</v>
      </c>
      <c r="W72" s="2"/>
      <c r="X72" s="6">
        <f t="shared" si="28"/>
        <v>-169553.3</v>
      </c>
      <c r="Y72" s="2"/>
      <c r="Z72" s="7">
        <f t="shared" si="29"/>
        <v>-0.76979066959225306</v>
      </c>
    </row>
    <row r="73" spans="1:26" s="24" customFormat="1" hidden="1" outlineLevel="2" x14ac:dyDescent="0.3">
      <c r="A73" s="27"/>
      <c r="B73" s="11" t="str">
        <f>CONCATENATE("          ", "6009", " - ", "TEMPORARY-SEASONAL")</f>
        <v xml:space="preserve">          6009 - TEMPORARY-SEASONAL</v>
      </c>
      <c r="C73" s="11"/>
      <c r="D73" s="6"/>
      <c r="E73" s="2"/>
      <c r="F73" s="7">
        <f t="shared" si="22"/>
        <v>0</v>
      </c>
      <c r="G73" s="2"/>
      <c r="H73" s="6">
        <v>0</v>
      </c>
      <c r="I73" s="2"/>
      <c r="J73" s="7">
        <f t="shared" si="23"/>
        <v>0</v>
      </c>
      <c r="K73" s="2"/>
      <c r="L73" s="6">
        <f t="shared" si="24"/>
        <v>0</v>
      </c>
      <c r="M73" s="2"/>
      <c r="N73" s="7">
        <f t="shared" si="25"/>
        <v>0</v>
      </c>
      <c r="O73" s="11"/>
      <c r="P73" s="6"/>
      <c r="Q73" s="2"/>
      <c r="R73" s="7">
        <f t="shared" si="26"/>
        <v>0</v>
      </c>
      <c r="S73" s="2"/>
      <c r="T73" s="6">
        <v>0</v>
      </c>
      <c r="U73" s="2"/>
      <c r="V73" s="7">
        <f t="shared" si="27"/>
        <v>0</v>
      </c>
      <c r="W73" s="2"/>
      <c r="X73" s="6">
        <f t="shared" si="28"/>
        <v>0</v>
      </c>
      <c r="Y73" s="2"/>
      <c r="Z73" s="7">
        <f t="shared" si="29"/>
        <v>0</v>
      </c>
    </row>
    <row r="74" spans="1:26" s="24" customFormat="1" hidden="1" outlineLevel="2" x14ac:dyDescent="0.3">
      <c r="A74" s="27"/>
      <c r="B74" s="11" t="str">
        <f>CONCATENATE("          ", "6010", " - ", "GRATUITY")</f>
        <v xml:space="preserve">          6010 - GRATUITY</v>
      </c>
      <c r="C74" s="11"/>
      <c r="D74" s="6"/>
      <c r="E74" s="2"/>
      <c r="F74" s="7">
        <f t="shared" si="22"/>
        <v>0</v>
      </c>
      <c r="G74" s="2"/>
      <c r="H74" s="6">
        <v>0</v>
      </c>
      <c r="I74" s="2"/>
      <c r="J74" s="7">
        <f t="shared" si="23"/>
        <v>0</v>
      </c>
      <c r="K74" s="2"/>
      <c r="L74" s="6">
        <f t="shared" si="24"/>
        <v>0</v>
      </c>
      <c r="M74" s="2"/>
      <c r="N74" s="7">
        <f t="shared" si="25"/>
        <v>0</v>
      </c>
      <c r="O74" s="11"/>
      <c r="P74" s="6"/>
      <c r="Q74" s="2"/>
      <c r="R74" s="7">
        <f t="shared" si="26"/>
        <v>0</v>
      </c>
      <c r="S74" s="2"/>
      <c r="T74" s="6">
        <v>0</v>
      </c>
      <c r="U74" s="2"/>
      <c r="V74" s="7">
        <f t="shared" si="27"/>
        <v>0</v>
      </c>
      <c r="W74" s="2"/>
      <c r="X74" s="6">
        <f t="shared" si="28"/>
        <v>0</v>
      </c>
      <c r="Y74" s="2"/>
      <c r="Z74" s="7">
        <f t="shared" si="29"/>
        <v>0</v>
      </c>
    </row>
    <row r="75" spans="1:26" s="29" customFormat="1" outlineLevel="1" collapsed="1" x14ac:dyDescent="0.3">
      <c r="A75" s="28"/>
      <c r="B75" s="14" t="str">
        <f>CONCATENATE("     ","Advertising/Promo                                 ")</f>
        <v xml:space="preserve">     Advertising/Promo                                 </v>
      </c>
      <c r="C75" s="14"/>
      <c r="D75" s="1">
        <f>SUM(OSRRefD22_2x_0)</f>
        <v>1682.71</v>
      </c>
      <c r="E75" s="1"/>
      <c r="F75" s="5">
        <f t="shared" ref="F75:F83" si="30">IF(D$12=0,0,D75/D$12)</f>
        <v>5.7091629162232208E-3</v>
      </c>
      <c r="G75" s="1"/>
      <c r="H75" s="1">
        <f>SUM(OSRRefH22_2x_0)</f>
        <v>300</v>
      </c>
      <c r="I75" s="1"/>
      <c r="J75" s="5">
        <f t="shared" ref="J75:J83" si="31">IF(H$12=0,0,H75/H$12)</f>
        <v>1.1244799280332846E-3</v>
      </c>
      <c r="K75" s="1"/>
      <c r="L75" s="1">
        <f t="shared" ref="L75:L83" si="32">+D75-H75</f>
        <v>1382.71</v>
      </c>
      <c r="M75" s="1"/>
      <c r="N75" s="5">
        <f t="shared" ref="N75:N83" si="33">IF(H75=0,0,L75/H75)</f>
        <v>4.6090333333333335</v>
      </c>
      <c r="O75" s="14"/>
      <c r="P75" s="1">
        <f>SUM(OSRRefP22_2x_0)</f>
        <v>4832.6899999999996</v>
      </c>
      <c r="Q75" s="1"/>
      <c r="R75" s="5">
        <f t="shared" ref="R75:R83" si="34">IF(P$12=0,0,P75/P$12)</f>
        <v>1.5279264169450668E-3</v>
      </c>
      <c r="S75" s="1"/>
      <c r="T75" s="1">
        <f>SUM(OSRRefT22_2x_0)</f>
        <v>4500</v>
      </c>
      <c r="U75" s="1"/>
      <c r="V75" s="5">
        <f t="shared" ref="V75:V83" si="35">IF(T$12=0,0,T75/T$12)</f>
        <v>9.913058074879715E-4</v>
      </c>
      <c r="W75" s="1"/>
      <c r="X75" s="1">
        <f t="shared" ref="X75:X83" si="36">+P75-T75</f>
        <v>332.6899999999996</v>
      </c>
      <c r="Y75" s="1"/>
      <c r="Z75" s="5">
        <f t="shared" ref="Z75:Z83" si="37">IF(T75=0,0,X75/T75)</f>
        <v>7.3931111111111017E-2</v>
      </c>
    </row>
    <row r="76" spans="1:26" s="24" customFormat="1" hidden="1" outlineLevel="2" x14ac:dyDescent="0.3">
      <c r="A76" s="27"/>
      <c r="B76" s="11" t="str">
        <f>CONCATENATE("          ", "6362", " - ", "ADVERTISING EXPENSE")</f>
        <v xml:space="preserve">          6362 - ADVERTISING EXPENSE</v>
      </c>
      <c r="C76" s="11"/>
      <c r="D76" s="6">
        <v>1682.71</v>
      </c>
      <c r="E76" s="2"/>
      <c r="F76" s="7">
        <f t="shared" si="30"/>
        <v>5.7091629162232208E-3</v>
      </c>
      <c r="G76" s="2"/>
      <c r="H76" s="6">
        <v>300</v>
      </c>
      <c r="I76" s="2"/>
      <c r="J76" s="7">
        <f t="shared" si="31"/>
        <v>1.1244799280332846E-3</v>
      </c>
      <c r="K76" s="2"/>
      <c r="L76" s="6">
        <f t="shared" si="32"/>
        <v>1382.71</v>
      </c>
      <c r="M76" s="2"/>
      <c r="N76" s="7">
        <f t="shared" si="33"/>
        <v>4.6090333333333335</v>
      </c>
      <c r="O76" s="11"/>
      <c r="P76" s="6">
        <v>4832.6899999999996</v>
      </c>
      <c r="Q76" s="2"/>
      <c r="R76" s="7">
        <f t="shared" si="34"/>
        <v>1.5279264169450668E-3</v>
      </c>
      <c r="S76" s="2"/>
      <c r="T76" s="6">
        <v>4500</v>
      </c>
      <c r="U76" s="2"/>
      <c r="V76" s="7">
        <f t="shared" si="35"/>
        <v>9.913058074879715E-4</v>
      </c>
      <c r="W76" s="2"/>
      <c r="X76" s="6">
        <f t="shared" si="36"/>
        <v>332.6899999999996</v>
      </c>
      <c r="Y76" s="2"/>
      <c r="Z76" s="7">
        <f t="shared" si="37"/>
        <v>7.3931111111111017E-2</v>
      </c>
    </row>
    <row r="77" spans="1:26" s="29" customFormat="1" outlineLevel="1" collapsed="1" x14ac:dyDescent="0.3">
      <c r="A77" s="28"/>
      <c r="B77" s="14" t="str">
        <f>CONCATENATE("     ","Bad Debts/Over/Short                              ")</f>
        <v xml:space="preserve">     Bad Debts/Over/Short                              </v>
      </c>
      <c r="C77" s="14"/>
      <c r="D77" s="1">
        <f>SUM(OSRRefD22_3x_0)</f>
        <v>-40.770000000000003</v>
      </c>
      <c r="E77" s="1"/>
      <c r="F77" s="5">
        <f t="shared" si="30"/>
        <v>-1.3832601701684825E-4</v>
      </c>
      <c r="G77" s="1"/>
      <c r="H77" s="1">
        <f>SUM(OSRRefH22_3x_0)</f>
        <v>235</v>
      </c>
      <c r="I77" s="1"/>
      <c r="J77" s="5">
        <f t="shared" si="31"/>
        <v>8.8084261029273958E-4</v>
      </c>
      <c r="K77" s="1"/>
      <c r="L77" s="1">
        <f t="shared" si="32"/>
        <v>-275.77</v>
      </c>
      <c r="M77" s="1"/>
      <c r="N77" s="5">
        <f t="shared" si="33"/>
        <v>-1.1734893617021276</v>
      </c>
      <c r="O77" s="14"/>
      <c r="P77" s="1">
        <f>SUM(OSRRefP22_3x_0)</f>
        <v>177.72</v>
      </c>
      <c r="Q77" s="1"/>
      <c r="R77" s="5">
        <f t="shared" si="34"/>
        <v>5.6188806403778705E-5</v>
      </c>
      <c r="S77" s="1"/>
      <c r="T77" s="1">
        <f>SUM(OSRRefT22_3x_0)</f>
        <v>1175</v>
      </c>
      <c r="U77" s="1"/>
      <c r="V77" s="5">
        <f t="shared" si="35"/>
        <v>2.5884096084408147E-4</v>
      </c>
      <c r="W77" s="1"/>
      <c r="X77" s="1">
        <f t="shared" si="36"/>
        <v>-997.28</v>
      </c>
      <c r="Y77" s="1"/>
      <c r="Z77" s="5">
        <f t="shared" si="37"/>
        <v>-0.84874893617021274</v>
      </c>
    </row>
    <row r="78" spans="1:26" s="24" customFormat="1" hidden="1" outlineLevel="2" x14ac:dyDescent="0.3">
      <c r="A78" s="27"/>
      <c r="B78" s="11" t="str">
        <f>CONCATENATE("          ", "6272", " - ", "CASH (OVER/SHORT)")</f>
        <v xml:space="preserve">          6272 - CASH (OVER/SHORT)</v>
      </c>
      <c r="C78" s="11"/>
      <c r="D78" s="6">
        <v>-40.770000000000003</v>
      </c>
      <c r="E78" s="2"/>
      <c r="F78" s="7">
        <f t="shared" si="30"/>
        <v>-1.3832601701684825E-4</v>
      </c>
      <c r="G78" s="2"/>
      <c r="H78" s="6">
        <v>235</v>
      </c>
      <c r="I78" s="2"/>
      <c r="J78" s="7">
        <f t="shared" si="31"/>
        <v>8.8084261029273958E-4</v>
      </c>
      <c r="K78" s="2"/>
      <c r="L78" s="6">
        <f t="shared" si="32"/>
        <v>-275.77</v>
      </c>
      <c r="M78" s="2"/>
      <c r="N78" s="7">
        <f t="shared" si="33"/>
        <v>-1.1734893617021276</v>
      </c>
      <c r="O78" s="11"/>
      <c r="P78" s="6">
        <v>177.72</v>
      </c>
      <c r="Q78" s="2"/>
      <c r="R78" s="7">
        <f t="shared" si="34"/>
        <v>5.6188806403778705E-5</v>
      </c>
      <c r="S78" s="2"/>
      <c r="T78" s="6">
        <v>1175</v>
      </c>
      <c r="U78" s="2"/>
      <c r="V78" s="7">
        <f t="shared" si="35"/>
        <v>2.5884096084408147E-4</v>
      </c>
      <c r="W78" s="2"/>
      <c r="X78" s="6">
        <f t="shared" si="36"/>
        <v>-997.28</v>
      </c>
      <c r="Y78" s="2"/>
      <c r="Z78" s="7">
        <f t="shared" si="37"/>
        <v>-0.84874893617021274</v>
      </c>
    </row>
    <row r="79" spans="1:26" s="29" customFormat="1" outlineLevel="1" collapsed="1" x14ac:dyDescent="0.3">
      <c r="A79" s="28"/>
      <c r="B79" s="14" t="str">
        <f>CONCATENATE("     ","Bank/card Fees                                    ")</f>
        <v xml:space="preserve">     Bank/card Fees                                    </v>
      </c>
      <c r="C79" s="14"/>
      <c r="D79" s="1">
        <f>SUM(OSRRefD22_4x_0)</f>
        <v>7877.66</v>
      </c>
      <c r="E79" s="1"/>
      <c r="F79" s="5">
        <f t="shared" si="30"/>
        <v>2.6727626470761462E-2</v>
      </c>
      <c r="G79" s="1"/>
      <c r="H79" s="1">
        <f>SUM(OSRRefH22_4x_0)</f>
        <v>6974</v>
      </c>
      <c r="I79" s="1"/>
      <c r="J79" s="5">
        <f t="shared" si="31"/>
        <v>2.6140410060347088E-2</v>
      </c>
      <c r="K79" s="1"/>
      <c r="L79" s="1">
        <f t="shared" si="32"/>
        <v>903.65999999999985</v>
      </c>
      <c r="M79" s="1"/>
      <c r="N79" s="5">
        <f t="shared" si="33"/>
        <v>0.12957556638944651</v>
      </c>
      <c r="O79" s="14"/>
      <c r="P79" s="1">
        <f>SUM(OSRRefP22_4x_0)</f>
        <v>58207.15</v>
      </c>
      <c r="Q79" s="1"/>
      <c r="R79" s="5">
        <f t="shared" si="34"/>
        <v>1.8403051331677401E-2</v>
      </c>
      <c r="S79" s="1"/>
      <c r="T79" s="1">
        <f>SUM(OSRRefT22_4x_0)</f>
        <v>92605</v>
      </c>
      <c r="U79" s="1"/>
      <c r="V79" s="5">
        <f t="shared" si="35"/>
        <v>2.0399972067205247E-2</v>
      </c>
      <c r="W79" s="1"/>
      <c r="X79" s="1">
        <f t="shared" si="36"/>
        <v>-34397.85</v>
      </c>
      <c r="Y79" s="1"/>
      <c r="Z79" s="5">
        <f t="shared" si="37"/>
        <v>-0.37144700610118242</v>
      </c>
    </row>
    <row r="80" spans="1:26" s="24" customFormat="1" hidden="1" outlineLevel="2" x14ac:dyDescent="0.3">
      <c r="A80" s="27"/>
      <c r="B80" s="11" t="str">
        <f>CONCATENATE("          ", "6381", " - ", "BANK/CREDIT CARD FEES")</f>
        <v xml:space="preserve">          6381 - BANK/CREDIT CARD FEES</v>
      </c>
      <c r="C80" s="11"/>
      <c r="D80" s="6">
        <v>7877.66</v>
      </c>
      <c r="E80" s="2"/>
      <c r="F80" s="7">
        <f t="shared" si="30"/>
        <v>2.6727626470761462E-2</v>
      </c>
      <c r="G80" s="2"/>
      <c r="H80" s="6">
        <v>6974</v>
      </c>
      <c r="I80" s="2"/>
      <c r="J80" s="7">
        <f t="shared" si="31"/>
        <v>2.6140410060347088E-2</v>
      </c>
      <c r="K80" s="2"/>
      <c r="L80" s="6">
        <f t="shared" si="32"/>
        <v>903.65999999999985</v>
      </c>
      <c r="M80" s="2"/>
      <c r="N80" s="7">
        <f t="shared" si="33"/>
        <v>0.12957556638944651</v>
      </c>
      <c r="O80" s="11"/>
      <c r="P80" s="6">
        <v>58207.15</v>
      </c>
      <c r="Q80" s="2"/>
      <c r="R80" s="7">
        <f t="shared" si="34"/>
        <v>1.8403051331677401E-2</v>
      </c>
      <c r="S80" s="2"/>
      <c r="T80" s="6">
        <v>92605</v>
      </c>
      <c r="U80" s="2"/>
      <c r="V80" s="7">
        <f t="shared" si="35"/>
        <v>2.0399972067205247E-2</v>
      </c>
      <c r="W80" s="2"/>
      <c r="X80" s="6">
        <f t="shared" si="36"/>
        <v>-34397.85</v>
      </c>
      <c r="Y80" s="2"/>
      <c r="Z80" s="7">
        <f t="shared" si="37"/>
        <v>-0.37144700610118242</v>
      </c>
    </row>
    <row r="81" spans="1:26" s="29" customFormat="1" outlineLevel="1" collapsed="1" x14ac:dyDescent="0.3">
      <c r="A81" s="28"/>
      <c r="B81" s="14" t="str">
        <f>CONCATENATE("     ","Depreciation                                      ")</f>
        <v xml:space="preserve">     Depreciation                                      </v>
      </c>
      <c r="C81" s="14"/>
      <c r="D81" s="1">
        <f>SUM(OSRRefD22_5x_0)</f>
        <v>30614.85</v>
      </c>
      <c r="E81" s="1"/>
      <c r="F81" s="5">
        <f t="shared" si="30"/>
        <v>0.10387123527270681</v>
      </c>
      <c r="G81" s="1"/>
      <c r="H81" s="1">
        <f>SUM(OSRRefH22_5x_0)</f>
        <v>30494</v>
      </c>
      <c r="I81" s="1"/>
      <c r="J81" s="5">
        <f t="shared" si="31"/>
        <v>0.1142996364181566</v>
      </c>
      <c r="K81" s="1"/>
      <c r="L81" s="1">
        <f t="shared" si="32"/>
        <v>120.84999999999854</v>
      </c>
      <c r="M81" s="1"/>
      <c r="N81" s="5">
        <f t="shared" si="33"/>
        <v>3.9630747032202577E-3</v>
      </c>
      <c r="O81" s="14"/>
      <c r="P81" s="1">
        <f>SUM(OSRRefP22_5x_0)</f>
        <v>153391.75</v>
      </c>
      <c r="Q81" s="1"/>
      <c r="R81" s="5">
        <f t="shared" si="34"/>
        <v>4.8497070361730933E-2</v>
      </c>
      <c r="S81" s="1"/>
      <c r="T81" s="1">
        <f>SUM(OSRRefT22_5x_0)</f>
        <v>152787</v>
      </c>
      <c r="U81" s="1"/>
      <c r="V81" s="5">
        <f t="shared" si="35"/>
        <v>3.3657475646369936E-2</v>
      </c>
      <c r="W81" s="1"/>
      <c r="X81" s="1">
        <f t="shared" si="36"/>
        <v>604.75</v>
      </c>
      <c r="Y81" s="1"/>
      <c r="Z81" s="5">
        <f t="shared" si="37"/>
        <v>3.958124709562986E-3</v>
      </c>
    </row>
    <row r="82" spans="1:26" s="24" customFormat="1" hidden="1" outlineLevel="2" x14ac:dyDescent="0.3">
      <c r="A82" s="27"/>
      <c r="B82" s="11" t="str">
        <f>CONCATENATE("          ", "6321", " - ", "BUILDING DEPRECIATION")</f>
        <v xml:space="preserve">          6321 - BUILDING DEPRECIATION</v>
      </c>
      <c r="C82" s="11"/>
      <c r="D82" s="6">
        <v>16396.52</v>
      </c>
      <c r="E82" s="2"/>
      <c r="F82" s="7">
        <f t="shared" si="30"/>
        <v>5.5630740852025823E-2</v>
      </c>
      <c r="G82" s="2"/>
      <c r="H82" s="6"/>
      <c r="I82" s="2"/>
      <c r="J82" s="7">
        <f t="shared" si="31"/>
        <v>0</v>
      </c>
      <c r="K82" s="2"/>
      <c r="L82" s="6">
        <f t="shared" si="32"/>
        <v>16396.52</v>
      </c>
      <c r="M82" s="2"/>
      <c r="N82" s="7">
        <f t="shared" si="33"/>
        <v>0</v>
      </c>
      <c r="O82" s="11"/>
      <c r="P82" s="6">
        <v>81982.600000000006</v>
      </c>
      <c r="Q82" s="2"/>
      <c r="R82" s="7">
        <f t="shared" si="34"/>
        <v>2.5920011478046526E-2</v>
      </c>
      <c r="S82" s="2"/>
      <c r="T82" s="6"/>
      <c r="U82" s="2"/>
      <c r="V82" s="7">
        <f t="shared" si="35"/>
        <v>0</v>
      </c>
      <c r="W82" s="2"/>
      <c r="X82" s="6">
        <f t="shared" si="36"/>
        <v>81982.600000000006</v>
      </c>
      <c r="Y82" s="2"/>
      <c r="Z82" s="7">
        <f t="shared" si="37"/>
        <v>0</v>
      </c>
    </row>
    <row r="83" spans="1:26" s="24" customFormat="1" hidden="1" outlineLevel="2" x14ac:dyDescent="0.3">
      <c r="A83" s="27"/>
      <c r="B83" s="11" t="str">
        <f>CONCATENATE("          ", "6322", " - ", "EQUIPMENT DEPRECIATION EXPENSE")</f>
        <v xml:space="preserve">          6322 - EQUIPMENT DEPRECIATION EXPENSE</v>
      </c>
      <c r="C83" s="11"/>
      <c r="D83" s="6">
        <v>14218.33</v>
      </c>
      <c r="E83" s="2"/>
      <c r="F83" s="7">
        <f t="shared" si="30"/>
        <v>4.8240494420680992E-2</v>
      </c>
      <c r="G83" s="2"/>
      <c r="H83" s="6">
        <v>30494</v>
      </c>
      <c r="I83" s="2"/>
      <c r="J83" s="7">
        <f t="shared" si="31"/>
        <v>0.1142996364181566</v>
      </c>
      <c r="K83" s="2"/>
      <c r="L83" s="6">
        <f t="shared" si="32"/>
        <v>-16275.67</v>
      </c>
      <c r="M83" s="2"/>
      <c r="N83" s="7">
        <f t="shared" si="33"/>
        <v>-0.53373352134846197</v>
      </c>
      <c r="O83" s="11"/>
      <c r="P83" s="6">
        <v>71409.149999999994</v>
      </c>
      <c r="Q83" s="2"/>
      <c r="R83" s="7">
        <f t="shared" si="34"/>
        <v>2.2577058883684411E-2</v>
      </c>
      <c r="S83" s="2"/>
      <c r="T83" s="6">
        <v>152787</v>
      </c>
      <c r="U83" s="2"/>
      <c r="V83" s="7">
        <f t="shared" si="35"/>
        <v>3.3657475646369936E-2</v>
      </c>
      <c r="W83" s="2"/>
      <c r="X83" s="6">
        <f t="shared" si="36"/>
        <v>-81377.850000000006</v>
      </c>
      <c r="Y83" s="2"/>
      <c r="Z83" s="7">
        <f t="shared" si="37"/>
        <v>-0.53262286712874796</v>
      </c>
    </row>
    <row r="84" spans="1:26" s="29" customFormat="1" outlineLevel="1" collapsed="1" x14ac:dyDescent="0.3">
      <c r="A84" s="28"/>
      <c r="B84" s="14" t="str">
        <f>CONCATENATE("     ","Discounts and Markdowns                           ")</f>
        <v xml:space="preserve">     Discounts and Markdowns                           </v>
      </c>
      <c r="C84" s="14"/>
      <c r="D84" s="1">
        <f>SUM(OSRRefD22_6x_0)</f>
        <v>3409.87</v>
      </c>
      <c r="E84" s="1"/>
      <c r="F84" s="5">
        <f t="shared" ref="F84:F86" si="38">IF(D$12=0,0,D84/D$12)</f>
        <v>1.1569137494364492E-2</v>
      </c>
      <c r="G84" s="1"/>
      <c r="H84" s="1">
        <f>SUM(OSRRefH22_6x_0)</f>
        <v>0</v>
      </c>
      <c r="I84" s="1"/>
      <c r="J84" s="5">
        <f t="shared" ref="J84:J86" si="39">IF(H$12=0,0,H84/H$12)</f>
        <v>0</v>
      </c>
      <c r="K84" s="1"/>
      <c r="L84" s="1">
        <f t="shared" ref="L84:L86" si="40">+D84-H84</f>
        <v>3409.87</v>
      </c>
      <c r="M84" s="1"/>
      <c r="N84" s="5">
        <f t="shared" ref="N84:N86" si="41">IF(H84=0,0,L84/H84)</f>
        <v>0</v>
      </c>
      <c r="O84" s="14"/>
      <c r="P84" s="1">
        <f>SUM(OSRRefP22_6x_0)</f>
        <v>3343.63</v>
      </c>
      <c r="Q84" s="1"/>
      <c r="R84" s="5">
        <f t="shared" ref="R84:R86" si="42">IF(P$12=0,0,P84/P$12)</f>
        <v>1.0571380753762469E-3</v>
      </c>
      <c r="S84" s="1"/>
      <c r="T84" s="1">
        <f>SUM(OSRRefT22_6x_0)</f>
        <v>0</v>
      </c>
      <c r="U84" s="1"/>
      <c r="V84" s="5">
        <f t="shared" ref="V84:V86" si="43">IF(T$12=0,0,T84/T$12)</f>
        <v>0</v>
      </c>
      <c r="W84" s="1"/>
      <c r="X84" s="1">
        <f t="shared" ref="X84:X86" si="44">+P84-T84</f>
        <v>3343.63</v>
      </c>
      <c r="Y84" s="1"/>
      <c r="Z84" s="5">
        <f t="shared" ref="Z84:Z86" si="45">IF(T84=0,0,X84/T84)</f>
        <v>0</v>
      </c>
    </row>
    <row r="85" spans="1:26" s="24" customFormat="1" hidden="1" outlineLevel="2" x14ac:dyDescent="0.3">
      <c r="A85" s="27"/>
      <c r="B85" s="11" t="str">
        <f>CONCATENATE("          ", "6382", " - ", "DISCOUNTS/MARK DOWNS")</f>
        <v xml:space="preserve">          6382 - DISCOUNTS/MARK DOWNS</v>
      </c>
      <c r="C85" s="11"/>
      <c r="D85" s="6">
        <v>3410</v>
      </c>
      <c r="E85" s="2"/>
      <c r="F85" s="7">
        <f t="shared" si="38"/>
        <v>1.1569578563341979E-2</v>
      </c>
      <c r="G85" s="2"/>
      <c r="H85" s="6"/>
      <c r="I85" s="2"/>
      <c r="J85" s="7">
        <f t="shared" si="39"/>
        <v>0</v>
      </c>
      <c r="K85" s="2"/>
      <c r="L85" s="6">
        <f t="shared" si="40"/>
        <v>3410</v>
      </c>
      <c r="M85" s="2"/>
      <c r="N85" s="7">
        <f t="shared" si="41"/>
        <v>0</v>
      </c>
      <c r="O85" s="11"/>
      <c r="P85" s="6">
        <v>3410</v>
      </c>
      <c r="Q85" s="2"/>
      <c r="R85" s="7">
        <f t="shared" si="42"/>
        <v>1.0781219324605298E-3</v>
      </c>
      <c r="S85" s="2"/>
      <c r="T85" s="6">
        <v>0</v>
      </c>
      <c r="U85" s="2"/>
      <c r="V85" s="7">
        <f t="shared" si="43"/>
        <v>0</v>
      </c>
      <c r="W85" s="2"/>
      <c r="X85" s="6">
        <f t="shared" si="44"/>
        <v>3410</v>
      </c>
      <c r="Y85" s="2"/>
      <c r="Z85" s="7">
        <f t="shared" si="45"/>
        <v>0</v>
      </c>
    </row>
    <row r="86" spans="1:26" s="24" customFormat="1" hidden="1" outlineLevel="2" x14ac:dyDescent="0.3">
      <c r="A86" s="27"/>
      <c r="B86" s="11" t="str">
        <f>CONCATENATE("          ", "9175", " - ", "EARNED DISCOUNTS")</f>
        <v xml:space="preserve">          9175 - EARNED DISCOUNTS</v>
      </c>
      <c r="C86" s="11"/>
      <c r="D86" s="6">
        <v>-0.13</v>
      </c>
      <c r="E86" s="2"/>
      <c r="F86" s="7">
        <f t="shared" si="38"/>
        <v>-4.4106897748811069E-7</v>
      </c>
      <c r="G86" s="2"/>
      <c r="H86" s="6"/>
      <c r="I86" s="2"/>
      <c r="J86" s="7">
        <f t="shared" si="39"/>
        <v>0</v>
      </c>
      <c r="K86" s="2"/>
      <c r="L86" s="6">
        <f t="shared" si="40"/>
        <v>-0.13</v>
      </c>
      <c r="M86" s="2"/>
      <c r="N86" s="7">
        <f t="shared" si="41"/>
        <v>0</v>
      </c>
      <c r="O86" s="11"/>
      <c r="P86" s="6">
        <v>-66.37</v>
      </c>
      <c r="Q86" s="2"/>
      <c r="R86" s="7">
        <f t="shared" si="42"/>
        <v>-2.0983857084283102E-5</v>
      </c>
      <c r="S86" s="2"/>
      <c r="T86" s="6"/>
      <c r="U86" s="2"/>
      <c r="V86" s="7">
        <f t="shared" si="43"/>
        <v>0</v>
      </c>
      <c r="W86" s="2"/>
      <c r="X86" s="6">
        <f t="shared" si="44"/>
        <v>-66.37</v>
      </c>
      <c r="Y86" s="2"/>
      <c r="Z86" s="7">
        <f t="shared" si="45"/>
        <v>0</v>
      </c>
    </row>
    <row r="87" spans="1:26" s="29" customFormat="1" outlineLevel="1" collapsed="1" x14ac:dyDescent="0.3">
      <c r="A87" s="28"/>
      <c r="B87" s="14" t="str">
        <f>CONCATENATE("     ","Donations                                         ")</f>
        <v xml:space="preserve">     Donations                                         </v>
      </c>
      <c r="C87" s="14"/>
      <c r="D87" s="1">
        <f>SUM(OSRRefD22_7x_0)</f>
        <v>1336.74</v>
      </c>
      <c r="E87" s="1"/>
      <c r="F87" s="5">
        <f t="shared" ref="F87:F95" si="46">IF(D$12=0,0,D87/D$12)</f>
        <v>4.5353426535958237E-3</v>
      </c>
      <c r="G87" s="1"/>
      <c r="H87" s="1">
        <f>SUM(OSRRefH22_7x_0)</f>
        <v>1250</v>
      </c>
      <c r="I87" s="1"/>
      <c r="J87" s="5">
        <f t="shared" ref="J87:J95" si="47">IF(H$12=0,0,H87/H$12)</f>
        <v>4.6853330334720193E-3</v>
      </c>
      <c r="K87" s="1"/>
      <c r="L87" s="1">
        <f t="shared" ref="L87:L95" si="48">+D87-H87</f>
        <v>86.740000000000009</v>
      </c>
      <c r="M87" s="1"/>
      <c r="N87" s="5">
        <f t="shared" ref="N87:N95" si="49">IF(H87=0,0,L87/H87)</f>
        <v>6.9392000000000009E-2</v>
      </c>
      <c r="O87" s="14"/>
      <c r="P87" s="1">
        <f>SUM(OSRRefP22_7x_0)</f>
        <v>2820.22</v>
      </c>
      <c r="Q87" s="1"/>
      <c r="R87" s="5">
        <f t="shared" ref="R87:R95" si="50">IF(P$12=0,0,P87/P$12)</f>
        <v>8.916542628632949E-4</v>
      </c>
      <c r="S87" s="1"/>
      <c r="T87" s="1">
        <f>SUM(OSRRefT22_7x_0)</f>
        <v>6250</v>
      </c>
      <c r="U87" s="1"/>
      <c r="V87" s="5">
        <f t="shared" ref="V87:V95" si="51">IF(T$12=0,0,T87/T$12)</f>
        <v>1.3768136215110717E-3</v>
      </c>
      <c r="W87" s="1"/>
      <c r="X87" s="1">
        <f t="shared" ref="X87:X95" si="52">+P87-T87</f>
        <v>-3429.78</v>
      </c>
      <c r="Y87" s="1"/>
      <c r="Z87" s="5">
        <f t="shared" ref="Z87:Z95" si="53">IF(T87=0,0,X87/T87)</f>
        <v>-0.54876480000000005</v>
      </c>
    </row>
    <row r="88" spans="1:26" s="24" customFormat="1" hidden="1" outlineLevel="2" x14ac:dyDescent="0.3">
      <c r="A88" s="27"/>
      <c r="B88" s="11" t="str">
        <f>CONCATENATE("          ", "6399", " - ", "DONATION-ON CAMPUS")</f>
        <v xml:space="preserve">          6399 - DONATION-ON CAMPUS</v>
      </c>
      <c r="C88" s="11"/>
      <c r="D88" s="6">
        <v>1336.74</v>
      </c>
      <c r="E88" s="2"/>
      <c r="F88" s="7">
        <f t="shared" si="46"/>
        <v>4.5353426535958237E-3</v>
      </c>
      <c r="G88" s="2"/>
      <c r="H88" s="6">
        <v>1250</v>
      </c>
      <c r="I88" s="2"/>
      <c r="J88" s="7">
        <f t="shared" si="47"/>
        <v>4.6853330334720193E-3</v>
      </c>
      <c r="K88" s="2"/>
      <c r="L88" s="6">
        <f t="shared" si="48"/>
        <v>86.740000000000009</v>
      </c>
      <c r="M88" s="2"/>
      <c r="N88" s="7">
        <f t="shared" si="49"/>
        <v>6.9392000000000009E-2</v>
      </c>
      <c r="O88" s="11"/>
      <c r="P88" s="6">
        <v>2820.22</v>
      </c>
      <c r="Q88" s="2"/>
      <c r="R88" s="7">
        <f t="shared" si="50"/>
        <v>8.916542628632949E-4</v>
      </c>
      <c r="S88" s="2"/>
      <c r="T88" s="6">
        <v>6250</v>
      </c>
      <c r="U88" s="2"/>
      <c r="V88" s="7">
        <f t="shared" si="51"/>
        <v>1.3768136215110717E-3</v>
      </c>
      <c r="W88" s="2"/>
      <c r="X88" s="6">
        <f t="shared" si="52"/>
        <v>-3429.78</v>
      </c>
      <c r="Y88" s="2"/>
      <c r="Z88" s="7">
        <f t="shared" si="53"/>
        <v>-0.54876480000000005</v>
      </c>
    </row>
    <row r="89" spans="1:26" s="29" customFormat="1" outlineLevel="1" collapsed="1" x14ac:dyDescent="0.3">
      <c r="A89" s="28"/>
      <c r="B89" s="14" t="str">
        <f>CONCATENATE("     ","Employees' Appreciation                           ")</f>
        <v xml:space="preserve">     Employees' Appreciation                           </v>
      </c>
      <c r="C89" s="14"/>
      <c r="D89" s="1">
        <f>SUM(OSRRefD22_8x_0)</f>
        <v>490.02</v>
      </c>
      <c r="E89" s="1"/>
      <c r="F89" s="5">
        <f t="shared" si="46"/>
        <v>1.6625586180671077E-3</v>
      </c>
      <c r="G89" s="1"/>
      <c r="H89" s="1">
        <f>SUM(OSRRefH22_8x_0)</f>
        <v>225</v>
      </c>
      <c r="I89" s="1"/>
      <c r="J89" s="5">
        <f t="shared" si="47"/>
        <v>8.4335994602496346E-4</v>
      </c>
      <c r="K89" s="1"/>
      <c r="L89" s="1">
        <f t="shared" si="48"/>
        <v>265.02</v>
      </c>
      <c r="M89" s="1"/>
      <c r="N89" s="5">
        <f t="shared" si="49"/>
        <v>1.1778666666666666</v>
      </c>
      <c r="O89" s="14"/>
      <c r="P89" s="1">
        <f>SUM(OSRRefP22_8x_0)</f>
        <v>1874.65</v>
      </c>
      <c r="Q89" s="1"/>
      <c r="R89" s="5">
        <f t="shared" si="50"/>
        <v>5.926983227821503E-4</v>
      </c>
      <c r="S89" s="1"/>
      <c r="T89" s="1">
        <f>SUM(OSRRefT22_8x_0)</f>
        <v>1125</v>
      </c>
      <c r="U89" s="1"/>
      <c r="V89" s="5">
        <f t="shared" si="51"/>
        <v>2.4782645187199288E-4</v>
      </c>
      <c r="W89" s="1"/>
      <c r="X89" s="1">
        <f t="shared" si="52"/>
        <v>749.65000000000009</v>
      </c>
      <c r="Y89" s="1"/>
      <c r="Z89" s="5">
        <f t="shared" si="53"/>
        <v>0.66635555555555559</v>
      </c>
    </row>
    <row r="90" spans="1:26" s="24" customFormat="1" hidden="1" outlineLevel="2" x14ac:dyDescent="0.3">
      <c r="A90" s="27"/>
      <c r="B90" s="11" t="str">
        <f>CONCATENATE("          ", "6277", " - ", "EMPLOYEE APPRECIATION")</f>
        <v xml:space="preserve">          6277 - EMPLOYEE APPRECIATION</v>
      </c>
      <c r="C90" s="11"/>
      <c r="D90" s="6">
        <v>490.02</v>
      </c>
      <c r="E90" s="2"/>
      <c r="F90" s="7">
        <f t="shared" si="46"/>
        <v>1.6625586180671077E-3</v>
      </c>
      <c r="G90" s="2"/>
      <c r="H90" s="6">
        <v>225</v>
      </c>
      <c r="I90" s="2"/>
      <c r="J90" s="7">
        <f t="shared" si="47"/>
        <v>8.4335994602496346E-4</v>
      </c>
      <c r="K90" s="2"/>
      <c r="L90" s="6">
        <f t="shared" si="48"/>
        <v>265.02</v>
      </c>
      <c r="M90" s="2"/>
      <c r="N90" s="7">
        <f t="shared" si="49"/>
        <v>1.1778666666666666</v>
      </c>
      <c r="O90" s="11"/>
      <c r="P90" s="6">
        <v>1874.65</v>
      </c>
      <c r="Q90" s="2"/>
      <c r="R90" s="7">
        <f t="shared" si="50"/>
        <v>5.926983227821503E-4</v>
      </c>
      <c r="S90" s="2"/>
      <c r="T90" s="6">
        <v>1125</v>
      </c>
      <c r="U90" s="2"/>
      <c r="V90" s="7">
        <f t="shared" si="51"/>
        <v>2.4782645187199288E-4</v>
      </c>
      <c r="W90" s="2"/>
      <c r="X90" s="6">
        <f t="shared" si="52"/>
        <v>749.65000000000009</v>
      </c>
      <c r="Y90" s="2"/>
      <c r="Z90" s="7">
        <f t="shared" si="53"/>
        <v>0.66635555555555559</v>
      </c>
    </row>
    <row r="91" spans="1:26" s="29" customFormat="1" outlineLevel="1" collapsed="1" x14ac:dyDescent="0.3">
      <c r="A91" s="28"/>
      <c r="B91" s="14" t="str">
        <f>CONCATENATE("     ","Equipment Rental                                  ")</f>
        <v xml:space="preserve">     Equipment Rental                                  </v>
      </c>
      <c r="C91" s="14"/>
      <c r="D91" s="1">
        <f>SUM(OSRRefD22_9x_0)</f>
        <v>1712.05</v>
      </c>
      <c r="E91" s="1"/>
      <c r="F91" s="5">
        <f t="shared" si="46"/>
        <v>5.8087087916039986E-3</v>
      </c>
      <c r="G91" s="1"/>
      <c r="H91" s="1">
        <f>SUM(OSRRefH22_9x_0)</f>
        <v>1700</v>
      </c>
      <c r="I91" s="1"/>
      <c r="J91" s="5">
        <f t="shared" si="47"/>
        <v>6.372052925521946E-3</v>
      </c>
      <c r="K91" s="1"/>
      <c r="L91" s="1">
        <f t="shared" si="48"/>
        <v>12.049999999999955</v>
      </c>
      <c r="M91" s="1"/>
      <c r="N91" s="5">
        <f t="shared" si="49"/>
        <v>7.08823529411762E-3</v>
      </c>
      <c r="O91" s="14"/>
      <c r="P91" s="1">
        <f>SUM(OSRRefP22_9x_0)</f>
        <v>8323.4500000000007</v>
      </c>
      <c r="Q91" s="1"/>
      <c r="R91" s="5">
        <f t="shared" si="50"/>
        <v>2.6315818178119059E-3</v>
      </c>
      <c r="S91" s="1"/>
      <c r="T91" s="1">
        <f>SUM(OSRRefT22_9x_0)</f>
        <v>8300</v>
      </c>
      <c r="U91" s="1"/>
      <c r="V91" s="5">
        <f t="shared" si="51"/>
        <v>1.8284084893667031E-3</v>
      </c>
      <c r="W91" s="1"/>
      <c r="X91" s="1">
        <f t="shared" si="52"/>
        <v>23.450000000000728</v>
      </c>
      <c r="Y91" s="1"/>
      <c r="Z91" s="5">
        <f t="shared" si="53"/>
        <v>2.8253012048193647E-3</v>
      </c>
    </row>
    <row r="92" spans="1:26" s="24" customFormat="1" hidden="1" outlineLevel="2" x14ac:dyDescent="0.3">
      <c r="A92" s="27"/>
      <c r="B92" s="11" t="str">
        <f>CONCATENATE("          ", "6351", " - ", "EQUIPMENT RENTAL")</f>
        <v xml:space="preserve">          6351 - EQUIPMENT RENTAL</v>
      </c>
      <c r="C92" s="11"/>
      <c r="D92" s="6">
        <v>1712.05</v>
      </c>
      <c r="E92" s="2"/>
      <c r="F92" s="7">
        <f t="shared" si="46"/>
        <v>5.8087087916039986E-3</v>
      </c>
      <c r="G92" s="2"/>
      <c r="H92" s="6">
        <v>1700</v>
      </c>
      <c r="I92" s="2"/>
      <c r="J92" s="7">
        <f t="shared" si="47"/>
        <v>6.372052925521946E-3</v>
      </c>
      <c r="K92" s="2"/>
      <c r="L92" s="6">
        <f t="shared" si="48"/>
        <v>12.049999999999955</v>
      </c>
      <c r="M92" s="2"/>
      <c r="N92" s="7">
        <f t="shared" si="49"/>
        <v>7.08823529411762E-3</v>
      </c>
      <c r="O92" s="11"/>
      <c r="P92" s="6">
        <v>8323.4500000000007</v>
      </c>
      <c r="Q92" s="2"/>
      <c r="R92" s="7">
        <f t="shared" si="50"/>
        <v>2.6315818178119059E-3</v>
      </c>
      <c r="S92" s="2"/>
      <c r="T92" s="6">
        <v>8300</v>
      </c>
      <c r="U92" s="2"/>
      <c r="V92" s="7">
        <f t="shared" si="51"/>
        <v>1.8284084893667031E-3</v>
      </c>
      <c r="W92" s="2"/>
      <c r="X92" s="6">
        <f t="shared" si="52"/>
        <v>23.450000000000728</v>
      </c>
      <c r="Y92" s="2"/>
      <c r="Z92" s="7">
        <f t="shared" si="53"/>
        <v>2.8253012048193647E-3</v>
      </c>
    </row>
    <row r="93" spans="1:26" s="29" customFormat="1" outlineLevel="1" collapsed="1" x14ac:dyDescent="0.3">
      <c r="A93" s="28"/>
      <c r="B93" s="14" t="str">
        <f>CONCATENATE("     ","Freight out/Postage                               ")</f>
        <v xml:space="preserve">     Freight out/Postage                               </v>
      </c>
      <c r="C93" s="14"/>
      <c r="D93" s="1">
        <f>SUM(OSRRefD22_10x_0)</f>
        <v>5663.0599999999995</v>
      </c>
      <c r="E93" s="1"/>
      <c r="F93" s="5">
        <f t="shared" si="46"/>
        <v>1.9213846797337075E-2</v>
      </c>
      <c r="G93" s="1"/>
      <c r="H93" s="1">
        <f>SUM(OSRRefH22_10x_0)</f>
        <v>10650</v>
      </c>
      <c r="I93" s="1"/>
      <c r="J93" s="5">
        <f t="shared" si="47"/>
        <v>3.9919037445181604E-2</v>
      </c>
      <c r="K93" s="1"/>
      <c r="L93" s="1">
        <f t="shared" si="48"/>
        <v>-4986.9400000000005</v>
      </c>
      <c r="M93" s="1"/>
      <c r="N93" s="5">
        <f t="shared" si="49"/>
        <v>-0.46825727699530523</v>
      </c>
      <c r="O93" s="14"/>
      <c r="P93" s="1">
        <f>SUM(OSRRefP22_10x_0)</f>
        <v>-29986.23000000001</v>
      </c>
      <c r="Q93" s="1"/>
      <c r="R93" s="5">
        <f t="shared" si="50"/>
        <v>-9.4805900981835573E-3</v>
      </c>
      <c r="S93" s="1"/>
      <c r="T93" s="1">
        <f>SUM(OSRRefT22_10x_0)</f>
        <v>8650</v>
      </c>
      <c r="U93" s="1"/>
      <c r="V93" s="5">
        <f t="shared" si="51"/>
        <v>1.9055100521713233E-3</v>
      </c>
      <c r="W93" s="1"/>
      <c r="X93" s="1">
        <f t="shared" si="52"/>
        <v>-38636.23000000001</v>
      </c>
      <c r="Y93" s="1"/>
      <c r="Z93" s="5">
        <f t="shared" si="53"/>
        <v>-4.4666161849710999</v>
      </c>
    </row>
    <row r="94" spans="1:26" s="24" customFormat="1" hidden="1" outlineLevel="2" x14ac:dyDescent="0.3">
      <c r="A94" s="27"/>
      <c r="B94" s="11" t="str">
        <f>CONCATENATE("          ", "6305", " - ", "FREIGHT OUT")</f>
        <v xml:space="preserve">          6305 - FREIGHT OUT</v>
      </c>
      <c r="C94" s="11"/>
      <c r="D94" s="6">
        <v>11063.73</v>
      </c>
      <c r="E94" s="2"/>
      <c r="F94" s="7">
        <f t="shared" si="46"/>
        <v>3.7537446756188725E-2</v>
      </c>
      <c r="G94" s="2"/>
      <c r="H94" s="6">
        <v>15050</v>
      </c>
      <c r="I94" s="2"/>
      <c r="J94" s="7">
        <f t="shared" si="47"/>
        <v>5.6411409723003111E-2</v>
      </c>
      <c r="K94" s="2"/>
      <c r="L94" s="6">
        <f t="shared" si="48"/>
        <v>-3986.2700000000004</v>
      </c>
      <c r="M94" s="2"/>
      <c r="N94" s="7">
        <f t="shared" si="49"/>
        <v>-0.26486843853820602</v>
      </c>
      <c r="O94" s="11"/>
      <c r="P94" s="6">
        <v>65828.62</v>
      </c>
      <c r="Q94" s="2"/>
      <c r="R94" s="7">
        <f t="shared" si="50"/>
        <v>2.0812691790501433E-2</v>
      </c>
      <c r="S94" s="2"/>
      <c r="T94" s="6">
        <v>89950</v>
      </c>
      <c r="U94" s="2"/>
      <c r="V94" s="7">
        <f t="shared" si="51"/>
        <v>1.9815101640787345E-2</v>
      </c>
      <c r="W94" s="2"/>
      <c r="X94" s="6">
        <f t="shared" si="52"/>
        <v>-24121.380000000005</v>
      </c>
      <c r="Y94" s="2"/>
      <c r="Z94" s="7">
        <f t="shared" si="53"/>
        <v>-0.26816431350750425</v>
      </c>
    </row>
    <row r="95" spans="1:26" s="24" customFormat="1" hidden="1" outlineLevel="2" x14ac:dyDescent="0.3">
      <c r="A95" s="27"/>
      <c r="B95" s="11" t="str">
        <f>CONCATENATE("          ", "6307", " - ", "POSTAGE")</f>
        <v xml:space="preserve">          6307 - POSTAGE</v>
      </c>
      <c r="C95" s="11"/>
      <c r="D95" s="6">
        <v>-5400.67</v>
      </c>
      <c r="E95" s="2"/>
      <c r="F95" s="7">
        <f t="shared" si="46"/>
        <v>-1.832359995885165E-2</v>
      </c>
      <c r="G95" s="2"/>
      <c r="H95" s="6">
        <v>-4400</v>
      </c>
      <c r="I95" s="2"/>
      <c r="J95" s="7">
        <f t="shared" si="47"/>
        <v>-1.6492372277821507E-2</v>
      </c>
      <c r="K95" s="2"/>
      <c r="L95" s="6">
        <f t="shared" si="48"/>
        <v>-1000.6700000000001</v>
      </c>
      <c r="M95" s="2"/>
      <c r="N95" s="7">
        <f t="shared" si="49"/>
        <v>0.22742500000000002</v>
      </c>
      <c r="O95" s="11"/>
      <c r="P95" s="6">
        <v>-95814.85</v>
      </c>
      <c r="Q95" s="2"/>
      <c r="R95" s="7">
        <f t="shared" si="50"/>
        <v>-3.0293281888684988E-2</v>
      </c>
      <c r="S95" s="2"/>
      <c r="T95" s="6">
        <v>-81300</v>
      </c>
      <c r="U95" s="2"/>
      <c r="V95" s="7">
        <f t="shared" si="51"/>
        <v>-1.790959158861602E-2</v>
      </c>
      <c r="W95" s="2"/>
      <c r="X95" s="6">
        <f t="shared" si="52"/>
        <v>-14514.850000000006</v>
      </c>
      <c r="Y95" s="2"/>
      <c r="Z95" s="7">
        <f t="shared" si="53"/>
        <v>0.17853444034440352</v>
      </c>
    </row>
    <row r="96" spans="1:26" s="29" customFormat="1" outlineLevel="1" collapsed="1" x14ac:dyDescent="0.3">
      <c r="A96" s="28"/>
      <c r="B96" s="14" t="str">
        <f>CONCATENATE("     ","General                                           ")</f>
        <v xml:space="preserve">     General                                           </v>
      </c>
      <c r="C96" s="14"/>
      <c r="D96" s="1">
        <f>SUM(OSRRefD22_11x_0)</f>
        <v>1135.0899999999999</v>
      </c>
      <c r="E96" s="1"/>
      <c r="F96" s="5">
        <f t="shared" ref="F96:F98" si="54">IF(D$12=0,0,D96/D$12)</f>
        <v>3.8511768127459964E-3</v>
      </c>
      <c r="G96" s="1"/>
      <c r="H96" s="1">
        <f>SUM(OSRRefH22_11x_0)</f>
        <v>700</v>
      </c>
      <c r="I96" s="1"/>
      <c r="J96" s="5">
        <f t="shared" ref="J96:J98" si="55">IF(H$12=0,0,H96/H$12)</f>
        <v>2.6237864987443309E-3</v>
      </c>
      <c r="K96" s="1"/>
      <c r="L96" s="1">
        <f t="shared" ref="L96:L98" si="56">+D96-H96</f>
        <v>435.08999999999992</v>
      </c>
      <c r="M96" s="1"/>
      <c r="N96" s="5">
        <f t="shared" ref="N96:N98" si="57">IF(H96=0,0,L96/H96)</f>
        <v>0.6215571428571427</v>
      </c>
      <c r="O96" s="14"/>
      <c r="P96" s="1">
        <f>SUM(OSRRefP22_11x_0)</f>
        <v>3329.19</v>
      </c>
      <c r="Q96" s="1"/>
      <c r="R96" s="5">
        <f t="shared" ref="R96:R98" si="58">IF(P$12=0,0,P96/P$12)</f>
        <v>1.0525726558147425E-3</v>
      </c>
      <c r="S96" s="1"/>
      <c r="T96" s="1">
        <f>SUM(OSRRefT22_11x_0)</f>
        <v>1750</v>
      </c>
      <c r="U96" s="1"/>
      <c r="V96" s="5">
        <f t="shared" ref="V96:V98" si="59">IF(T$12=0,0,T96/T$12)</f>
        <v>3.8550781402310006E-4</v>
      </c>
      <c r="W96" s="1"/>
      <c r="X96" s="1">
        <f t="shared" ref="X96:X98" si="60">+P96-T96</f>
        <v>1579.19</v>
      </c>
      <c r="Y96" s="1"/>
      <c r="Z96" s="5">
        <f t="shared" ref="Z96:Z98" si="61">IF(T96=0,0,X96/T96)</f>
        <v>0.9023942857142857</v>
      </c>
    </row>
    <row r="97" spans="1:26" s="24" customFormat="1" hidden="1" outlineLevel="2" x14ac:dyDescent="0.3">
      <c r="A97" s="27"/>
      <c r="B97" s="11" t="str">
        <f>CONCATENATE("          ", "6276", " - ", "PROPERTY TAX")</f>
        <v xml:space="preserve">          6276 - PROPERTY TAX</v>
      </c>
      <c r="C97" s="11"/>
      <c r="D97" s="6"/>
      <c r="E97" s="2"/>
      <c r="F97" s="7">
        <f t="shared" si="54"/>
        <v>0</v>
      </c>
      <c r="G97" s="2"/>
      <c r="H97" s="6"/>
      <c r="I97" s="2"/>
      <c r="J97" s="7">
        <f t="shared" si="55"/>
        <v>0</v>
      </c>
      <c r="K97" s="2"/>
      <c r="L97" s="6">
        <f t="shared" si="56"/>
        <v>0</v>
      </c>
      <c r="M97" s="2"/>
      <c r="N97" s="7">
        <f t="shared" si="57"/>
        <v>0</v>
      </c>
      <c r="O97" s="11"/>
      <c r="P97" s="6"/>
      <c r="Q97" s="2"/>
      <c r="R97" s="7">
        <f t="shared" si="58"/>
        <v>0</v>
      </c>
      <c r="S97" s="2"/>
      <c r="T97" s="6">
        <v>125</v>
      </c>
      <c r="U97" s="2"/>
      <c r="V97" s="7">
        <f t="shared" si="59"/>
        <v>2.7536272430221433E-5</v>
      </c>
      <c r="W97" s="2"/>
      <c r="X97" s="6">
        <f t="shared" si="60"/>
        <v>-125</v>
      </c>
      <c r="Y97" s="2"/>
      <c r="Z97" s="7">
        <f t="shared" si="61"/>
        <v>-1</v>
      </c>
    </row>
    <row r="98" spans="1:26" s="24" customFormat="1" hidden="1" outlineLevel="2" x14ac:dyDescent="0.3">
      <c r="A98" s="27"/>
      <c r="B98" s="11" t="str">
        <f>CONCATENATE("          ", "6279", " - ", "GENERAL EXPENSE")</f>
        <v xml:space="preserve">          6279 - GENERAL EXPENSE</v>
      </c>
      <c r="C98" s="11"/>
      <c r="D98" s="6">
        <v>1135.0899999999999</v>
      </c>
      <c r="E98" s="2"/>
      <c r="F98" s="7">
        <f t="shared" si="54"/>
        <v>3.8511768127459964E-3</v>
      </c>
      <c r="G98" s="2"/>
      <c r="H98" s="6">
        <v>700</v>
      </c>
      <c r="I98" s="2"/>
      <c r="J98" s="7">
        <f t="shared" si="55"/>
        <v>2.6237864987443309E-3</v>
      </c>
      <c r="K98" s="2"/>
      <c r="L98" s="6">
        <f t="shared" si="56"/>
        <v>435.08999999999992</v>
      </c>
      <c r="M98" s="2"/>
      <c r="N98" s="7">
        <f t="shared" si="57"/>
        <v>0.6215571428571427</v>
      </c>
      <c r="O98" s="11"/>
      <c r="P98" s="6">
        <v>3329.19</v>
      </c>
      <c r="Q98" s="2"/>
      <c r="R98" s="7">
        <f t="shared" si="58"/>
        <v>1.0525726558147425E-3</v>
      </c>
      <c r="S98" s="2"/>
      <c r="T98" s="6">
        <v>1625</v>
      </c>
      <c r="U98" s="2"/>
      <c r="V98" s="7">
        <f t="shared" si="59"/>
        <v>3.5797154159287862E-4</v>
      </c>
      <c r="W98" s="2"/>
      <c r="X98" s="6">
        <f t="shared" si="60"/>
        <v>1704.19</v>
      </c>
      <c r="Y98" s="2"/>
      <c r="Z98" s="7">
        <f t="shared" si="61"/>
        <v>1.0487323076923076</v>
      </c>
    </row>
    <row r="99" spans="1:26" s="29" customFormat="1" outlineLevel="1" collapsed="1" x14ac:dyDescent="0.3">
      <c r="A99" s="28"/>
      <c r="B99" s="14" t="str">
        <f>CONCATENATE("     ","Insurance                                         ")</f>
        <v xml:space="preserve">     Insurance                                         </v>
      </c>
      <c r="C99" s="14"/>
      <c r="D99" s="1">
        <f>SUM(OSRRefD22_12x_0)</f>
        <v>5494.57</v>
      </c>
      <c r="E99" s="1"/>
      <c r="F99" s="5">
        <f t="shared" ref="F99:F111" si="62">IF(D$12=0,0,D99/D$12)</f>
        <v>1.8642187474129601E-2</v>
      </c>
      <c r="G99" s="1"/>
      <c r="H99" s="1">
        <f>SUM(OSRRefH22_12x_0)</f>
        <v>5375</v>
      </c>
      <c r="I99" s="1"/>
      <c r="J99" s="5">
        <f t="shared" ref="J99:J111" si="63">IF(H$12=0,0,H99/H$12)</f>
        <v>2.0146932043929682E-2</v>
      </c>
      <c r="K99" s="1"/>
      <c r="L99" s="1">
        <f t="shared" ref="L99:L111" si="64">+D99-H99</f>
        <v>119.56999999999971</v>
      </c>
      <c r="M99" s="1"/>
      <c r="N99" s="5">
        <f t="shared" ref="N99:N111" si="65">IF(H99=0,0,L99/H99)</f>
        <v>2.2245581395348782E-2</v>
      </c>
      <c r="O99" s="14"/>
      <c r="P99" s="1">
        <f>SUM(OSRRefP22_12x_0)</f>
        <v>27472.85</v>
      </c>
      <c r="Q99" s="1"/>
      <c r="R99" s="5">
        <f t="shared" ref="R99:R111" si="66">IF(P$12=0,0,P99/P$12)</f>
        <v>8.6859478393543302E-3</v>
      </c>
      <c r="S99" s="1"/>
      <c r="T99" s="1">
        <f>SUM(OSRRefT22_12x_0)</f>
        <v>26875</v>
      </c>
      <c r="U99" s="1"/>
      <c r="V99" s="5">
        <f t="shared" ref="V99:V111" si="67">IF(T$12=0,0,T99/T$12)</f>
        <v>5.9202985724976084E-3</v>
      </c>
      <c r="W99" s="1"/>
      <c r="X99" s="1">
        <f t="shared" ref="X99:X111" si="68">+P99-T99</f>
        <v>597.84999999999854</v>
      </c>
      <c r="Y99" s="1"/>
      <c r="Z99" s="5">
        <f t="shared" ref="Z99:Z111" si="69">IF(T99=0,0,X99/T99)</f>
        <v>2.2245581395348782E-2</v>
      </c>
    </row>
    <row r="100" spans="1:26" s="24" customFormat="1" hidden="1" outlineLevel="2" x14ac:dyDescent="0.3">
      <c r="A100" s="27"/>
      <c r="B100" s="11" t="str">
        <f>CONCATENATE("          ", "6314", " - ", "LIABILITY INSURANCE")</f>
        <v xml:space="preserve">          6314 - LIABILITY INSURANCE</v>
      </c>
      <c r="C100" s="11"/>
      <c r="D100" s="6">
        <v>5494.57</v>
      </c>
      <c r="E100" s="2"/>
      <c r="F100" s="7">
        <f t="shared" si="62"/>
        <v>1.8642187474129601E-2</v>
      </c>
      <c r="G100" s="2"/>
      <c r="H100" s="6">
        <v>5375</v>
      </c>
      <c r="I100" s="2"/>
      <c r="J100" s="7">
        <f t="shared" si="63"/>
        <v>2.0146932043929682E-2</v>
      </c>
      <c r="K100" s="2"/>
      <c r="L100" s="6">
        <f t="shared" si="64"/>
        <v>119.56999999999971</v>
      </c>
      <c r="M100" s="2"/>
      <c r="N100" s="7">
        <f t="shared" si="65"/>
        <v>2.2245581395348782E-2</v>
      </c>
      <c r="O100" s="11"/>
      <c r="P100" s="6">
        <v>27472.85</v>
      </c>
      <c r="Q100" s="2"/>
      <c r="R100" s="7">
        <f t="shared" si="66"/>
        <v>8.6859478393543302E-3</v>
      </c>
      <c r="S100" s="2"/>
      <c r="T100" s="6">
        <v>26875</v>
      </c>
      <c r="U100" s="2"/>
      <c r="V100" s="7">
        <f t="shared" si="67"/>
        <v>5.9202985724976084E-3</v>
      </c>
      <c r="W100" s="2"/>
      <c r="X100" s="6">
        <f t="shared" si="68"/>
        <v>597.84999999999854</v>
      </c>
      <c r="Y100" s="2"/>
      <c r="Z100" s="7">
        <f t="shared" si="69"/>
        <v>2.2245581395348782E-2</v>
      </c>
    </row>
    <row r="101" spans="1:26" s="29" customFormat="1" outlineLevel="1" collapsed="1" x14ac:dyDescent="0.3">
      <c r="A101" s="28"/>
      <c r="B101" s="14" t="str">
        <f>CONCATENATE("     ","Inventory Adjustment                              ")</f>
        <v xml:space="preserve">     Inventory Adjustment                              </v>
      </c>
      <c r="C101" s="14"/>
      <c r="D101" s="1">
        <f>SUM(OSRRefD22_13x_0)</f>
        <v>5100</v>
      </c>
      <c r="E101" s="1"/>
      <c r="F101" s="5">
        <f t="shared" si="62"/>
        <v>1.7303475270687419E-2</v>
      </c>
      <c r="G101" s="1"/>
      <c r="H101" s="1">
        <f>SUM(OSRRefH22_13x_0)</f>
        <v>5100</v>
      </c>
      <c r="I101" s="1"/>
      <c r="J101" s="5">
        <f t="shared" si="63"/>
        <v>1.9116158776565837E-2</v>
      </c>
      <c r="K101" s="1"/>
      <c r="L101" s="1">
        <f t="shared" si="64"/>
        <v>0</v>
      </c>
      <c r="M101" s="1"/>
      <c r="N101" s="5">
        <f t="shared" si="65"/>
        <v>0</v>
      </c>
      <c r="O101" s="14"/>
      <c r="P101" s="1">
        <f>SUM(OSRRefP22_13x_0)</f>
        <v>25500</v>
      </c>
      <c r="Q101" s="1"/>
      <c r="R101" s="5">
        <f t="shared" si="66"/>
        <v>8.062202134235634E-3</v>
      </c>
      <c r="S101" s="1"/>
      <c r="T101" s="1">
        <f>SUM(OSRRefT22_13x_0)</f>
        <v>25500</v>
      </c>
      <c r="U101" s="1"/>
      <c r="V101" s="5">
        <f t="shared" si="67"/>
        <v>5.617399575765172E-3</v>
      </c>
      <c r="W101" s="1"/>
      <c r="X101" s="1">
        <f t="shared" si="68"/>
        <v>0</v>
      </c>
      <c r="Y101" s="1"/>
      <c r="Z101" s="5">
        <f t="shared" si="69"/>
        <v>0</v>
      </c>
    </row>
    <row r="102" spans="1:26" s="24" customFormat="1" hidden="1" outlineLevel="2" x14ac:dyDescent="0.3">
      <c r="A102" s="27"/>
      <c r="B102" s="11" t="str">
        <f>CONCATENATE("          ", "6408", " - ", "INVENTORY ADJUSTMENT")</f>
        <v xml:space="preserve">          6408 - INVENTORY ADJUSTMENT</v>
      </c>
      <c r="C102" s="11"/>
      <c r="D102" s="6">
        <v>5100</v>
      </c>
      <c r="E102" s="2"/>
      <c r="F102" s="7">
        <f t="shared" si="62"/>
        <v>1.7303475270687419E-2</v>
      </c>
      <c r="G102" s="2"/>
      <c r="H102" s="6">
        <v>5100</v>
      </c>
      <c r="I102" s="2"/>
      <c r="J102" s="7">
        <f t="shared" si="63"/>
        <v>1.9116158776565837E-2</v>
      </c>
      <c r="K102" s="2"/>
      <c r="L102" s="6">
        <f t="shared" si="64"/>
        <v>0</v>
      </c>
      <c r="M102" s="2"/>
      <c r="N102" s="7">
        <f t="shared" si="65"/>
        <v>0</v>
      </c>
      <c r="O102" s="11"/>
      <c r="P102" s="6">
        <v>25500</v>
      </c>
      <c r="Q102" s="2"/>
      <c r="R102" s="7">
        <f t="shared" si="66"/>
        <v>8.062202134235634E-3</v>
      </c>
      <c r="S102" s="2"/>
      <c r="T102" s="6">
        <v>25500</v>
      </c>
      <c r="U102" s="2"/>
      <c r="V102" s="7">
        <f t="shared" si="67"/>
        <v>5.617399575765172E-3</v>
      </c>
      <c r="W102" s="2"/>
      <c r="X102" s="6">
        <f t="shared" si="68"/>
        <v>0</v>
      </c>
      <c r="Y102" s="2"/>
      <c r="Z102" s="7">
        <f t="shared" si="69"/>
        <v>0</v>
      </c>
    </row>
    <row r="103" spans="1:26" s="29" customFormat="1" outlineLevel="1" collapsed="1" x14ac:dyDescent="0.3">
      <c r="A103" s="28"/>
      <c r="B103" s="14" t="str">
        <f>CONCATENATE("     ","Professional Services                             ")</f>
        <v xml:space="preserve">     Professional Services                             </v>
      </c>
      <c r="C103" s="14"/>
      <c r="D103" s="1">
        <f>SUM(OSRRefD22_14x_0)</f>
        <v>0</v>
      </c>
      <c r="E103" s="1"/>
      <c r="F103" s="5">
        <f t="shared" si="62"/>
        <v>0</v>
      </c>
      <c r="G103" s="1"/>
      <c r="H103" s="1">
        <f>SUM(OSRRefH22_14x_0)</f>
        <v>0</v>
      </c>
      <c r="I103" s="1"/>
      <c r="J103" s="5">
        <f t="shared" si="63"/>
        <v>0</v>
      </c>
      <c r="K103" s="1"/>
      <c r="L103" s="1">
        <f t="shared" si="64"/>
        <v>0</v>
      </c>
      <c r="M103" s="1"/>
      <c r="N103" s="5">
        <f t="shared" si="65"/>
        <v>0</v>
      </c>
      <c r="O103" s="14"/>
      <c r="P103" s="1">
        <f>SUM(OSRRefP22_14x_0)</f>
        <v>8186.53</v>
      </c>
      <c r="Q103" s="1"/>
      <c r="R103" s="5">
        <f t="shared" si="66"/>
        <v>2.5882925348229037E-3</v>
      </c>
      <c r="S103" s="1"/>
      <c r="T103" s="1">
        <f>SUM(OSRRefT22_14x_0)</f>
        <v>1250</v>
      </c>
      <c r="U103" s="1"/>
      <c r="V103" s="5">
        <f t="shared" si="67"/>
        <v>2.7536272430221431E-4</v>
      </c>
      <c r="W103" s="1"/>
      <c r="X103" s="1">
        <f t="shared" si="68"/>
        <v>6936.53</v>
      </c>
      <c r="Y103" s="1"/>
      <c r="Z103" s="5">
        <f t="shared" si="69"/>
        <v>5.5492239999999997</v>
      </c>
    </row>
    <row r="104" spans="1:26" s="24" customFormat="1" hidden="1" outlineLevel="2" x14ac:dyDescent="0.3">
      <c r="A104" s="27"/>
      <c r="B104" s="11" t="str">
        <f>CONCATENATE("          ", "6336", " - ", "PROFESSIONAL SERVICES")</f>
        <v xml:space="preserve">          6336 - PROFESSIONAL SERVICES</v>
      </c>
      <c r="C104" s="11"/>
      <c r="D104" s="6"/>
      <c r="E104" s="2"/>
      <c r="F104" s="7">
        <f t="shared" si="62"/>
        <v>0</v>
      </c>
      <c r="G104" s="2"/>
      <c r="H104" s="6">
        <v>0</v>
      </c>
      <c r="I104" s="2"/>
      <c r="J104" s="7">
        <f t="shared" si="63"/>
        <v>0</v>
      </c>
      <c r="K104" s="2"/>
      <c r="L104" s="6">
        <f t="shared" si="64"/>
        <v>0</v>
      </c>
      <c r="M104" s="2"/>
      <c r="N104" s="7">
        <f t="shared" si="65"/>
        <v>0</v>
      </c>
      <c r="O104" s="11"/>
      <c r="P104" s="6">
        <v>8186.53</v>
      </c>
      <c r="Q104" s="2"/>
      <c r="R104" s="7">
        <f t="shared" si="66"/>
        <v>2.5882925348229037E-3</v>
      </c>
      <c r="S104" s="2"/>
      <c r="T104" s="6">
        <v>1250</v>
      </c>
      <c r="U104" s="2"/>
      <c r="V104" s="7">
        <f t="shared" si="67"/>
        <v>2.7536272430221431E-4</v>
      </c>
      <c r="W104" s="2"/>
      <c r="X104" s="6">
        <f t="shared" si="68"/>
        <v>6936.53</v>
      </c>
      <c r="Y104" s="2"/>
      <c r="Z104" s="7">
        <f t="shared" si="69"/>
        <v>5.5492239999999997</v>
      </c>
    </row>
    <row r="105" spans="1:26" s="29" customFormat="1" outlineLevel="1" collapsed="1" x14ac:dyDescent="0.3">
      <c r="A105" s="28"/>
      <c r="B105" s="14" t="str">
        <f>CONCATENATE("     ","Rent                                              ")</f>
        <v xml:space="preserve">     Rent                                              </v>
      </c>
      <c r="C105" s="14"/>
      <c r="D105" s="1">
        <f>SUM(OSRRefD22_15x_0)</f>
        <v>6100</v>
      </c>
      <c r="E105" s="1"/>
      <c r="F105" s="5">
        <f t="shared" si="62"/>
        <v>2.0696313559057499E-2</v>
      </c>
      <c r="G105" s="1"/>
      <c r="H105" s="1">
        <f>SUM(OSRRefH22_15x_0)</f>
        <v>6100</v>
      </c>
      <c r="I105" s="1"/>
      <c r="J105" s="5">
        <f t="shared" si="63"/>
        <v>2.2864425203343454E-2</v>
      </c>
      <c r="K105" s="1"/>
      <c r="L105" s="1">
        <f t="shared" si="64"/>
        <v>0</v>
      </c>
      <c r="M105" s="1"/>
      <c r="N105" s="5">
        <f t="shared" si="65"/>
        <v>0</v>
      </c>
      <c r="O105" s="14"/>
      <c r="P105" s="1">
        <f>SUM(OSRRefP22_15x_0)</f>
        <v>30500</v>
      </c>
      <c r="Q105" s="1"/>
      <c r="R105" s="5">
        <f t="shared" si="66"/>
        <v>9.6430260821249742E-3</v>
      </c>
      <c r="S105" s="1"/>
      <c r="T105" s="1">
        <f>SUM(OSRRefT22_15x_0)</f>
        <v>30500</v>
      </c>
      <c r="U105" s="1"/>
      <c r="V105" s="5">
        <f t="shared" si="67"/>
        <v>6.7188504729740299E-3</v>
      </c>
      <c r="W105" s="1"/>
      <c r="X105" s="1">
        <f t="shared" si="68"/>
        <v>0</v>
      </c>
      <c r="Y105" s="1"/>
      <c r="Z105" s="5">
        <f t="shared" si="69"/>
        <v>0</v>
      </c>
    </row>
    <row r="106" spans="1:26" s="24" customFormat="1" hidden="1" outlineLevel="2" x14ac:dyDescent="0.3">
      <c r="A106" s="27"/>
      <c r="B106" s="11" t="str">
        <f>CONCATENATE("          ", "6273", " - ", "RENT")</f>
        <v xml:space="preserve">          6273 - RENT</v>
      </c>
      <c r="C106" s="11"/>
      <c r="D106" s="6">
        <v>6100</v>
      </c>
      <c r="E106" s="2"/>
      <c r="F106" s="7">
        <f t="shared" si="62"/>
        <v>2.0696313559057499E-2</v>
      </c>
      <c r="G106" s="2"/>
      <c r="H106" s="6">
        <v>6100</v>
      </c>
      <c r="I106" s="2"/>
      <c r="J106" s="7">
        <f t="shared" si="63"/>
        <v>2.2864425203343454E-2</v>
      </c>
      <c r="K106" s="2"/>
      <c r="L106" s="6">
        <f t="shared" si="64"/>
        <v>0</v>
      </c>
      <c r="M106" s="2"/>
      <c r="N106" s="7">
        <f t="shared" si="65"/>
        <v>0</v>
      </c>
      <c r="O106" s="11"/>
      <c r="P106" s="6">
        <v>30500</v>
      </c>
      <c r="Q106" s="2"/>
      <c r="R106" s="7">
        <f t="shared" si="66"/>
        <v>9.6430260821249742E-3</v>
      </c>
      <c r="S106" s="2"/>
      <c r="T106" s="6">
        <v>30500</v>
      </c>
      <c r="U106" s="2"/>
      <c r="V106" s="7">
        <f t="shared" si="67"/>
        <v>6.7188504729740299E-3</v>
      </c>
      <c r="W106" s="2"/>
      <c r="X106" s="6">
        <f t="shared" si="68"/>
        <v>0</v>
      </c>
      <c r="Y106" s="2"/>
      <c r="Z106" s="7">
        <f t="shared" si="69"/>
        <v>0</v>
      </c>
    </row>
    <row r="107" spans="1:26" s="29" customFormat="1" outlineLevel="1" collapsed="1" x14ac:dyDescent="0.3">
      <c r="A107" s="28"/>
      <c r="B107" s="14" t="str">
        <f>CONCATENATE("     ","Repair and Maintenance                            ")</f>
        <v xml:space="preserve">     Repair and Maintenance                            </v>
      </c>
      <c r="C107" s="14"/>
      <c r="D107" s="1">
        <f>SUM(OSRRefD22_16x_0)</f>
        <v>1338.03</v>
      </c>
      <c r="E107" s="1"/>
      <c r="F107" s="5">
        <f t="shared" si="62"/>
        <v>4.5397194149878212E-3</v>
      </c>
      <c r="G107" s="1"/>
      <c r="H107" s="1">
        <f>SUM(OSRRefH22_16x_0)</f>
        <v>10145</v>
      </c>
      <c r="I107" s="1"/>
      <c r="J107" s="5">
        <f t="shared" si="63"/>
        <v>3.8026162899658905E-2</v>
      </c>
      <c r="K107" s="1"/>
      <c r="L107" s="1">
        <f t="shared" si="64"/>
        <v>-8806.9699999999993</v>
      </c>
      <c r="M107" s="1"/>
      <c r="N107" s="5">
        <f t="shared" si="65"/>
        <v>-0.86810941350418924</v>
      </c>
      <c r="O107" s="14"/>
      <c r="P107" s="1">
        <f>SUM(OSRRefP22_16x_0)</f>
        <v>90795.47</v>
      </c>
      <c r="Q107" s="1"/>
      <c r="R107" s="5">
        <f t="shared" si="66"/>
        <v>2.8706330667173627E-2</v>
      </c>
      <c r="S107" s="1"/>
      <c r="T107" s="1">
        <f>SUM(OSRRefT22_16x_0)</f>
        <v>88945</v>
      </c>
      <c r="U107" s="1"/>
      <c r="V107" s="5">
        <f t="shared" si="67"/>
        <v>1.9593710010448365E-2</v>
      </c>
      <c r="W107" s="1"/>
      <c r="X107" s="1">
        <f t="shared" si="68"/>
        <v>1850.4700000000012</v>
      </c>
      <c r="Y107" s="1"/>
      <c r="Z107" s="5">
        <f t="shared" si="69"/>
        <v>2.0804654561807873E-2</v>
      </c>
    </row>
    <row r="108" spans="1:26" s="24" customFormat="1" hidden="1" outlineLevel="2" x14ac:dyDescent="0.3">
      <c r="A108" s="27"/>
      <c r="B108" s="11" t="str">
        <f>CONCATENATE("          ", "6371", " - ", "COMPUTER SOFTWARE MAINTENANCE")</f>
        <v xml:space="preserve">          6371 - COMPUTER SOFTWARE MAINTENANCE</v>
      </c>
      <c r="C108" s="11"/>
      <c r="D108" s="6"/>
      <c r="E108" s="2"/>
      <c r="F108" s="7">
        <f t="shared" si="62"/>
        <v>0</v>
      </c>
      <c r="G108" s="2"/>
      <c r="H108" s="6">
        <v>1000</v>
      </c>
      <c r="I108" s="2"/>
      <c r="J108" s="7">
        <f t="shared" si="63"/>
        <v>3.7482664267776155E-3</v>
      </c>
      <c r="K108" s="2"/>
      <c r="L108" s="6">
        <f t="shared" si="64"/>
        <v>-1000</v>
      </c>
      <c r="M108" s="2"/>
      <c r="N108" s="7">
        <f t="shared" si="65"/>
        <v>-1</v>
      </c>
      <c r="O108" s="11"/>
      <c r="P108" s="6">
        <v>62511</v>
      </c>
      <c r="Q108" s="2"/>
      <c r="R108" s="7">
        <f t="shared" si="66"/>
        <v>1.9763777161302107E-2</v>
      </c>
      <c r="S108" s="2"/>
      <c r="T108" s="6">
        <v>44100</v>
      </c>
      <c r="U108" s="2"/>
      <c r="V108" s="7">
        <f t="shared" si="67"/>
        <v>9.7147969133821212E-3</v>
      </c>
      <c r="W108" s="2"/>
      <c r="X108" s="6">
        <f t="shared" si="68"/>
        <v>18411</v>
      </c>
      <c r="Y108" s="2"/>
      <c r="Z108" s="7">
        <f t="shared" si="69"/>
        <v>0.41748299319727888</v>
      </c>
    </row>
    <row r="109" spans="1:26" s="24" customFormat="1" hidden="1" outlineLevel="2" x14ac:dyDescent="0.3">
      <c r="A109" s="27"/>
      <c r="B109" s="11" t="str">
        <f>CONCATENATE("          ", "6372", " - ", "COMPUTER HARDWARE MAINTENANCE")</f>
        <v xml:space="preserve">          6372 - COMPUTER HARDWARE MAINTENANCE</v>
      </c>
      <c r="C109" s="11"/>
      <c r="D109" s="6"/>
      <c r="E109" s="2"/>
      <c r="F109" s="7">
        <f t="shared" si="62"/>
        <v>0</v>
      </c>
      <c r="G109" s="2"/>
      <c r="H109" s="6">
        <v>3750</v>
      </c>
      <c r="I109" s="2"/>
      <c r="J109" s="7">
        <f t="shared" si="63"/>
        <v>1.4055999100416057E-2</v>
      </c>
      <c r="K109" s="2"/>
      <c r="L109" s="6">
        <f t="shared" si="64"/>
        <v>-3750</v>
      </c>
      <c r="M109" s="2"/>
      <c r="N109" s="7">
        <f t="shared" si="65"/>
        <v>-1</v>
      </c>
      <c r="O109" s="11"/>
      <c r="P109" s="6"/>
      <c r="Q109" s="2"/>
      <c r="R109" s="7">
        <f t="shared" si="66"/>
        <v>0</v>
      </c>
      <c r="S109" s="2"/>
      <c r="T109" s="6">
        <v>15370</v>
      </c>
      <c r="U109" s="2"/>
      <c r="V109" s="7">
        <f t="shared" si="67"/>
        <v>3.3858600580200277E-3</v>
      </c>
      <c r="W109" s="2"/>
      <c r="X109" s="6">
        <f t="shared" si="68"/>
        <v>-15370</v>
      </c>
      <c r="Y109" s="2"/>
      <c r="Z109" s="7">
        <f t="shared" si="69"/>
        <v>-1</v>
      </c>
    </row>
    <row r="110" spans="1:26" s="24" customFormat="1" hidden="1" outlineLevel="2" x14ac:dyDescent="0.3">
      <c r="A110" s="27"/>
      <c r="B110" s="11" t="str">
        <f>CONCATENATE("          ", "6373", " - ", "MAINTENANCE CONTRACTS")</f>
        <v xml:space="preserve">          6373 - MAINTENANCE CONTRACTS</v>
      </c>
      <c r="C110" s="11"/>
      <c r="D110" s="6">
        <v>179.27</v>
      </c>
      <c r="E110" s="2"/>
      <c r="F110" s="7">
        <f t="shared" si="62"/>
        <v>6.0823411995610465E-4</v>
      </c>
      <c r="G110" s="2"/>
      <c r="H110" s="6">
        <v>5355</v>
      </c>
      <c r="I110" s="2"/>
      <c r="J110" s="7">
        <f t="shared" si="63"/>
        <v>2.0071966715394129E-2</v>
      </c>
      <c r="K110" s="2"/>
      <c r="L110" s="6">
        <f t="shared" si="64"/>
        <v>-5175.7299999999996</v>
      </c>
      <c r="M110" s="2"/>
      <c r="N110" s="7">
        <f t="shared" si="65"/>
        <v>-0.96652287581699337</v>
      </c>
      <c r="O110" s="11"/>
      <c r="P110" s="6">
        <v>12246</v>
      </c>
      <c r="Q110" s="2"/>
      <c r="R110" s="7">
        <f t="shared" si="66"/>
        <v>3.8717540131705717E-3</v>
      </c>
      <c r="S110" s="2"/>
      <c r="T110" s="6">
        <v>29275</v>
      </c>
      <c r="U110" s="2"/>
      <c r="V110" s="7">
        <f t="shared" si="67"/>
        <v>6.4489950031578593E-3</v>
      </c>
      <c r="W110" s="2"/>
      <c r="X110" s="6">
        <f t="shared" si="68"/>
        <v>-17029</v>
      </c>
      <c r="Y110" s="2"/>
      <c r="Z110" s="7">
        <f t="shared" si="69"/>
        <v>-0.58169086251067459</v>
      </c>
    </row>
    <row r="111" spans="1:26" s="24" customFormat="1" hidden="1" outlineLevel="2" x14ac:dyDescent="0.3">
      <c r="A111" s="27"/>
      <c r="B111" s="11" t="str">
        <f>CONCATENATE("          ", "6375", " - ", "OUTSIDE REPAIRS &amp; MAINTENANCE")</f>
        <v xml:space="preserve">          6375 - OUTSIDE REPAIRS &amp; MAINTENANCE</v>
      </c>
      <c r="C111" s="11"/>
      <c r="D111" s="6">
        <v>1158.76</v>
      </c>
      <c r="E111" s="2"/>
      <c r="F111" s="7">
        <f t="shared" si="62"/>
        <v>3.9314852950317163E-3</v>
      </c>
      <c r="G111" s="2"/>
      <c r="H111" s="6">
        <v>40</v>
      </c>
      <c r="I111" s="2"/>
      <c r="J111" s="7">
        <f t="shared" si="63"/>
        <v>1.4993065707110461E-4</v>
      </c>
      <c r="K111" s="2"/>
      <c r="L111" s="6">
        <f t="shared" si="64"/>
        <v>1118.76</v>
      </c>
      <c r="M111" s="2"/>
      <c r="N111" s="7">
        <f t="shared" si="65"/>
        <v>27.969000000000001</v>
      </c>
      <c r="O111" s="11"/>
      <c r="P111" s="6">
        <v>16038.47</v>
      </c>
      <c r="Q111" s="2"/>
      <c r="R111" s="7">
        <f t="shared" si="66"/>
        <v>5.0707994927009486E-3</v>
      </c>
      <c r="S111" s="2"/>
      <c r="T111" s="6">
        <v>200</v>
      </c>
      <c r="U111" s="2"/>
      <c r="V111" s="7">
        <f t="shared" si="67"/>
        <v>4.4058035888354291E-5</v>
      </c>
      <c r="W111" s="2"/>
      <c r="X111" s="6">
        <f t="shared" si="68"/>
        <v>15838.47</v>
      </c>
      <c r="Y111" s="2"/>
      <c r="Z111" s="7">
        <f t="shared" si="69"/>
        <v>79.19234999999999</v>
      </c>
    </row>
    <row r="112" spans="1:26" s="29" customFormat="1" outlineLevel="1" collapsed="1" x14ac:dyDescent="0.3">
      <c r="A112" s="28"/>
      <c r="B112" s="14" t="str">
        <f>CONCATENATE("     ","Royalty &amp; Commissions                             ")</f>
        <v xml:space="preserve">     Royalty &amp; Commissions                             </v>
      </c>
      <c r="C112" s="14"/>
      <c r="D112" s="1">
        <f>SUM(OSRRefD22_17x_0)</f>
        <v>784.77</v>
      </c>
      <c r="E112" s="1"/>
      <c r="F112" s="5">
        <f t="shared" ref="F112:F116" si="70">IF(D$12=0,0,D112/D$12)</f>
        <v>2.6625977035641892E-3</v>
      </c>
      <c r="G112" s="1"/>
      <c r="H112" s="1">
        <f>SUM(OSRRefH22_17x_0)</f>
        <v>9014</v>
      </c>
      <c r="I112" s="1"/>
      <c r="J112" s="5">
        <f t="shared" ref="J112:J116" si="71">IF(H$12=0,0,H112/H$12)</f>
        <v>3.3786873570973423E-2</v>
      </c>
      <c r="K112" s="1"/>
      <c r="L112" s="1">
        <f t="shared" ref="L112:L116" si="72">+D112-H112</f>
        <v>-8229.23</v>
      </c>
      <c r="M112" s="1"/>
      <c r="N112" s="5">
        <f t="shared" ref="N112:N116" si="73">IF(H112=0,0,L112/H112)</f>
        <v>-0.91293876192589296</v>
      </c>
      <c r="O112" s="14"/>
      <c r="P112" s="1">
        <f>SUM(OSRRefP22_17x_0)</f>
        <v>20625.7</v>
      </c>
      <c r="Q112" s="1"/>
      <c r="R112" s="5">
        <f t="shared" ref="R112:R116" si="74">IF(P$12=0,0,P112/P$12)</f>
        <v>6.5211201003962322E-3</v>
      </c>
      <c r="S112" s="1"/>
      <c r="T112" s="1">
        <f>SUM(OSRRefT22_17x_0)</f>
        <v>40186</v>
      </c>
      <c r="U112" s="1"/>
      <c r="V112" s="5">
        <f t="shared" ref="V112:V116" si="75">IF(T$12=0,0,T112/T$12)</f>
        <v>8.852581151047029E-3</v>
      </c>
      <c r="W112" s="1"/>
      <c r="X112" s="1">
        <f t="shared" ref="X112:X116" si="76">+P112-T112</f>
        <v>-19560.3</v>
      </c>
      <c r="Y112" s="1"/>
      <c r="Z112" s="5">
        <f t="shared" ref="Z112:Z116" si="77">IF(T112=0,0,X112/T112)</f>
        <v>-0.48674413975016173</v>
      </c>
    </row>
    <row r="113" spans="1:26" s="24" customFormat="1" hidden="1" outlineLevel="2" x14ac:dyDescent="0.3">
      <c r="A113" s="27"/>
      <c r="B113" s="11" t="str">
        <f>CONCATENATE("          ", "6252", " - ", "ROYALTY DUE CSTV")</f>
        <v xml:space="preserve">          6252 - ROYALTY DUE CSTV</v>
      </c>
      <c r="C113" s="11"/>
      <c r="D113" s="6"/>
      <c r="E113" s="2"/>
      <c r="F113" s="7">
        <f t="shared" si="70"/>
        <v>0</v>
      </c>
      <c r="G113" s="2"/>
      <c r="H113" s="6">
        <v>3014</v>
      </c>
      <c r="I113" s="2"/>
      <c r="J113" s="7">
        <f t="shared" si="71"/>
        <v>1.1297275010307733E-2</v>
      </c>
      <c r="K113" s="2"/>
      <c r="L113" s="6">
        <f t="shared" si="72"/>
        <v>-3014</v>
      </c>
      <c r="M113" s="2"/>
      <c r="N113" s="7">
        <f t="shared" si="73"/>
        <v>-1</v>
      </c>
      <c r="O113" s="11"/>
      <c r="P113" s="6"/>
      <c r="Q113" s="2"/>
      <c r="R113" s="7">
        <f t="shared" si="74"/>
        <v>0</v>
      </c>
      <c r="S113" s="2"/>
      <c r="T113" s="6">
        <v>8324</v>
      </c>
      <c r="U113" s="2"/>
      <c r="V113" s="7">
        <f t="shared" si="75"/>
        <v>1.8336954536733057E-3</v>
      </c>
      <c r="W113" s="2"/>
      <c r="X113" s="6">
        <f t="shared" si="76"/>
        <v>-8324</v>
      </c>
      <c r="Y113" s="2"/>
      <c r="Z113" s="7">
        <f t="shared" si="77"/>
        <v>-1</v>
      </c>
    </row>
    <row r="114" spans="1:26" s="24" customFormat="1" hidden="1" outlineLevel="2" x14ac:dyDescent="0.3">
      <c r="A114" s="27"/>
      <c r="B114" s="11" t="str">
        <f>CONCATENATE("          ", "6253", " - ", "ROYALTY DUE ATHLETICS-LRG")</f>
        <v xml:space="preserve">          6253 - ROYALTY DUE ATHLETICS-LRG</v>
      </c>
      <c r="C114" s="11"/>
      <c r="D114" s="6"/>
      <c r="E114" s="2"/>
      <c r="F114" s="7">
        <f t="shared" si="70"/>
        <v>0</v>
      </c>
      <c r="G114" s="2"/>
      <c r="H114" s="6">
        <v>0</v>
      </c>
      <c r="I114" s="2"/>
      <c r="J114" s="7">
        <f t="shared" si="71"/>
        <v>0</v>
      </c>
      <c r="K114" s="2"/>
      <c r="L114" s="6">
        <f t="shared" si="72"/>
        <v>0</v>
      </c>
      <c r="M114" s="2"/>
      <c r="N114" s="7">
        <f t="shared" si="73"/>
        <v>0</v>
      </c>
      <c r="O114" s="11"/>
      <c r="P114" s="6">
        <v>23160.29</v>
      </c>
      <c r="Q114" s="2"/>
      <c r="R114" s="7">
        <f t="shared" si="74"/>
        <v>7.3224682144124014E-3</v>
      </c>
      <c r="S114" s="2"/>
      <c r="T114" s="6">
        <v>16162</v>
      </c>
      <c r="U114" s="2"/>
      <c r="V114" s="7">
        <f t="shared" si="75"/>
        <v>3.5603298801379106E-3</v>
      </c>
      <c r="W114" s="2"/>
      <c r="X114" s="6">
        <f t="shared" si="76"/>
        <v>6998.2900000000009</v>
      </c>
      <c r="Y114" s="2"/>
      <c r="Z114" s="7">
        <f t="shared" si="77"/>
        <v>0.43300890978839257</v>
      </c>
    </row>
    <row r="115" spans="1:26" s="24" customFormat="1" hidden="1" outlineLevel="2" x14ac:dyDescent="0.3">
      <c r="A115" s="27"/>
      <c r="B115" s="11" t="str">
        <f>CONCATENATE("          ", "6254", " - ", "ROYALTY &amp; COMMISSIONS")</f>
        <v xml:space="preserve">          6254 - ROYALTY &amp; COMMISSIONS</v>
      </c>
      <c r="C115" s="11"/>
      <c r="D115" s="6"/>
      <c r="E115" s="2"/>
      <c r="F115" s="7">
        <f t="shared" si="70"/>
        <v>0</v>
      </c>
      <c r="G115" s="2"/>
      <c r="H115" s="6">
        <v>0</v>
      </c>
      <c r="I115" s="2"/>
      <c r="J115" s="7">
        <f t="shared" si="71"/>
        <v>0</v>
      </c>
      <c r="K115" s="2"/>
      <c r="L115" s="6">
        <f t="shared" si="72"/>
        <v>0</v>
      </c>
      <c r="M115" s="2"/>
      <c r="N115" s="7">
        <f t="shared" si="73"/>
        <v>0</v>
      </c>
      <c r="O115" s="11"/>
      <c r="P115" s="6">
        <v>-7027.5</v>
      </c>
      <c r="Q115" s="2"/>
      <c r="R115" s="7">
        <f t="shared" si="74"/>
        <v>-2.2218480587584675E-3</v>
      </c>
      <c r="S115" s="2"/>
      <c r="T115" s="6">
        <v>0</v>
      </c>
      <c r="U115" s="2"/>
      <c r="V115" s="7">
        <f t="shared" si="75"/>
        <v>0</v>
      </c>
      <c r="W115" s="2"/>
      <c r="X115" s="6">
        <f t="shared" si="76"/>
        <v>-7027.5</v>
      </c>
      <c r="Y115" s="2"/>
      <c r="Z115" s="7">
        <f t="shared" si="77"/>
        <v>0</v>
      </c>
    </row>
    <row r="116" spans="1:26" s="24" customFormat="1" hidden="1" outlineLevel="2" x14ac:dyDescent="0.3">
      <c r="A116" s="27"/>
      <c r="B116" s="11" t="str">
        <f>CONCATENATE("          ", "6259", " - ", "ROYALTY &amp; COMMISSIONS")</f>
        <v xml:space="preserve">          6259 - ROYALTY &amp; COMMISSIONS</v>
      </c>
      <c r="C116" s="11"/>
      <c r="D116" s="6">
        <v>784.77</v>
      </c>
      <c r="E116" s="2"/>
      <c r="F116" s="7">
        <f t="shared" si="70"/>
        <v>2.6625977035641892E-3</v>
      </c>
      <c r="G116" s="2"/>
      <c r="H116" s="6">
        <v>6000</v>
      </c>
      <c r="I116" s="2"/>
      <c r="J116" s="7">
        <f t="shared" si="71"/>
        <v>2.248959856066569E-2</v>
      </c>
      <c r="K116" s="2"/>
      <c r="L116" s="6">
        <f t="shared" si="72"/>
        <v>-5215.2299999999996</v>
      </c>
      <c r="M116" s="2"/>
      <c r="N116" s="7">
        <f t="shared" si="73"/>
        <v>-0.86920499999999989</v>
      </c>
      <c r="O116" s="11"/>
      <c r="P116" s="6">
        <v>4492.91</v>
      </c>
      <c r="Q116" s="2"/>
      <c r="R116" s="7">
        <f t="shared" si="74"/>
        <v>1.4204999447422989E-3</v>
      </c>
      <c r="S116" s="2"/>
      <c r="T116" s="6">
        <v>15700</v>
      </c>
      <c r="U116" s="2"/>
      <c r="V116" s="7">
        <f t="shared" si="75"/>
        <v>3.4585558172358119E-3</v>
      </c>
      <c r="W116" s="2"/>
      <c r="X116" s="6">
        <f t="shared" si="76"/>
        <v>-11207.09</v>
      </c>
      <c r="Y116" s="2"/>
      <c r="Z116" s="7">
        <f t="shared" si="77"/>
        <v>-0.7138273885350318</v>
      </c>
    </row>
    <row r="117" spans="1:26" s="29" customFormat="1" outlineLevel="1" collapsed="1" x14ac:dyDescent="0.3">
      <c r="A117" s="28"/>
      <c r="B117" s="14" t="str">
        <f>CONCATENATE("     ","Services                                          ")</f>
        <v xml:space="preserve">     Services                                          </v>
      </c>
      <c r="C117" s="14"/>
      <c r="D117" s="1">
        <f>SUM(OSRRefD22_18x_0)</f>
        <v>4500.9799999999996</v>
      </c>
      <c r="E117" s="1"/>
      <c r="F117" s="5">
        <f t="shared" ref="F117:F120" si="78">IF(D$12=0,0,D117/D$12)</f>
        <v>1.527109727918797E-2</v>
      </c>
      <c r="G117" s="1"/>
      <c r="H117" s="1">
        <f>SUM(OSRRefH22_18x_0)</f>
        <v>4360</v>
      </c>
      <c r="I117" s="1"/>
      <c r="J117" s="5">
        <f t="shared" ref="J117:J120" si="79">IF(H$12=0,0,H117/H$12)</f>
        <v>1.6342441620750402E-2</v>
      </c>
      <c r="K117" s="1"/>
      <c r="L117" s="1">
        <f t="shared" ref="L117:L120" si="80">+D117-H117</f>
        <v>140.97999999999956</v>
      </c>
      <c r="M117" s="1"/>
      <c r="N117" s="5">
        <f t="shared" ref="N117:N120" si="81">IF(H117=0,0,L117/H117)</f>
        <v>3.2334862385321003E-2</v>
      </c>
      <c r="O117" s="14"/>
      <c r="P117" s="1">
        <f>SUM(OSRRefP22_18x_0)</f>
        <v>30963.579999999998</v>
      </c>
      <c r="Q117" s="1"/>
      <c r="R117" s="5">
        <f t="shared" ref="R117:R120" si="82">IF(P$12=0,0,P117/P$12)</f>
        <v>9.7895937552774821E-3</v>
      </c>
      <c r="S117" s="1"/>
      <c r="T117" s="1">
        <f>SUM(OSRRefT22_18x_0)</f>
        <v>21860</v>
      </c>
      <c r="U117" s="1"/>
      <c r="V117" s="5">
        <f t="shared" ref="V117:V120" si="83">IF(T$12=0,0,T117/T$12)</f>
        <v>4.8155433225971246E-3</v>
      </c>
      <c r="W117" s="1"/>
      <c r="X117" s="1">
        <f t="shared" ref="X117:X120" si="84">+P117-T117</f>
        <v>9103.5799999999981</v>
      </c>
      <c r="Y117" s="1"/>
      <c r="Z117" s="5">
        <f t="shared" ref="Z117:Z120" si="85">IF(T117=0,0,X117/T117)</f>
        <v>0.41644922232387915</v>
      </c>
    </row>
    <row r="118" spans="1:26" s="24" customFormat="1" hidden="1" outlineLevel="2" x14ac:dyDescent="0.3">
      <c r="A118" s="27"/>
      <c r="B118" s="11" t="str">
        <f>CONCATENATE("          ", "6282", " - ", "JANITORIAL/EXTERMINATOR EXPENS")</f>
        <v xml:space="preserve">          6282 - JANITORIAL/EXTERMINATOR EXPENS</v>
      </c>
      <c r="C118" s="11"/>
      <c r="D118" s="6">
        <v>129</v>
      </c>
      <c r="E118" s="2"/>
      <c r="F118" s="7">
        <f t="shared" si="78"/>
        <v>4.3767613919974056E-4</v>
      </c>
      <c r="G118" s="2"/>
      <c r="H118" s="6">
        <v>4300</v>
      </c>
      <c r="I118" s="2"/>
      <c r="J118" s="7">
        <f t="shared" si="79"/>
        <v>1.6117545635143747E-2</v>
      </c>
      <c r="K118" s="2"/>
      <c r="L118" s="6">
        <f t="shared" si="80"/>
        <v>-4171</v>
      </c>
      <c r="M118" s="2"/>
      <c r="N118" s="7">
        <f t="shared" si="81"/>
        <v>-0.97</v>
      </c>
      <c r="O118" s="11"/>
      <c r="P118" s="6">
        <v>1857.68</v>
      </c>
      <c r="Q118" s="2"/>
      <c r="R118" s="7">
        <f t="shared" si="82"/>
        <v>5.8733300630301388E-4</v>
      </c>
      <c r="S118" s="2"/>
      <c r="T118" s="6">
        <v>21500</v>
      </c>
      <c r="U118" s="2"/>
      <c r="V118" s="7">
        <f t="shared" si="83"/>
        <v>4.7362388579980869E-3</v>
      </c>
      <c r="W118" s="2"/>
      <c r="X118" s="6">
        <f t="shared" si="84"/>
        <v>-19642.32</v>
      </c>
      <c r="Y118" s="2"/>
      <c r="Z118" s="7">
        <f t="shared" si="85"/>
        <v>-0.91359627906976748</v>
      </c>
    </row>
    <row r="119" spans="1:26" s="24" customFormat="1" hidden="1" outlineLevel="2" x14ac:dyDescent="0.3">
      <c r="A119" s="27"/>
      <c r="B119" s="11" t="str">
        <f>CONCATENATE("          ", "6284", " - ", "TRASH REMOVAL EXPENSE")</f>
        <v xml:space="preserve">          6284 - TRASH REMOVAL EXPENSE</v>
      </c>
      <c r="C119" s="11"/>
      <c r="D119" s="6">
        <v>149.69999999999999</v>
      </c>
      <c r="E119" s="2"/>
      <c r="F119" s="7">
        <f t="shared" si="78"/>
        <v>5.0790789176900124E-4</v>
      </c>
      <c r="G119" s="2"/>
      <c r="H119" s="6">
        <v>60</v>
      </c>
      <c r="I119" s="2"/>
      <c r="J119" s="7">
        <f t="shared" si="79"/>
        <v>2.2489598560665691E-4</v>
      </c>
      <c r="K119" s="2"/>
      <c r="L119" s="6">
        <f t="shared" si="80"/>
        <v>89.699999999999989</v>
      </c>
      <c r="M119" s="2"/>
      <c r="N119" s="7">
        <f t="shared" si="81"/>
        <v>1.4949999999999999</v>
      </c>
      <c r="O119" s="11"/>
      <c r="P119" s="6">
        <v>741.37</v>
      </c>
      <c r="Q119" s="2"/>
      <c r="R119" s="7">
        <f t="shared" si="82"/>
        <v>2.3439509004934402E-4</v>
      </c>
      <c r="S119" s="2"/>
      <c r="T119" s="6">
        <v>360</v>
      </c>
      <c r="U119" s="2"/>
      <c r="V119" s="7">
        <f t="shared" si="83"/>
        <v>7.9304464599037734E-5</v>
      </c>
      <c r="W119" s="2"/>
      <c r="X119" s="6">
        <f t="shared" si="84"/>
        <v>381.37</v>
      </c>
      <c r="Y119" s="2"/>
      <c r="Z119" s="7">
        <f t="shared" si="85"/>
        <v>1.0593611111111112</v>
      </c>
    </row>
    <row r="120" spans="1:26" s="24" customFormat="1" hidden="1" outlineLevel="2" x14ac:dyDescent="0.3">
      <c r="A120" s="27"/>
      <c r="B120" s="11" t="str">
        <f>CONCATENATE("          ", "6285", " - ", "JANITORIAL SERVICES")</f>
        <v xml:space="preserve">          6285 - JANITORIAL SERVICES</v>
      </c>
      <c r="C120" s="11"/>
      <c r="D120" s="6">
        <v>4222.28</v>
      </c>
      <c r="E120" s="2"/>
      <c r="F120" s="7">
        <f t="shared" si="78"/>
        <v>1.432551324821923E-2</v>
      </c>
      <c r="G120" s="2"/>
      <c r="H120" s="6"/>
      <c r="I120" s="2"/>
      <c r="J120" s="7">
        <f t="shared" si="79"/>
        <v>0</v>
      </c>
      <c r="K120" s="2"/>
      <c r="L120" s="6">
        <f t="shared" si="80"/>
        <v>4222.28</v>
      </c>
      <c r="M120" s="2"/>
      <c r="N120" s="7">
        <f t="shared" si="81"/>
        <v>0</v>
      </c>
      <c r="O120" s="11"/>
      <c r="P120" s="6">
        <v>28364.53</v>
      </c>
      <c r="Q120" s="2"/>
      <c r="R120" s="7">
        <f t="shared" si="82"/>
        <v>8.9678656589251247E-3</v>
      </c>
      <c r="S120" s="2"/>
      <c r="T120" s="6"/>
      <c r="U120" s="2"/>
      <c r="V120" s="7">
        <f t="shared" si="83"/>
        <v>0</v>
      </c>
      <c r="W120" s="2"/>
      <c r="X120" s="6">
        <f t="shared" si="84"/>
        <v>28364.53</v>
      </c>
      <c r="Y120" s="2"/>
      <c r="Z120" s="7">
        <f t="shared" si="85"/>
        <v>0</v>
      </c>
    </row>
    <row r="121" spans="1:26" s="29" customFormat="1" outlineLevel="1" collapsed="1" x14ac:dyDescent="0.3">
      <c r="A121" s="28"/>
      <c r="B121" s="14" t="str">
        <f>CONCATENATE("     ","Subscriptions &amp; Dues                              ")</f>
        <v xml:space="preserve">     Subscriptions &amp; Dues                              </v>
      </c>
      <c r="C121" s="14"/>
      <c r="D121" s="1">
        <f>SUM(OSRRefD22_19x_0)</f>
        <v>148.66</v>
      </c>
      <c r="E121" s="1"/>
      <c r="F121" s="5">
        <f t="shared" ref="F121:F123" si="86">IF(D$12=0,0,D121/D$12)</f>
        <v>5.0437933994909644E-4</v>
      </c>
      <c r="G121" s="1"/>
      <c r="H121" s="1">
        <f>SUM(OSRRefH22_19x_0)</f>
        <v>381</v>
      </c>
      <c r="I121" s="1"/>
      <c r="J121" s="5">
        <f t="shared" ref="J121:J123" si="87">IF(H$12=0,0,H121/H$12)</f>
        <v>1.4280895086022714E-3</v>
      </c>
      <c r="K121" s="1"/>
      <c r="L121" s="1">
        <f t="shared" ref="L121:L123" si="88">+D121-H121</f>
        <v>-232.34</v>
      </c>
      <c r="M121" s="1"/>
      <c r="N121" s="5">
        <f t="shared" ref="N121:N123" si="89">IF(H121=0,0,L121/H121)</f>
        <v>-0.60981627296587926</v>
      </c>
      <c r="O121" s="14"/>
      <c r="P121" s="1">
        <f>SUM(OSRRefP22_19x_0)</f>
        <v>1105.5</v>
      </c>
      <c r="Q121" s="1"/>
      <c r="R121" s="5">
        <f t="shared" ref="R121:R123" si="90">IF(P$12=0,0,P121/P$12)</f>
        <v>3.4952017487833309E-4</v>
      </c>
      <c r="S121" s="1"/>
      <c r="T121" s="1">
        <f>SUM(OSRRefT22_19x_0)</f>
        <v>5260</v>
      </c>
      <c r="U121" s="1"/>
      <c r="V121" s="5">
        <f t="shared" ref="V121:V123" si="91">IF(T$12=0,0,T121/T$12)</f>
        <v>1.158726343863718E-3</v>
      </c>
      <c r="W121" s="1"/>
      <c r="X121" s="1">
        <f t="shared" ref="X121:X123" si="92">+P121-T121</f>
        <v>-4154.5</v>
      </c>
      <c r="Y121" s="1"/>
      <c r="Z121" s="5">
        <f t="shared" ref="Z121:Z123" si="93">IF(T121=0,0,X121/T121)</f>
        <v>-0.789828897338403</v>
      </c>
    </row>
    <row r="122" spans="1:26" s="24" customFormat="1" hidden="1" outlineLevel="2" x14ac:dyDescent="0.3">
      <c r="A122" s="27"/>
      <c r="B122" s="11" t="str">
        <f>CONCATENATE("          ", "6258", " - ", "MEMBERSHIP DUES")</f>
        <v xml:space="preserve">          6258 - MEMBERSHIP DUES</v>
      </c>
      <c r="C122" s="11"/>
      <c r="D122" s="6">
        <v>148.66</v>
      </c>
      <c r="E122" s="2"/>
      <c r="F122" s="7">
        <f t="shared" si="86"/>
        <v>5.0437933994909644E-4</v>
      </c>
      <c r="G122" s="2"/>
      <c r="H122" s="6">
        <v>300</v>
      </c>
      <c r="I122" s="2"/>
      <c r="J122" s="7">
        <f t="shared" si="87"/>
        <v>1.1244799280332846E-3</v>
      </c>
      <c r="K122" s="2"/>
      <c r="L122" s="6">
        <f t="shared" si="88"/>
        <v>-151.34</v>
      </c>
      <c r="M122" s="2"/>
      <c r="N122" s="7">
        <f t="shared" si="89"/>
        <v>-0.50446666666666673</v>
      </c>
      <c r="O122" s="11"/>
      <c r="P122" s="6">
        <v>1105.5</v>
      </c>
      <c r="Q122" s="2"/>
      <c r="R122" s="7">
        <f t="shared" si="90"/>
        <v>3.4952017487833309E-4</v>
      </c>
      <c r="S122" s="2"/>
      <c r="T122" s="6">
        <v>4895</v>
      </c>
      <c r="U122" s="2"/>
      <c r="V122" s="7">
        <f t="shared" si="91"/>
        <v>1.0783204283674713E-3</v>
      </c>
      <c r="W122" s="2"/>
      <c r="X122" s="6">
        <f t="shared" si="92"/>
        <v>-3789.5</v>
      </c>
      <c r="Y122" s="2"/>
      <c r="Z122" s="7">
        <f t="shared" si="93"/>
        <v>-0.77415730337078648</v>
      </c>
    </row>
    <row r="123" spans="1:26" s="24" customFormat="1" hidden="1" outlineLevel="2" x14ac:dyDescent="0.3">
      <c r="A123" s="27"/>
      <c r="B123" s="11" t="str">
        <f>CONCATENATE("          ", "6275", " - ", "SUBSCRIPTIONS")</f>
        <v xml:space="preserve">          6275 - SUBSCRIPTIONS</v>
      </c>
      <c r="C123" s="11"/>
      <c r="D123" s="6"/>
      <c r="E123" s="2"/>
      <c r="F123" s="7">
        <f t="shared" si="86"/>
        <v>0</v>
      </c>
      <c r="G123" s="2"/>
      <c r="H123" s="6">
        <v>81</v>
      </c>
      <c r="I123" s="2"/>
      <c r="J123" s="7">
        <f t="shared" si="87"/>
        <v>3.0360958056898686E-4</v>
      </c>
      <c r="K123" s="2"/>
      <c r="L123" s="6">
        <f t="shared" si="88"/>
        <v>-81</v>
      </c>
      <c r="M123" s="2"/>
      <c r="N123" s="7">
        <f t="shared" si="89"/>
        <v>-1</v>
      </c>
      <c r="O123" s="11"/>
      <c r="P123" s="6"/>
      <c r="Q123" s="2"/>
      <c r="R123" s="7">
        <f t="shared" si="90"/>
        <v>0</v>
      </c>
      <c r="S123" s="2"/>
      <c r="T123" s="6">
        <v>365</v>
      </c>
      <c r="U123" s="2"/>
      <c r="V123" s="7">
        <f t="shared" si="91"/>
        <v>8.0405915496246588E-5</v>
      </c>
      <c r="W123" s="2"/>
      <c r="X123" s="6">
        <f t="shared" si="92"/>
        <v>-365</v>
      </c>
      <c r="Y123" s="2"/>
      <c r="Z123" s="7">
        <f t="shared" si="93"/>
        <v>-1</v>
      </c>
    </row>
    <row r="124" spans="1:26" s="29" customFormat="1" outlineLevel="1" collapsed="1" x14ac:dyDescent="0.3">
      <c r="A124" s="28"/>
      <c r="B124" s="14" t="str">
        <f>CONCATENATE("     ","Supplies                                          ")</f>
        <v xml:space="preserve">     Supplies                                          </v>
      </c>
      <c r="C124" s="14"/>
      <c r="D124" s="1">
        <f>SUM(OSRRefD22_20x_0)</f>
        <v>6905.02</v>
      </c>
      <c r="E124" s="1"/>
      <c r="F124" s="5">
        <f t="shared" ref="F124:F131" si="94">IF(D$12=0,0,D124/D$12)</f>
        <v>2.3427616237961187E-2</v>
      </c>
      <c r="G124" s="1"/>
      <c r="H124" s="1">
        <f>SUM(OSRRefH22_20x_0)</f>
        <v>8060</v>
      </c>
      <c r="I124" s="1"/>
      <c r="J124" s="5">
        <f t="shared" ref="J124:J131" si="95">IF(H$12=0,0,H124/H$12)</f>
        <v>3.0211027399827579E-2</v>
      </c>
      <c r="K124" s="1"/>
      <c r="L124" s="1">
        <f t="shared" ref="L124:L131" si="96">+D124-H124</f>
        <v>-1154.9799999999996</v>
      </c>
      <c r="M124" s="1"/>
      <c r="N124" s="5">
        <f t="shared" ref="N124:N131" si="97">IF(H124=0,0,L124/H124)</f>
        <v>-0.14329776674937961</v>
      </c>
      <c r="O124" s="14"/>
      <c r="P124" s="1">
        <f>SUM(OSRRefP22_20x_0)</f>
        <v>46736.509999999995</v>
      </c>
      <c r="Q124" s="1"/>
      <c r="R124" s="5">
        <f t="shared" ref="R124:R131" si="98">IF(P$12=0,0,P124/P$12)</f>
        <v>1.4776438849753923E-2</v>
      </c>
      <c r="S124" s="1"/>
      <c r="T124" s="1">
        <f>SUM(OSRRefT22_20x_0)</f>
        <v>51830</v>
      </c>
      <c r="U124" s="1"/>
      <c r="V124" s="5">
        <f t="shared" ref="V124:V131" si="99">IF(T$12=0,0,T124/T$12)</f>
        <v>1.1417640000467015E-2</v>
      </c>
      <c r="W124" s="1"/>
      <c r="X124" s="1">
        <f t="shared" ref="X124:X131" si="100">+P124-T124</f>
        <v>-5093.4900000000052</v>
      </c>
      <c r="Y124" s="1"/>
      <c r="Z124" s="5">
        <f t="shared" ref="Z124:Z131" si="101">IF(T124=0,0,X124/T124)</f>
        <v>-9.8273007910476662E-2</v>
      </c>
    </row>
    <row r="125" spans="1:26" s="24" customFormat="1" hidden="1" outlineLevel="2" x14ac:dyDescent="0.3">
      <c r="A125" s="27"/>
      <c r="B125" s="11" t="str">
        <f>CONCATENATE("          ", "6234", " - ", "EXPENDABLE SUPPLIES &amp; EQUIPMEN")</f>
        <v xml:space="preserve">          6234 - EXPENDABLE SUPPLIES &amp; EQUIPMEN</v>
      </c>
      <c r="C125" s="11"/>
      <c r="D125" s="6">
        <v>2747.16</v>
      </c>
      <c r="E125" s="2"/>
      <c r="F125" s="7">
        <f t="shared" si="94"/>
        <v>9.3206696322787538E-3</v>
      </c>
      <c r="G125" s="2"/>
      <c r="H125" s="6">
        <v>300</v>
      </c>
      <c r="I125" s="2"/>
      <c r="J125" s="7">
        <f t="shared" si="95"/>
        <v>1.1244799280332846E-3</v>
      </c>
      <c r="K125" s="2"/>
      <c r="L125" s="6">
        <f t="shared" si="96"/>
        <v>2447.16</v>
      </c>
      <c r="M125" s="2"/>
      <c r="N125" s="7">
        <f t="shared" si="97"/>
        <v>8.1571999999999996</v>
      </c>
      <c r="O125" s="11"/>
      <c r="P125" s="6">
        <v>5289.57</v>
      </c>
      <c r="Q125" s="2"/>
      <c r="R125" s="7">
        <f t="shared" si="98"/>
        <v>1.6723757860074033E-3</v>
      </c>
      <c r="S125" s="2"/>
      <c r="T125" s="6">
        <v>900</v>
      </c>
      <c r="U125" s="2"/>
      <c r="V125" s="7">
        <f t="shared" si="99"/>
        <v>1.9826116149759433E-4</v>
      </c>
      <c r="W125" s="2"/>
      <c r="X125" s="6">
        <f t="shared" si="100"/>
        <v>4389.57</v>
      </c>
      <c r="Y125" s="2"/>
      <c r="Z125" s="7">
        <f t="shared" si="101"/>
        <v>4.8773</v>
      </c>
    </row>
    <row r="126" spans="1:26" s="24" customFormat="1" hidden="1" outlineLevel="2" x14ac:dyDescent="0.3">
      <c r="A126" s="27"/>
      <c r="B126" s="11" t="str">
        <f>CONCATENATE("          ", "6235", " - ", "COVID-19 EXPENSES")</f>
        <v xml:space="preserve">          6235 - COVID-19 EXPENSES</v>
      </c>
      <c r="C126" s="11"/>
      <c r="D126" s="6"/>
      <c r="E126" s="2"/>
      <c r="F126" s="7">
        <f t="shared" si="94"/>
        <v>0</v>
      </c>
      <c r="G126" s="2"/>
      <c r="H126" s="6">
        <v>125</v>
      </c>
      <c r="I126" s="2"/>
      <c r="J126" s="7">
        <f t="shared" si="95"/>
        <v>4.6853330334720194E-4</v>
      </c>
      <c r="K126" s="2"/>
      <c r="L126" s="6">
        <f t="shared" si="96"/>
        <v>-125</v>
      </c>
      <c r="M126" s="2"/>
      <c r="N126" s="7">
        <f t="shared" si="97"/>
        <v>-1</v>
      </c>
      <c r="O126" s="11"/>
      <c r="P126" s="6">
        <v>3430.32</v>
      </c>
      <c r="Q126" s="2"/>
      <c r="R126" s="7">
        <f t="shared" si="98"/>
        <v>1.0845464009847522E-3</v>
      </c>
      <c r="S126" s="2"/>
      <c r="T126" s="6">
        <v>625</v>
      </c>
      <c r="U126" s="2"/>
      <c r="V126" s="7">
        <f t="shared" si="99"/>
        <v>1.3768136215110716E-4</v>
      </c>
      <c r="W126" s="2"/>
      <c r="X126" s="6">
        <f t="shared" si="100"/>
        <v>2805.32</v>
      </c>
      <c r="Y126" s="2"/>
      <c r="Z126" s="7">
        <f t="shared" si="101"/>
        <v>4.4885120000000001</v>
      </c>
    </row>
    <row r="127" spans="1:26" s="24" customFormat="1" hidden="1" outlineLevel="2" x14ac:dyDescent="0.3">
      <c r="A127" s="27"/>
      <c r="B127" s="11" t="str">
        <f>CONCATENATE("          ", "6237", " - ", "JANITORIAL SUPPLIES")</f>
        <v xml:space="preserve">          6237 - JANITORIAL SUPPLIES</v>
      </c>
      <c r="C127" s="11"/>
      <c r="D127" s="6">
        <v>489.67</v>
      </c>
      <c r="E127" s="2"/>
      <c r="F127" s="7">
        <f t="shared" si="94"/>
        <v>1.6613711246661782E-3</v>
      </c>
      <c r="G127" s="2"/>
      <c r="H127" s="6">
        <v>10</v>
      </c>
      <c r="I127" s="2"/>
      <c r="J127" s="7">
        <f t="shared" si="95"/>
        <v>3.7482664267776152E-5</v>
      </c>
      <c r="K127" s="2"/>
      <c r="L127" s="6">
        <f t="shared" si="96"/>
        <v>479.67</v>
      </c>
      <c r="M127" s="2"/>
      <c r="N127" s="7">
        <f t="shared" si="97"/>
        <v>47.966999999999999</v>
      </c>
      <c r="O127" s="11"/>
      <c r="P127" s="6">
        <v>3866.14</v>
      </c>
      <c r="Q127" s="2"/>
      <c r="R127" s="7">
        <f t="shared" si="98"/>
        <v>1.2223373395785786E-3</v>
      </c>
      <c r="S127" s="2"/>
      <c r="T127" s="6">
        <v>90</v>
      </c>
      <c r="U127" s="2"/>
      <c r="V127" s="7">
        <f t="shared" si="99"/>
        <v>1.9826116149759433E-5</v>
      </c>
      <c r="W127" s="2"/>
      <c r="X127" s="6">
        <f t="shared" si="100"/>
        <v>3776.14</v>
      </c>
      <c r="Y127" s="2"/>
      <c r="Z127" s="7">
        <f t="shared" si="101"/>
        <v>41.957111111111111</v>
      </c>
    </row>
    <row r="128" spans="1:26" s="24" customFormat="1" hidden="1" outlineLevel="2" x14ac:dyDescent="0.3">
      <c r="A128" s="27"/>
      <c r="B128" s="11" t="str">
        <f>CONCATENATE("          ", "6241", " - ", "OFFICE EXPENSE")</f>
        <v xml:space="preserve">          6241 - OFFICE EXPENSE</v>
      </c>
      <c r="C128" s="11"/>
      <c r="D128" s="6">
        <v>512.19000000000005</v>
      </c>
      <c r="E128" s="2"/>
      <c r="F128" s="7">
        <f t="shared" si="94"/>
        <v>1.7377778429202725E-3</v>
      </c>
      <c r="G128" s="2"/>
      <c r="H128" s="6">
        <v>470</v>
      </c>
      <c r="I128" s="2"/>
      <c r="J128" s="7">
        <f t="shared" si="95"/>
        <v>1.7616852205854792E-3</v>
      </c>
      <c r="K128" s="2"/>
      <c r="L128" s="6">
        <f t="shared" si="96"/>
        <v>42.190000000000055</v>
      </c>
      <c r="M128" s="2"/>
      <c r="N128" s="7">
        <f t="shared" si="97"/>
        <v>8.9765957446808625E-2</v>
      </c>
      <c r="O128" s="11"/>
      <c r="P128" s="6">
        <v>7541.41</v>
      </c>
      <c r="Q128" s="2"/>
      <c r="R128" s="7">
        <f t="shared" si="98"/>
        <v>2.3843283057704296E-3</v>
      </c>
      <c r="S128" s="2"/>
      <c r="T128" s="6">
        <v>2650</v>
      </c>
      <c r="U128" s="2"/>
      <c r="V128" s="7">
        <f t="shared" si="99"/>
        <v>5.8376897552069441E-4</v>
      </c>
      <c r="W128" s="2"/>
      <c r="X128" s="6">
        <f t="shared" si="100"/>
        <v>4891.41</v>
      </c>
      <c r="Y128" s="2"/>
      <c r="Z128" s="7">
        <f t="shared" si="101"/>
        <v>1.8458150943396225</v>
      </c>
    </row>
    <row r="129" spans="1:26" s="24" customFormat="1" hidden="1" outlineLevel="2" x14ac:dyDescent="0.3">
      <c r="A129" s="27"/>
      <c r="B129" s="11" t="str">
        <f>CONCATENATE("          ", "6243", " - ", "PAPER SUPPLIES")</f>
        <v xml:space="preserve">          6243 - PAPER SUPPLIES</v>
      </c>
      <c r="C129" s="11"/>
      <c r="D129" s="6">
        <v>284.11</v>
      </c>
      <c r="E129" s="2"/>
      <c r="F129" s="7">
        <f t="shared" si="94"/>
        <v>9.6393928610882405E-4</v>
      </c>
      <c r="G129" s="2"/>
      <c r="H129" s="6">
        <v>1600</v>
      </c>
      <c r="I129" s="2"/>
      <c r="J129" s="7">
        <f t="shared" si="95"/>
        <v>5.9972262828441843E-3</v>
      </c>
      <c r="K129" s="2"/>
      <c r="L129" s="6">
        <f t="shared" si="96"/>
        <v>-1315.8899999999999</v>
      </c>
      <c r="M129" s="2"/>
      <c r="N129" s="7">
        <f t="shared" si="97"/>
        <v>-0.82243124999999995</v>
      </c>
      <c r="O129" s="11"/>
      <c r="P129" s="6">
        <v>4470.8999999999996</v>
      </c>
      <c r="Q129" s="2"/>
      <c r="R129" s="7">
        <f t="shared" si="98"/>
        <v>1.4135411577236899E-3</v>
      </c>
      <c r="S129" s="2"/>
      <c r="T129" s="6">
        <v>17700</v>
      </c>
      <c r="U129" s="2"/>
      <c r="V129" s="7">
        <f t="shared" si="99"/>
        <v>3.8991361761193549E-3</v>
      </c>
      <c r="W129" s="2"/>
      <c r="X129" s="6">
        <f t="shared" si="100"/>
        <v>-13229.1</v>
      </c>
      <c r="Y129" s="2"/>
      <c r="Z129" s="7">
        <f t="shared" si="101"/>
        <v>-0.74740677966101698</v>
      </c>
    </row>
    <row r="130" spans="1:26" s="24" customFormat="1" hidden="1" outlineLevel="2" x14ac:dyDescent="0.3">
      <c r="A130" s="27"/>
      <c r="B130" s="11" t="str">
        <f>CONCATENATE("          ", "6245", " - ", "PRINTING")</f>
        <v xml:space="preserve">          6245 - PRINTING</v>
      </c>
      <c r="C130" s="11"/>
      <c r="D130" s="6">
        <v>1092.56</v>
      </c>
      <c r="E130" s="2"/>
      <c r="F130" s="7">
        <f t="shared" si="94"/>
        <v>3.7068794003416168E-3</v>
      </c>
      <c r="G130" s="2"/>
      <c r="H130" s="6">
        <v>80</v>
      </c>
      <c r="I130" s="2"/>
      <c r="J130" s="7">
        <f t="shared" si="95"/>
        <v>2.9986131414220922E-4</v>
      </c>
      <c r="K130" s="2"/>
      <c r="L130" s="6">
        <f t="shared" si="96"/>
        <v>1012.56</v>
      </c>
      <c r="M130" s="2"/>
      <c r="N130" s="7">
        <f t="shared" si="97"/>
        <v>12.657</v>
      </c>
      <c r="O130" s="11"/>
      <c r="P130" s="6">
        <v>1065.49</v>
      </c>
      <c r="Q130" s="2"/>
      <c r="R130" s="7">
        <f t="shared" si="98"/>
        <v>3.368704216473226E-4</v>
      </c>
      <c r="S130" s="2"/>
      <c r="T130" s="6">
        <v>1985</v>
      </c>
      <c r="U130" s="2"/>
      <c r="V130" s="7">
        <f t="shared" si="99"/>
        <v>4.3727600619191634E-4</v>
      </c>
      <c r="W130" s="2"/>
      <c r="X130" s="6">
        <f t="shared" si="100"/>
        <v>-919.51</v>
      </c>
      <c r="Y130" s="2"/>
      <c r="Z130" s="7">
        <f t="shared" si="101"/>
        <v>-0.46322921914357684</v>
      </c>
    </row>
    <row r="131" spans="1:26" s="24" customFormat="1" hidden="1" outlineLevel="2" x14ac:dyDescent="0.3">
      <c r="A131" s="27"/>
      <c r="B131" s="11" t="str">
        <f>CONCATENATE("          ", "6247", " - ", "STORE SUPPLIES")</f>
        <v xml:space="preserve">          6247 - STORE SUPPLIES</v>
      </c>
      <c r="C131" s="11"/>
      <c r="D131" s="6">
        <v>1779.33</v>
      </c>
      <c r="E131" s="2"/>
      <c r="F131" s="7">
        <f t="shared" si="94"/>
        <v>6.0369789516455377E-3</v>
      </c>
      <c r="G131" s="2"/>
      <c r="H131" s="6">
        <v>5475</v>
      </c>
      <c r="I131" s="2"/>
      <c r="J131" s="7">
        <f t="shared" si="95"/>
        <v>2.0521758686607446E-2</v>
      </c>
      <c r="K131" s="2"/>
      <c r="L131" s="6">
        <f t="shared" si="96"/>
        <v>-3695.67</v>
      </c>
      <c r="M131" s="2"/>
      <c r="N131" s="7">
        <f t="shared" si="97"/>
        <v>-0.67500821917808218</v>
      </c>
      <c r="O131" s="11"/>
      <c r="P131" s="6">
        <v>21072.68</v>
      </c>
      <c r="Q131" s="2"/>
      <c r="R131" s="7">
        <f t="shared" si="98"/>
        <v>6.6624394380417479E-3</v>
      </c>
      <c r="S131" s="2"/>
      <c r="T131" s="6">
        <v>27880</v>
      </c>
      <c r="U131" s="2"/>
      <c r="V131" s="7">
        <f t="shared" si="99"/>
        <v>6.1416902028365887E-3</v>
      </c>
      <c r="W131" s="2"/>
      <c r="X131" s="6">
        <f t="shared" si="100"/>
        <v>-6807.32</v>
      </c>
      <c r="Y131" s="2"/>
      <c r="Z131" s="7">
        <f t="shared" si="101"/>
        <v>-0.24416499282639884</v>
      </c>
    </row>
    <row r="132" spans="1:26" s="29" customFormat="1" outlineLevel="1" collapsed="1" x14ac:dyDescent="0.3">
      <c r="A132" s="28"/>
      <c r="B132" s="14" t="str">
        <f>CONCATENATE("     ","Telephone/Data Lines                              ")</f>
        <v xml:space="preserve">     Telephone/Data Lines                              </v>
      </c>
      <c r="C132" s="14"/>
      <c r="D132" s="1">
        <f>SUM(OSRRefD22_21x_0)</f>
        <v>1871.64</v>
      </c>
      <c r="E132" s="1"/>
      <c r="F132" s="5">
        <f t="shared" ref="F132:F134" si="102">IF(D$12=0,0,D132/D$12)</f>
        <v>6.3501718540449805E-3</v>
      </c>
      <c r="G132" s="1"/>
      <c r="H132" s="1">
        <f>SUM(OSRRefH22_21x_0)</f>
        <v>1735</v>
      </c>
      <c r="I132" s="1"/>
      <c r="J132" s="5">
        <f t="shared" ref="J132:J134" si="103">IF(H$12=0,0,H132/H$12)</f>
        <v>6.5032422504591623E-3</v>
      </c>
      <c r="K132" s="1"/>
      <c r="L132" s="1">
        <f t="shared" ref="L132:L134" si="104">+D132-H132</f>
        <v>136.6400000000001</v>
      </c>
      <c r="M132" s="1"/>
      <c r="N132" s="5">
        <f t="shared" ref="N132:N134" si="105">IF(H132=0,0,L132/H132)</f>
        <v>7.8755043227665758E-2</v>
      </c>
      <c r="O132" s="14"/>
      <c r="P132" s="1">
        <f>SUM(OSRRefP22_21x_0)</f>
        <v>9493.35</v>
      </c>
      <c r="Q132" s="1"/>
      <c r="R132" s="5">
        <f t="shared" ref="R132:R134" si="106">IF(P$12=0,0,P132/P$12)</f>
        <v>3.0014630051390535E-3</v>
      </c>
      <c r="S132" s="1"/>
      <c r="T132" s="1">
        <f>SUM(OSRRefT22_21x_0)</f>
        <v>9025</v>
      </c>
      <c r="U132" s="1"/>
      <c r="V132" s="5">
        <f t="shared" ref="V132:V134" si="107">IF(T$12=0,0,T132/T$12)</f>
        <v>1.9881188694619873E-3</v>
      </c>
      <c r="W132" s="1"/>
      <c r="X132" s="1">
        <f t="shared" ref="X132:X134" si="108">+P132-T132</f>
        <v>468.35000000000036</v>
      </c>
      <c r="Y132" s="1"/>
      <c r="Z132" s="5">
        <f t="shared" ref="Z132:Z134" si="109">IF(T132=0,0,X132/T132)</f>
        <v>5.1894736842105306E-2</v>
      </c>
    </row>
    <row r="133" spans="1:26" s="24" customFormat="1" hidden="1" outlineLevel="2" x14ac:dyDescent="0.3">
      <c r="A133" s="27"/>
      <c r="B133" s="11" t="str">
        <f>CONCATENATE("          ", "6303", " - ", "DATA PHONE LINES")</f>
        <v xml:space="preserve">          6303 - DATA PHONE LINES</v>
      </c>
      <c r="C133" s="11"/>
      <c r="D133" s="6"/>
      <c r="E133" s="2"/>
      <c r="F133" s="7">
        <f t="shared" si="102"/>
        <v>0</v>
      </c>
      <c r="G133" s="2"/>
      <c r="H133" s="6">
        <v>0</v>
      </c>
      <c r="I133" s="2"/>
      <c r="J133" s="7">
        <f t="shared" si="103"/>
        <v>0</v>
      </c>
      <c r="K133" s="2"/>
      <c r="L133" s="6">
        <f t="shared" si="104"/>
        <v>0</v>
      </c>
      <c r="M133" s="2"/>
      <c r="N133" s="7">
        <f t="shared" si="105"/>
        <v>0</v>
      </c>
      <c r="O133" s="11"/>
      <c r="P133" s="6">
        <v>295</v>
      </c>
      <c r="Q133" s="2"/>
      <c r="R133" s="7">
        <f t="shared" si="106"/>
        <v>9.3268612925471067E-5</v>
      </c>
      <c r="S133" s="2"/>
      <c r="T133" s="6">
        <v>0</v>
      </c>
      <c r="U133" s="2"/>
      <c r="V133" s="7">
        <f t="shared" si="107"/>
        <v>0</v>
      </c>
      <c r="W133" s="2"/>
      <c r="X133" s="6">
        <f t="shared" si="108"/>
        <v>295</v>
      </c>
      <c r="Y133" s="2"/>
      <c r="Z133" s="7">
        <f t="shared" si="109"/>
        <v>0</v>
      </c>
    </row>
    <row r="134" spans="1:26" s="24" customFormat="1" hidden="1" outlineLevel="2" x14ac:dyDescent="0.3">
      <c r="A134" s="27"/>
      <c r="B134" s="11" t="str">
        <f>CONCATENATE("          ", "6309", " - ", "TELEPHONE")</f>
        <v xml:space="preserve">          6309 - TELEPHONE</v>
      </c>
      <c r="C134" s="11"/>
      <c r="D134" s="6">
        <v>1871.64</v>
      </c>
      <c r="E134" s="2"/>
      <c r="F134" s="7">
        <f t="shared" si="102"/>
        <v>6.3501718540449805E-3</v>
      </c>
      <c r="G134" s="2"/>
      <c r="H134" s="6">
        <v>1735</v>
      </c>
      <c r="I134" s="2"/>
      <c r="J134" s="7">
        <f t="shared" si="103"/>
        <v>6.5032422504591623E-3</v>
      </c>
      <c r="K134" s="2"/>
      <c r="L134" s="6">
        <f t="shared" si="104"/>
        <v>136.6400000000001</v>
      </c>
      <c r="M134" s="2"/>
      <c r="N134" s="7">
        <f t="shared" si="105"/>
        <v>7.8755043227665758E-2</v>
      </c>
      <c r="O134" s="11"/>
      <c r="P134" s="6">
        <v>9198.35</v>
      </c>
      <c r="Q134" s="2"/>
      <c r="R134" s="7">
        <f t="shared" si="106"/>
        <v>2.9081943922135826E-3</v>
      </c>
      <c r="S134" s="2"/>
      <c r="T134" s="6">
        <v>9025</v>
      </c>
      <c r="U134" s="2"/>
      <c r="V134" s="7">
        <f t="shared" si="107"/>
        <v>1.9881188694619873E-3</v>
      </c>
      <c r="W134" s="2"/>
      <c r="X134" s="6">
        <f t="shared" si="108"/>
        <v>173.35000000000036</v>
      </c>
      <c r="Y134" s="2"/>
      <c r="Z134" s="7">
        <f t="shared" si="109"/>
        <v>1.9207756232687022E-2</v>
      </c>
    </row>
    <row r="135" spans="1:26" s="29" customFormat="1" outlineLevel="1" collapsed="1" x14ac:dyDescent="0.3">
      <c r="A135" s="28"/>
      <c r="B135" s="14" t="str">
        <f>CONCATENATE("     ","Training                                          ")</f>
        <v xml:space="preserve">     Training                                          </v>
      </c>
      <c r="C135" s="14"/>
      <c r="D135" s="1">
        <f>SUM(OSRRefD22_22x_0)</f>
        <v>0</v>
      </c>
      <c r="E135" s="1"/>
      <c r="F135" s="5">
        <f t="shared" ref="F135:F140" si="110">IF(D$12=0,0,D135/D$12)</f>
        <v>0</v>
      </c>
      <c r="G135" s="1"/>
      <c r="H135" s="1">
        <f>SUM(OSRRefH22_22x_0)</f>
        <v>0</v>
      </c>
      <c r="I135" s="1"/>
      <c r="J135" s="5">
        <f t="shared" ref="J135:J140" si="111">IF(H$12=0,0,H135/H$12)</f>
        <v>0</v>
      </c>
      <c r="K135" s="1"/>
      <c r="L135" s="1">
        <f t="shared" ref="L135:L140" si="112">+D135-H135</f>
        <v>0</v>
      </c>
      <c r="M135" s="1"/>
      <c r="N135" s="5">
        <f t="shared" ref="N135:N140" si="113">IF(H135=0,0,L135/H135)</f>
        <v>0</v>
      </c>
      <c r="O135" s="14"/>
      <c r="P135" s="1">
        <f>SUM(OSRRefP22_22x_0)</f>
        <v>595</v>
      </c>
      <c r="Q135" s="1"/>
      <c r="R135" s="5">
        <f t="shared" ref="R135:R140" si="114">IF(P$12=0,0,P135/P$12)</f>
        <v>1.8811804979883146E-4</v>
      </c>
      <c r="S135" s="1"/>
      <c r="T135" s="1">
        <f>SUM(OSRRefT22_22x_0)</f>
        <v>0</v>
      </c>
      <c r="U135" s="1"/>
      <c r="V135" s="5">
        <f t="shared" ref="V135:V140" si="115">IF(T$12=0,0,T135/T$12)</f>
        <v>0</v>
      </c>
      <c r="W135" s="1"/>
      <c r="X135" s="1">
        <f t="shared" ref="X135:X140" si="116">+P135-T135</f>
        <v>595</v>
      </c>
      <c r="Y135" s="1"/>
      <c r="Z135" s="5">
        <f t="shared" ref="Z135:Z140" si="117">IF(T135=0,0,X135/T135)</f>
        <v>0</v>
      </c>
    </row>
    <row r="136" spans="1:26" s="24" customFormat="1" hidden="1" outlineLevel="2" x14ac:dyDescent="0.3">
      <c r="A136" s="27"/>
      <c r="B136" s="11" t="str">
        <f>CONCATENATE("          ", "6376", " - ", "TRAINING")</f>
        <v xml:space="preserve">          6376 - TRAINING</v>
      </c>
      <c r="C136" s="11"/>
      <c r="D136" s="6"/>
      <c r="E136" s="2"/>
      <c r="F136" s="7">
        <f t="shared" si="110"/>
        <v>0</v>
      </c>
      <c r="G136" s="2"/>
      <c r="H136" s="6">
        <v>0</v>
      </c>
      <c r="I136" s="2"/>
      <c r="J136" s="7">
        <f t="shared" si="111"/>
        <v>0</v>
      </c>
      <c r="K136" s="2"/>
      <c r="L136" s="6">
        <f t="shared" si="112"/>
        <v>0</v>
      </c>
      <c r="M136" s="2"/>
      <c r="N136" s="7">
        <f t="shared" si="113"/>
        <v>0</v>
      </c>
      <c r="O136" s="11"/>
      <c r="P136" s="6">
        <v>595</v>
      </c>
      <c r="Q136" s="2"/>
      <c r="R136" s="7">
        <f t="shared" si="114"/>
        <v>1.8811804979883146E-4</v>
      </c>
      <c r="S136" s="2"/>
      <c r="T136" s="6">
        <v>0</v>
      </c>
      <c r="U136" s="2"/>
      <c r="V136" s="7">
        <f t="shared" si="115"/>
        <v>0</v>
      </c>
      <c r="W136" s="2"/>
      <c r="X136" s="6">
        <f t="shared" si="116"/>
        <v>595</v>
      </c>
      <c r="Y136" s="2"/>
      <c r="Z136" s="7">
        <f t="shared" si="117"/>
        <v>0</v>
      </c>
    </row>
    <row r="137" spans="1:26" s="29" customFormat="1" outlineLevel="1" collapsed="1" x14ac:dyDescent="0.3">
      <c r="A137" s="28"/>
      <c r="B137" s="14" t="str">
        <f>CONCATENATE("     ","Travel                                            ")</f>
        <v xml:space="preserve">     Travel                                            </v>
      </c>
      <c r="C137" s="14"/>
      <c r="D137" s="1">
        <f>SUM(OSRRefD22_23x_0)</f>
        <v>97.08</v>
      </c>
      <c r="E137" s="1"/>
      <c r="F137" s="5">
        <f t="shared" si="110"/>
        <v>3.2937674103496759E-4</v>
      </c>
      <c r="G137" s="1"/>
      <c r="H137" s="1">
        <f>SUM(OSRRefH22_23x_0)</f>
        <v>250</v>
      </c>
      <c r="I137" s="1"/>
      <c r="J137" s="5">
        <f t="shared" si="111"/>
        <v>9.3706660669440388E-4</v>
      </c>
      <c r="K137" s="1"/>
      <c r="L137" s="1">
        <f t="shared" si="112"/>
        <v>-152.92000000000002</v>
      </c>
      <c r="M137" s="1"/>
      <c r="N137" s="5">
        <f t="shared" si="113"/>
        <v>-0.61168000000000011</v>
      </c>
      <c r="O137" s="14"/>
      <c r="P137" s="1">
        <f>SUM(OSRRefP22_23x_0)</f>
        <v>857.61</v>
      </c>
      <c r="Q137" s="1"/>
      <c r="R137" s="5">
        <f t="shared" si="114"/>
        <v>2.7114608518987539E-4</v>
      </c>
      <c r="S137" s="1"/>
      <c r="T137" s="1">
        <f>SUM(OSRRefT22_23x_0)</f>
        <v>950</v>
      </c>
      <c r="U137" s="1"/>
      <c r="V137" s="5">
        <f t="shared" si="115"/>
        <v>2.092756704696829E-4</v>
      </c>
      <c r="W137" s="1"/>
      <c r="X137" s="1">
        <f t="shared" si="116"/>
        <v>-92.389999999999986</v>
      </c>
      <c r="Y137" s="1"/>
      <c r="Z137" s="5">
        <f t="shared" si="117"/>
        <v>-9.7252631578947354E-2</v>
      </c>
    </row>
    <row r="138" spans="1:26" s="24" customFormat="1" hidden="1" outlineLevel="2" x14ac:dyDescent="0.3">
      <c r="A138" s="27"/>
      <c r="B138" s="11" t="str">
        <f>CONCATENATE("          ", "6292", " - ", "TRAVEL/CONFERENCE")</f>
        <v xml:space="preserve">          6292 - TRAVEL/CONFERENCE</v>
      </c>
      <c r="C138" s="11"/>
      <c r="D138" s="6"/>
      <c r="E138" s="2"/>
      <c r="F138" s="7">
        <f t="shared" si="110"/>
        <v>0</v>
      </c>
      <c r="G138" s="2"/>
      <c r="H138" s="6">
        <v>125</v>
      </c>
      <c r="I138" s="2"/>
      <c r="J138" s="7">
        <f t="shared" si="111"/>
        <v>4.6853330334720194E-4</v>
      </c>
      <c r="K138" s="2"/>
      <c r="L138" s="6">
        <f t="shared" si="112"/>
        <v>-125</v>
      </c>
      <c r="M138" s="2"/>
      <c r="N138" s="7">
        <f t="shared" si="113"/>
        <v>-1</v>
      </c>
      <c r="O138" s="11"/>
      <c r="P138" s="6">
        <v>495</v>
      </c>
      <c r="Q138" s="2"/>
      <c r="R138" s="7">
        <f t="shared" si="114"/>
        <v>1.5650157084104468E-4</v>
      </c>
      <c r="S138" s="2"/>
      <c r="T138" s="6">
        <v>625</v>
      </c>
      <c r="U138" s="2"/>
      <c r="V138" s="7">
        <f t="shared" si="115"/>
        <v>1.3768136215110716E-4</v>
      </c>
      <c r="W138" s="2"/>
      <c r="X138" s="6">
        <f t="shared" si="116"/>
        <v>-130</v>
      </c>
      <c r="Y138" s="2"/>
      <c r="Z138" s="7">
        <f t="shared" si="117"/>
        <v>-0.20799999999999999</v>
      </c>
    </row>
    <row r="139" spans="1:26" s="24" customFormat="1" hidden="1" outlineLevel="2" x14ac:dyDescent="0.3">
      <c r="A139" s="27"/>
      <c r="B139" s="11" t="str">
        <f>CONCATENATE("          ", "6294", " - ", "TRAVEL OPERATIONAL")</f>
        <v xml:space="preserve">          6294 - TRAVEL OPERATIONAL</v>
      </c>
      <c r="C139" s="11"/>
      <c r="D139" s="6"/>
      <c r="E139" s="2"/>
      <c r="F139" s="7">
        <f t="shared" si="110"/>
        <v>0</v>
      </c>
      <c r="G139" s="2"/>
      <c r="H139" s="6">
        <v>25</v>
      </c>
      <c r="I139" s="2"/>
      <c r="J139" s="7">
        <f t="shared" si="111"/>
        <v>9.370666066944038E-5</v>
      </c>
      <c r="K139" s="2"/>
      <c r="L139" s="6">
        <f t="shared" si="112"/>
        <v>-25</v>
      </c>
      <c r="M139" s="2"/>
      <c r="N139" s="7">
        <f t="shared" si="113"/>
        <v>-1</v>
      </c>
      <c r="O139" s="11"/>
      <c r="P139" s="6">
        <v>215.53</v>
      </c>
      <c r="Q139" s="2"/>
      <c r="R139" s="7">
        <f t="shared" si="114"/>
        <v>6.8142997097717895E-5</v>
      </c>
      <c r="S139" s="2"/>
      <c r="T139" s="6">
        <v>125</v>
      </c>
      <c r="U139" s="2"/>
      <c r="V139" s="7">
        <f t="shared" si="115"/>
        <v>2.7536272430221433E-5</v>
      </c>
      <c r="W139" s="2"/>
      <c r="X139" s="6">
        <f t="shared" si="116"/>
        <v>90.53</v>
      </c>
      <c r="Y139" s="2"/>
      <c r="Z139" s="7">
        <f t="shared" si="117"/>
        <v>0.72423999999999999</v>
      </c>
    </row>
    <row r="140" spans="1:26" s="24" customFormat="1" hidden="1" outlineLevel="2" x14ac:dyDescent="0.3">
      <c r="A140" s="27"/>
      <c r="B140" s="11" t="str">
        <f>CONCATENATE("          ", "6298", " - ", "VEHICLE MILEAGE")</f>
        <v xml:space="preserve">          6298 - VEHICLE MILEAGE</v>
      </c>
      <c r="C140" s="11"/>
      <c r="D140" s="6">
        <v>97.08</v>
      </c>
      <c r="E140" s="2"/>
      <c r="F140" s="7">
        <f t="shared" si="110"/>
        <v>3.2937674103496759E-4</v>
      </c>
      <c r="G140" s="2"/>
      <c r="H140" s="6">
        <v>100</v>
      </c>
      <c r="I140" s="2"/>
      <c r="J140" s="7">
        <f t="shared" si="111"/>
        <v>3.7482664267776152E-4</v>
      </c>
      <c r="K140" s="2"/>
      <c r="L140" s="6">
        <f t="shared" si="112"/>
        <v>-2.9200000000000017</v>
      </c>
      <c r="M140" s="2"/>
      <c r="N140" s="7">
        <f t="shared" si="113"/>
        <v>-2.9200000000000018E-2</v>
      </c>
      <c r="O140" s="11"/>
      <c r="P140" s="6">
        <v>147.08000000000001</v>
      </c>
      <c r="Q140" s="2"/>
      <c r="R140" s="7">
        <f t="shared" si="114"/>
        <v>4.6501517251112833E-5</v>
      </c>
      <c r="S140" s="2"/>
      <c r="T140" s="6">
        <v>200</v>
      </c>
      <c r="U140" s="2"/>
      <c r="V140" s="7">
        <f t="shared" si="115"/>
        <v>4.4058035888354291E-5</v>
      </c>
      <c r="W140" s="2"/>
      <c r="X140" s="6">
        <f t="shared" si="116"/>
        <v>-52.919999999999987</v>
      </c>
      <c r="Y140" s="2"/>
      <c r="Z140" s="7">
        <f t="shared" si="117"/>
        <v>-0.26459999999999995</v>
      </c>
    </row>
    <row r="141" spans="1:26" s="29" customFormat="1" outlineLevel="1" collapsed="1" x14ac:dyDescent="0.3">
      <c r="A141" s="28"/>
      <c r="B141" s="14" t="str">
        <f>CONCATENATE("     ","Utilities                                         ")</f>
        <v xml:space="preserve">     Utilities                                         </v>
      </c>
      <c r="C141" s="14"/>
      <c r="D141" s="1">
        <f>SUM(OSRRefD22_24x_0)</f>
        <v>6033.61</v>
      </c>
      <c r="E141" s="1"/>
      <c r="F141" s="5">
        <f t="shared" ref="F141:F142" si="118">IF(D$12=0,0,D141/D$12)</f>
        <v>2.047106302509261E-2</v>
      </c>
      <c r="G141" s="1"/>
      <c r="H141" s="1">
        <f>SUM(OSRRefH22_24x_0)</f>
        <v>6120</v>
      </c>
      <c r="I141" s="1"/>
      <c r="J141" s="5">
        <f t="shared" ref="J141:J142" si="119">IF(H$12=0,0,H141/H$12)</f>
        <v>2.2939390531879007E-2</v>
      </c>
      <c r="K141" s="1"/>
      <c r="L141" s="1">
        <f t="shared" ref="L141:L142" si="120">+D141-H141</f>
        <v>-86.390000000000327</v>
      </c>
      <c r="M141" s="1"/>
      <c r="N141" s="5">
        <f t="shared" ref="N141:N142" si="121">IF(H141=0,0,L141/H141)</f>
        <v>-1.4116013071895478E-2</v>
      </c>
      <c r="O141" s="14"/>
      <c r="P141" s="1">
        <f>SUM(OSRRefP22_24x_0)</f>
        <v>30183.59</v>
      </c>
      <c r="Q141" s="1"/>
      <c r="R141" s="5">
        <f t="shared" ref="R141:R142" si="122">IF(P$12=0,0,P141/P$12)</f>
        <v>9.5429883810546415E-3</v>
      </c>
      <c r="S141" s="1"/>
      <c r="T141" s="1">
        <f>SUM(OSRRefT22_24x_0)</f>
        <v>30600</v>
      </c>
      <c r="U141" s="1"/>
      <c r="V141" s="5">
        <f t="shared" ref="V141:V142" si="123">IF(T$12=0,0,T141/T$12)</f>
        <v>6.7408794909182071E-3</v>
      </c>
      <c r="W141" s="1"/>
      <c r="X141" s="1">
        <f t="shared" ref="X141:X142" si="124">+P141-T141</f>
        <v>-416.40999999999985</v>
      </c>
      <c r="Y141" s="1"/>
      <c r="Z141" s="5">
        <f t="shared" ref="Z141:Z142" si="125">IF(T141=0,0,X141/T141)</f>
        <v>-1.3608169934640518E-2</v>
      </c>
    </row>
    <row r="142" spans="1:26" s="24" customFormat="1" hidden="1" outlineLevel="2" x14ac:dyDescent="0.3">
      <c r="A142" s="27"/>
      <c r="B142" s="11" t="str">
        <f>CONCATENATE("          ", "6274", " - ", "UTILITIES")</f>
        <v xml:space="preserve">          6274 - UTILITIES</v>
      </c>
      <c r="C142" s="11"/>
      <c r="D142" s="6">
        <v>6033.61</v>
      </c>
      <c r="E142" s="2"/>
      <c r="F142" s="7">
        <f t="shared" si="118"/>
        <v>2.047106302509261E-2</v>
      </c>
      <c r="G142" s="2"/>
      <c r="H142" s="6">
        <v>6120</v>
      </c>
      <c r="I142" s="2"/>
      <c r="J142" s="7">
        <f t="shared" si="119"/>
        <v>2.2939390531879007E-2</v>
      </c>
      <c r="K142" s="2"/>
      <c r="L142" s="6">
        <f t="shared" si="120"/>
        <v>-86.390000000000327</v>
      </c>
      <c r="M142" s="2"/>
      <c r="N142" s="7">
        <f t="shared" si="121"/>
        <v>-1.4116013071895478E-2</v>
      </c>
      <c r="O142" s="11"/>
      <c r="P142" s="6">
        <v>30183.59</v>
      </c>
      <c r="Q142" s="2"/>
      <c r="R142" s="7">
        <f t="shared" si="122"/>
        <v>9.5429883810546415E-3</v>
      </c>
      <c r="S142" s="2"/>
      <c r="T142" s="6">
        <v>30600</v>
      </c>
      <c r="U142" s="2"/>
      <c r="V142" s="7">
        <f t="shared" si="123"/>
        <v>6.7408794909182071E-3</v>
      </c>
      <c r="W142" s="2"/>
      <c r="X142" s="6">
        <f t="shared" si="124"/>
        <v>-416.40999999999985</v>
      </c>
      <c r="Y142" s="2"/>
      <c r="Z142" s="7">
        <f t="shared" si="125"/>
        <v>-1.3608169934640518E-2</v>
      </c>
    </row>
    <row r="143" spans="1:26" s="63" customFormat="1" x14ac:dyDescent="0.3">
      <c r="A143" s="36"/>
      <c r="B143" s="36"/>
      <c r="C143" s="36"/>
      <c r="D143" s="1"/>
      <c r="E143" s="1"/>
      <c r="F143" s="5"/>
      <c r="G143" s="1"/>
      <c r="H143" s="1"/>
      <c r="I143" s="1"/>
      <c r="J143" s="5"/>
      <c r="K143" s="1"/>
      <c r="L143" s="1"/>
      <c r="M143" s="1"/>
      <c r="N143" s="5"/>
      <c r="O143" s="36"/>
      <c r="P143" s="1"/>
      <c r="Q143" s="1"/>
      <c r="R143" s="5"/>
      <c r="S143" s="1"/>
      <c r="T143" s="1"/>
      <c r="U143" s="1"/>
      <c r="V143" s="5"/>
      <c r="W143" s="1"/>
      <c r="X143" s="1"/>
      <c r="Y143" s="1"/>
      <c r="Z143" s="5"/>
    </row>
    <row r="144" spans="1:26" s="23" customFormat="1" collapsed="1" x14ac:dyDescent="0.3">
      <c r="A144" s="10"/>
      <c r="B144" s="25" t="s">
        <v>293</v>
      </c>
      <c r="C144" s="10"/>
      <c r="D144" s="4">
        <f>SUM(OSRRefD25x_0)</f>
        <v>54598.81</v>
      </c>
      <c r="E144" s="4"/>
      <c r="F144" s="12">
        <f t="shared" ref="F144:F149" si="126">IF(D$12=0,0,D144/D$12)</f>
        <v>0.1852449330674433</v>
      </c>
      <c r="G144" s="4"/>
      <c r="H144" s="4">
        <f>SUM(OSRRefH25x_0)</f>
        <v>51277</v>
      </c>
      <c r="I144" s="4"/>
      <c r="J144" s="12">
        <f t="shared" ref="J144:J149" si="127">IF(H$12=0,0,H144/H$12)</f>
        <v>0.19219985756587579</v>
      </c>
      <c r="K144" s="4"/>
      <c r="L144" s="4">
        <f t="shared" ref="L144:L149" si="128">+D144-H144</f>
        <v>3321.8099999999977</v>
      </c>
      <c r="M144" s="4"/>
      <c r="N144" s="12">
        <f t="shared" ref="N144:N149" si="129">IF(H144=0,0,L144/H144)</f>
        <v>6.4781675995085469E-2</v>
      </c>
      <c r="O144" s="10"/>
      <c r="P144" s="4">
        <f>SUM(OSRRefP25x_0)</f>
        <v>456237.79</v>
      </c>
      <c r="Q144" s="4"/>
      <c r="R144" s="12">
        <f t="shared" ref="R144:R149" si="130">IF(P$12=0,0,P144/P$12)</f>
        <v>0.14424632487282152</v>
      </c>
      <c r="S144" s="4"/>
      <c r="T144" s="4">
        <f>SUM(OSRRefT25x_0)</f>
        <v>336538.5</v>
      </c>
      <c r="U144" s="4"/>
      <c r="V144" s="12">
        <f t="shared" ref="V144:V149" si="131">IF(T$12=0,0,T144/T$12)</f>
        <v>7.413612655406461E-2</v>
      </c>
      <c r="W144" s="4"/>
      <c r="X144" s="4">
        <f t="shared" ref="X144:X149" si="132">+P144-T144</f>
        <v>119699.28999999998</v>
      </c>
      <c r="Y144" s="4"/>
      <c r="Z144" s="12">
        <f t="shared" ref="Z144:Z149" si="133">IF(T144=0,0,X144/T144)</f>
        <v>0.35567784963681714</v>
      </c>
    </row>
    <row r="145" spans="1:26" s="24" customFormat="1" hidden="1" outlineLevel="1" x14ac:dyDescent="0.3">
      <c r="A145" s="44"/>
      <c r="B145" s="11" t="str">
        <f>CONCATENATE("          ", "9150", " - ", "MISC. INCOME")</f>
        <v xml:space="preserve">          9150 - MISC. INCOME</v>
      </c>
      <c r="C145" s="11"/>
      <c r="D145" s="2">
        <f>--54598.81</f>
        <v>54598.81</v>
      </c>
      <c r="E145" s="2"/>
      <c r="F145" s="19">
        <f t="shared" si="126"/>
        <v>0.1852449330674433</v>
      </c>
      <c r="G145" s="2"/>
      <c r="H145" s="2">
        <v>8277</v>
      </c>
      <c r="I145" s="2"/>
      <c r="J145" s="19">
        <f t="shared" si="127"/>
        <v>3.1024401214438321E-2</v>
      </c>
      <c r="K145" s="2"/>
      <c r="L145" s="2">
        <f t="shared" si="128"/>
        <v>46321.81</v>
      </c>
      <c r="M145" s="2"/>
      <c r="N145" s="19">
        <f t="shared" si="129"/>
        <v>5.5964491965688046</v>
      </c>
      <c r="O145" s="11"/>
      <c r="P145" s="2">
        <f>--212830.82</f>
        <v>212830.82</v>
      </c>
      <c r="Q145" s="2"/>
      <c r="R145" s="19">
        <f t="shared" si="130"/>
        <v>6.7289611420985107E-2</v>
      </c>
      <c r="S145" s="2"/>
      <c r="T145" s="2">
        <v>88558</v>
      </c>
      <c r="U145" s="2"/>
      <c r="V145" s="19">
        <f t="shared" si="131"/>
        <v>1.9508457711004398E-2</v>
      </c>
      <c r="W145" s="2"/>
      <c r="X145" s="2">
        <f t="shared" si="132"/>
        <v>124272.82</v>
      </c>
      <c r="Y145" s="2"/>
      <c r="Z145" s="19">
        <f t="shared" si="133"/>
        <v>1.4032929831297003</v>
      </c>
    </row>
    <row r="146" spans="1:26" s="24" customFormat="1" hidden="1" outlineLevel="1" x14ac:dyDescent="0.3">
      <c r="A146" s="44"/>
      <c r="B146" s="11" t="str">
        <f>CONCATENATE("          ", "9151", " - ", "MISC. INCOME")</f>
        <v xml:space="preserve">          9151 - MISC. INCOME</v>
      </c>
      <c r="C146" s="11"/>
      <c r="D146" s="2">
        <f t="shared" ref="D146:D149" si="134">0</f>
        <v>0</v>
      </c>
      <c r="E146" s="2"/>
      <c r="F146" s="19">
        <f t="shared" si="126"/>
        <v>0</v>
      </c>
      <c r="G146" s="2"/>
      <c r="H146" s="2">
        <v>43000</v>
      </c>
      <c r="I146" s="2"/>
      <c r="J146" s="19">
        <f t="shared" si="127"/>
        <v>0.16117545635143746</v>
      </c>
      <c r="K146" s="2"/>
      <c r="L146" s="2">
        <f t="shared" si="128"/>
        <v>-43000</v>
      </c>
      <c r="M146" s="2"/>
      <c r="N146" s="19">
        <f t="shared" si="129"/>
        <v>-1</v>
      </c>
      <c r="O146" s="11"/>
      <c r="P146" s="2">
        <f>--168463.36</f>
        <v>168463.35999999999</v>
      </c>
      <c r="Q146" s="2"/>
      <c r="R146" s="19">
        <f t="shared" si="130"/>
        <v>5.3262182765980624E-2</v>
      </c>
      <c r="S146" s="2"/>
      <c r="T146" s="2">
        <v>247980.5</v>
      </c>
      <c r="U146" s="2"/>
      <c r="V146" s="19">
        <f t="shared" si="131"/>
        <v>5.4627668843060209E-2</v>
      </c>
      <c r="W146" s="2"/>
      <c r="X146" s="2">
        <f t="shared" si="132"/>
        <v>-79517.140000000014</v>
      </c>
      <c r="Y146" s="2"/>
      <c r="Z146" s="19">
        <f t="shared" si="133"/>
        <v>-0.32065884212669954</v>
      </c>
    </row>
    <row r="147" spans="1:26" s="24" customFormat="1" hidden="1" outlineLevel="1" x14ac:dyDescent="0.3">
      <c r="A147" s="44"/>
      <c r="B147" s="11" t="str">
        <f>CONCATENATE("          ", "9152", " - ", "MISC. INCOME")</f>
        <v xml:space="preserve">          9152 - MISC. INCOME</v>
      </c>
      <c r="C147" s="11"/>
      <c r="D147" s="2">
        <f t="shared" si="134"/>
        <v>0</v>
      </c>
      <c r="E147" s="2"/>
      <c r="F147" s="19">
        <f t="shared" si="126"/>
        <v>0</v>
      </c>
      <c r="G147" s="2"/>
      <c r="H147" s="2"/>
      <c r="I147" s="2"/>
      <c r="J147" s="19">
        <f t="shared" si="127"/>
        <v>0</v>
      </c>
      <c r="K147" s="2"/>
      <c r="L147" s="2">
        <f t="shared" si="128"/>
        <v>0</v>
      </c>
      <c r="M147" s="2"/>
      <c r="N147" s="19">
        <f t="shared" si="129"/>
        <v>0</v>
      </c>
      <c r="O147" s="11"/>
      <c r="P147" s="2">
        <f>--2195.41</f>
        <v>2195.41</v>
      </c>
      <c r="Q147" s="2"/>
      <c r="R147" s="19">
        <f t="shared" si="130"/>
        <v>6.9411134068714719E-4</v>
      </c>
      <c r="S147" s="2"/>
      <c r="T147" s="2"/>
      <c r="U147" s="2"/>
      <c r="V147" s="19">
        <f t="shared" si="131"/>
        <v>0</v>
      </c>
      <c r="W147" s="2"/>
      <c r="X147" s="2">
        <f t="shared" si="132"/>
        <v>2195.41</v>
      </c>
      <c r="Y147" s="2"/>
      <c r="Z147" s="19">
        <f t="shared" si="133"/>
        <v>0</v>
      </c>
    </row>
    <row r="148" spans="1:26" s="24" customFormat="1" hidden="1" outlineLevel="1" x14ac:dyDescent="0.3">
      <c r="A148" s="44"/>
      <c r="B148" s="11" t="str">
        <f>CONCATENATE("          ", "9160", " - ", "MISC. INCOME")</f>
        <v xml:space="preserve">          9160 - MISC. INCOME</v>
      </c>
      <c r="C148" s="11"/>
      <c r="D148" s="2">
        <f t="shared" si="134"/>
        <v>0</v>
      </c>
      <c r="E148" s="2"/>
      <c r="F148" s="19">
        <f t="shared" si="126"/>
        <v>0</v>
      </c>
      <c r="G148" s="2"/>
      <c r="H148" s="2">
        <v>0</v>
      </c>
      <c r="I148" s="2"/>
      <c r="J148" s="19">
        <f t="shared" si="127"/>
        <v>0</v>
      </c>
      <c r="K148" s="2"/>
      <c r="L148" s="2">
        <f t="shared" si="128"/>
        <v>0</v>
      </c>
      <c r="M148" s="2"/>
      <c r="N148" s="19">
        <f t="shared" si="129"/>
        <v>0</v>
      </c>
      <c r="O148" s="11"/>
      <c r="P148" s="2">
        <f>0</f>
        <v>0</v>
      </c>
      <c r="Q148" s="2"/>
      <c r="R148" s="19">
        <f t="shared" si="130"/>
        <v>0</v>
      </c>
      <c r="S148" s="2"/>
      <c r="T148" s="2">
        <v>0</v>
      </c>
      <c r="U148" s="2"/>
      <c r="V148" s="19">
        <f t="shared" si="131"/>
        <v>0</v>
      </c>
      <c r="W148" s="2"/>
      <c r="X148" s="2">
        <f t="shared" si="132"/>
        <v>0</v>
      </c>
      <c r="Y148" s="2"/>
      <c r="Z148" s="19">
        <f t="shared" si="133"/>
        <v>0</v>
      </c>
    </row>
    <row r="149" spans="1:26" s="24" customFormat="1" hidden="1" outlineLevel="1" x14ac:dyDescent="0.3">
      <c r="A149" s="44"/>
      <c r="B149" s="11" t="str">
        <f>CONCATENATE("          ", "9163", " - ", "MISC. INCOME")</f>
        <v xml:space="preserve">          9163 - MISC. INCOME</v>
      </c>
      <c r="C149" s="11"/>
      <c r="D149" s="2">
        <f t="shared" si="134"/>
        <v>0</v>
      </c>
      <c r="E149" s="2"/>
      <c r="F149" s="19">
        <f t="shared" si="126"/>
        <v>0</v>
      </c>
      <c r="G149" s="2"/>
      <c r="H149" s="2"/>
      <c r="I149" s="2"/>
      <c r="J149" s="19">
        <f t="shared" si="127"/>
        <v>0</v>
      </c>
      <c r="K149" s="2"/>
      <c r="L149" s="2">
        <f t="shared" si="128"/>
        <v>0</v>
      </c>
      <c r="M149" s="2"/>
      <c r="N149" s="19">
        <f t="shared" si="129"/>
        <v>0</v>
      </c>
      <c r="O149" s="11"/>
      <c r="P149" s="2">
        <f>--72748.2</f>
        <v>72748.2</v>
      </c>
      <c r="Q149" s="2"/>
      <c r="R149" s="19">
        <f t="shared" si="130"/>
        <v>2.3000419345168659E-2</v>
      </c>
      <c r="S149" s="2"/>
      <c r="T149" s="2"/>
      <c r="U149" s="2"/>
      <c r="V149" s="19">
        <f t="shared" si="131"/>
        <v>0</v>
      </c>
      <c r="W149" s="2"/>
      <c r="X149" s="2">
        <f t="shared" si="132"/>
        <v>72748.2</v>
      </c>
      <c r="Y149" s="2"/>
      <c r="Z149" s="19">
        <f t="shared" si="133"/>
        <v>0</v>
      </c>
    </row>
    <row r="150" spans="1:26" x14ac:dyDescent="0.3">
      <c r="A150" s="9"/>
      <c r="B150" s="10"/>
      <c r="C150" s="10"/>
      <c r="D150" s="3"/>
      <c r="E150" s="3"/>
      <c r="F150" s="8"/>
      <c r="G150" s="3"/>
      <c r="H150" s="3"/>
      <c r="I150" s="3"/>
      <c r="J150" s="8"/>
      <c r="K150" s="3"/>
      <c r="L150" s="3"/>
      <c r="M150" s="3"/>
      <c r="N150" s="8"/>
      <c r="O150" s="10"/>
      <c r="P150" s="3"/>
      <c r="Q150" s="3"/>
      <c r="R150" s="8"/>
      <c r="S150" s="3"/>
      <c r="T150" s="3"/>
      <c r="U150" s="3"/>
      <c r="V150" s="8"/>
      <c r="W150" s="3"/>
      <c r="X150" s="3"/>
      <c r="Y150" s="3"/>
      <c r="Z150" s="8"/>
    </row>
    <row r="151" spans="1:26" s="23" customFormat="1" x14ac:dyDescent="0.3">
      <c r="A151" s="10"/>
      <c r="B151" s="26" t="s">
        <v>277</v>
      </c>
      <c r="C151" s="26"/>
      <c r="D151" s="20">
        <f>+D50-D52+D144</f>
        <v>-53622.11999999985</v>
      </c>
      <c r="E151" s="13"/>
      <c r="F151" s="22">
        <f>IF(D$12=0,0,D151/D$12)</f>
        <v>-0.18193118183957463</v>
      </c>
      <c r="G151" s="13"/>
      <c r="H151" s="20">
        <f>+H50-H52+H144</f>
        <v>-101423.99384960509</v>
      </c>
      <c r="I151" s="13"/>
      <c r="J151" s="22">
        <f>IF(H$12=0,0,H151/H$12)</f>
        <v>-0.38016415101617412</v>
      </c>
      <c r="K151" s="15"/>
      <c r="L151" s="20">
        <f>+D151-H151</f>
        <v>47801.873849605239</v>
      </c>
      <c r="M151" s="15"/>
      <c r="N151" s="22">
        <f>IF(H151=0,0,L151/H151)</f>
        <v>-0.47130735080781244</v>
      </c>
      <c r="O151" s="25"/>
      <c r="P151" s="20">
        <f>+P50-P52+P144</f>
        <v>73981.440000000352</v>
      </c>
      <c r="Q151" s="13"/>
      <c r="R151" s="22">
        <f>IF(P$12=0,0,P151/P$12)</f>
        <v>2.3390326410267778E-2</v>
      </c>
      <c r="S151" s="13"/>
      <c r="T151" s="20">
        <f>+T50-T52+T144</f>
        <v>265550.70014447905</v>
      </c>
      <c r="U151" s="13"/>
      <c r="V151" s="22">
        <f>IF(T$12=0,0,T151/T$12)</f>
        <v>5.8498211385715336E-2</v>
      </c>
      <c r="W151" s="15"/>
      <c r="X151" s="20">
        <f>+P151-T151</f>
        <v>-191569.2601444787</v>
      </c>
      <c r="Y151" s="15"/>
      <c r="Z151" s="22">
        <f>IF(T151=0,0,X151/T151)</f>
        <v>-0.72140370949973387</v>
      </c>
    </row>
    <row r="152" spans="1:26" x14ac:dyDescent="0.3">
      <c r="A152" s="9"/>
      <c r="B152" s="10"/>
      <c r="C152" s="9"/>
      <c r="D152" s="3"/>
      <c r="E152" s="3"/>
      <c r="F152" s="8"/>
      <c r="G152" s="3"/>
      <c r="H152" s="3"/>
      <c r="I152" s="3"/>
      <c r="J152" s="8"/>
      <c r="K152" s="3"/>
      <c r="L152" s="3"/>
      <c r="M152" s="3"/>
      <c r="N152" s="8"/>
      <c r="P152" s="3"/>
      <c r="Q152" s="3"/>
      <c r="R152" s="8"/>
      <c r="S152" s="3"/>
      <c r="T152" s="3"/>
      <c r="U152" s="3"/>
      <c r="V152" s="8"/>
      <c r="W152" s="3"/>
      <c r="X152" s="3"/>
      <c r="Y152" s="3"/>
      <c r="Z152" s="8"/>
    </row>
    <row r="153" spans="1:26" s="23" customFormat="1" x14ac:dyDescent="0.3">
      <c r="A153" s="52"/>
      <c r="B153" s="10" t="s">
        <v>128</v>
      </c>
      <c r="C153" s="10"/>
      <c r="D153" s="4">
        <v>45202.76</v>
      </c>
      <c r="E153" s="4"/>
      <c r="F153" s="12">
        <f>IF(D$12=0,0,D153/D$12)</f>
        <v>0.15336565486800363</v>
      </c>
      <c r="G153" s="4"/>
      <c r="H153" s="4">
        <v>76172</v>
      </c>
      <c r="I153" s="4"/>
      <c r="J153" s="12">
        <f>IF(H$12=0,0,H153/H$12)</f>
        <v>0.28551295026050449</v>
      </c>
      <c r="K153" s="4"/>
      <c r="L153" s="4">
        <f>+D153-H153</f>
        <v>-30969.239999999998</v>
      </c>
      <c r="M153" s="4"/>
      <c r="N153" s="12">
        <f>IF(H153=0,0,L153/H153)</f>
        <v>-0.40656986819303681</v>
      </c>
      <c r="O153" s="10"/>
      <c r="P153" s="4">
        <v>376739.41</v>
      </c>
      <c r="Q153" s="4"/>
      <c r="R153" s="12">
        <f>IF(P$12=0,0,P153/P$12)</f>
        <v>0.11911173628834014</v>
      </c>
      <c r="S153" s="4"/>
      <c r="T153" s="4">
        <v>567491</v>
      </c>
      <c r="U153" s="4"/>
      <c r="V153" s="12">
        <f>IF(T$12=0,0,T153/T$12)</f>
        <v>0.12501269422159034</v>
      </c>
      <c r="W153" s="4"/>
      <c r="X153" s="4">
        <f>+P153-T153</f>
        <v>-190751.59000000003</v>
      </c>
      <c r="Y153" s="4"/>
      <c r="Z153" s="12">
        <f>IF(T153=0,0,X153/T153)</f>
        <v>-0.33613148049925023</v>
      </c>
    </row>
    <row r="154" spans="1:26" x14ac:dyDescent="0.3">
      <c r="A154" s="9"/>
      <c r="B154" s="10"/>
      <c r="C154" s="10"/>
      <c r="D154" s="3"/>
      <c r="E154" s="3"/>
      <c r="F154" s="8"/>
      <c r="G154" s="3"/>
      <c r="H154" s="3"/>
      <c r="I154" s="3"/>
      <c r="J154" s="8"/>
      <c r="K154" s="3"/>
      <c r="L154" s="3"/>
      <c r="M154" s="3"/>
      <c r="N154" s="8"/>
      <c r="O154" s="10"/>
      <c r="P154" s="3"/>
      <c r="Q154" s="3"/>
      <c r="R154" s="8"/>
      <c r="S154" s="3"/>
      <c r="T154" s="3"/>
      <c r="U154" s="3"/>
      <c r="V154" s="8"/>
      <c r="W154" s="3"/>
      <c r="X154" s="3"/>
      <c r="Y154" s="3"/>
      <c r="Z154" s="8"/>
    </row>
    <row r="155" spans="1:26" s="23" customFormat="1" ht="15" thickBot="1" x14ac:dyDescent="0.35">
      <c r="A155" s="10"/>
      <c r="B155" s="26" t="s">
        <v>126</v>
      </c>
      <c r="C155" s="26"/>
      <c r="D155" s="33">
        <f>+D151-D153</f>
        <v>-98824.879999999859</v>
      </c>
      <c r="E155" s="13"/>
      <c r="F155" s="34">
        <f>IF(D$12=0,0,D155/D$12)</f>
        <v>-0.33529683670757826</v>
      </c>
      <c r="G155" s="13"/>
      <c r="H155" s="33">
        <f>+H151-H153</f>
        <v>-177595.99384960509</v>
      </c>
      <c r="I155" s="13"/>
      <c r="J155" s="34">
        <f>IF(H$12=0,0,H155/H$12)</f>
        <v>-0.66567710127667867</v>
      </c>
      <c r="K155" s="15"/>
      <c r="L155" s="33">
        <f>D155-H155</f>
        <v>78771.11384960523</v>
      </c>
      <c r="M155" s="15"/>
      <c r="N155" s="34">
        <f>IF(H155=0,0,L155/H155)</f>
        <v>-0.443541051473895</v>
      </c>
      <c r="O155" s="25"/>
      <c r="P155" s="33">
        <f>+P151-P153</f>
        <v>-302757.96999999962</v>
      </c>
      <c r="Q155" s="13"/>
      <c r="R155" s="34">
        <f>IF(P$12=0,0,P155/P$12)</f>
        <v>-9.5721409878072358E-2</v>
      </c>
      <c r="S155" s="13"/>
      <c r="T155" s="33">
        <f>+T151-T153</f>
        <v>-301940.29985552095</v>
      </c>
      <c r="U155" s="13"/>
      <c r="V155" s="34">
        <f>IF(T$12=0,0,T155/T$12)</f>
        <v>-6.6514482835874994E-2</v>
      </c>
      <c r="W155" s="15"/>
      <c r="X155" s="33">
        <f>P155-T155</f>
        <v>-817.67014447867405</v>
      </c>
      <c r="Y155" s="15"/>
      <c r="Z155" s="34">
        <f>IF(T155=0,0,X155/T155)</f>
        <v>2.7080523695244751E-3</v>
      </c>
    </row>
    <row r="156" spans="1:26" ht="15" thickTop="1" x14ac:dyDescent="0.3">
      <c r="A156" s="9"/>
      <c r="B156" s="9"/>
      <c r="C156" s="9"/>
      <c r="D156" s="3"/>
      <c r="E156" s="3"/>
      <c r="F156" s="8"/>
      <c r="G156" s="3"/>
      <c r="H156" s="3"/>
      <c r="I156" s="3"/>
      <c r="J156" s="8"/>
      <c r="K156" s="3"/>
      <c r="L156" s="3"/>
      <c r="M156" s="3"/>
      <c r="N156" s="8"/>
      <c r="P156" s="3"/>
      <c r="Q156" s="3"/>
      <c r="R156" s="8"/>
      <c r="S156" s="3"/>
      <c r="T156" s="3"/>
      <c r="U156" s="3"/>
      <c r="V156" s="8"/>
      <c r="W156" s="3"/>
      <c r="X156" s="3"/>
      <c r="Y156" s="3"/>
      <c r="Z156" s="8"/>
    </row>
    <row r="157" spans="1:26" x14ac:dyDescent="0.3">
      <c r="A157" s="9"/>
      <c r="B157" s="9"/>
      <c r="C157" s="9"/>
      <c r="D157" s="3"/>
      <c r="E157" s="3"/>
      <c r="F157" s="8"/>
      <c r="G157" s="3"/>
      <c r="H157" s="3"/>
      <c r="I157" s="3"/>
      <c r="J157" s="8"/>
      <c r="K157" s="3"/>
      <c r="L157" s="3"/>
      <c r="M157" s="3"/>
      <c r="N157" s="8"/>
      <c r="P157" s="3"/>
      <c r="Q157" s="3"/>
      <c r="R157" s="8"/>
      <c r="S157" s="3"/>
      <c r="T157" s="3"/>
      <c r="U157" s="3"/>
      <c r="V157" s="8"/>
      <c r="W157" s="3"/>
      <c r="X157" s="3"/>
      <c r="Y157" s="3"/>
      <c r="Z157" s="8"/>
    </row>
    <row r="158" spans="1:26" s="23" customFormat="1" ht="15" thickBot="1" x14ac:dyDescent="0.35">
      <c r="A158" s="10"/>
      <c r="B158" s="26" t="s">
        <v>294</v>
      </c>
      <c r="C158" s="26"/>
      <c r="D158" s="35">
        <f>SUM(D155:D157)</f>
        <v>-98824.879999999859</v>
      </c>
      <c r="E158" s="13"/>
      <c r="F158" s="32">
        <f>IF(D$12=0,0,D158/D$12)</f>
        <v>-0.33529683670757826</v>
      </c>
      <c r="G158" s="13"/>
      <c r="H158" s="35">
        <f>SUM(H155:H157)</f>
        <v>-177595.99384960509</v>
      </c>
      <c r="I158" s="13"/>
      <c r="J158" s="32">
        <f>IF(H$12=0,0,H158/H$12)</f>
        <v>-0.66567710127667867</v>
      </c>
      <c r="K158" s="15"/>
      <c r="L158" s="35">
        <f>+D158-H158</f>
        <v>78771.11384960523</v>
      </c>
      <c r="M158" s="15"/>
      <c r="N158" s="32">
        <f>IF(H158=0,0,L158/H158)</f>
        <v>-0.443541051473895</v>
      </c>
      <c r="O158" s="25"/>
      <c r="P158" s="35">
        <f>SUM(P155:P157)</f>
        <v>-302757.96999999962</v>
      </c>
      <c r="Q158" s="13"/>
      <c r="R158" s="32">
        <f>IF(P$12=0,0,P158/P$12)</f>
        <v>-9.5721409878072358E-2</v>
      </c>
      <c r="S158" s="13"/>
      <c r="T158" s="35">
        <f>SUM(T155:T157)</f>
        <v>-301940.29985552095</v>
      </c>
      <c r="U158" s="13"/>
      <c r="V158" s="32">
        <f>IF(T$12=0,0,T158/T$12)</f>
        <v>-6.6514482835874994E-2</v>
      </c>
      <c r="W158" s="15"/>
      <c r="X158" s="35">
        <f>+P158-T158</f>
        <v>-817.67014447867405</v>
      </c>
      <c r="Y158" s="15"/>
      <c r="Z158" s="32">
        <f>IF(T158=0,0,X158/T158)</f>
        <v>2.7080523695244751E-3</v>
      </c>
    </row>
    <row r="159" spans="1:26" ht="15" thickTop="1" x14ac:dyDescent="0.3">
      <c r="A159" s="9"/>
      <c r="C159" s="9"/>
      <c r="D159" s="17"/>
      <c r="E159" s="17"/>
      <c r="G159" s="17"/>
      <c r="H159" s="17"/>
      <c r="I159" s="17"/>
      <c r="J159" s="42"/>
      <c r="K159" s="17"/>
      <c r="L159" s="17"/>
      <c r="M159" s="17"/>
      <c r="P159" s="17"/>
      <c r="Q159" s="17"/>
      <c r="R159" s="42"/>
      <c r="S159" s="17"/>
      <c r="T159" s="17"/>
      <c r="U159" s="17"/>
      <c r="V159" s="42"/>
      <c r="W159" s="17"/>
      <c r="X159" s="17"/>
    </row>
    <row r="160" spans="1:26" x14ac:dyDescent="0.3">
      <c r="A160" s="9"/>
      <c r="B160" s="60">
        <v>44543.753067673613</v>
      </c>
      <c r="D160" s="17"/>
      <c r="E160" s="17"/>
      <c r="G160" s="17"/>
      <c r="H160" s="17"/>
      <c r="I160" s="17"/>
      <c r="J160" s="42"/>
      <c r="K160" s="17"/>
      <c r="L160" s="17"/>
      <c r="M160" s="17"/>
      <c r="P160" s="17"/>
      <c r="Q160" s="17"/>
      <c r="R160" s="42"/>
      <c r="S160" s="17"/>
      <c r="T160" s="17"/>
      <c r="U160" s="17"/>
      <c r="V160" s="42"/>
      <c r="W160" s="17"/>
      <c r="X160" s="17"/>
    </row>
    <row r="161" spans="1:24" x14ac:dyDescent="0.3">
      <c r="A161" s="9"/>
      <c r="B161" s="58" t="s">
        <v>56</v>
      </c>
      <c r="D161" s="17"/>
      <c r="E161" s="17"/>
      <c r="G161" s="17"/>
      <c r="H161" s="17"/>
      <c r="I161" s="17"/>
      <c r="J161" s="42"/>
      <c r="K161" s="17"/>
      <c r="L161" s="17"/>
      <c r="M161" s="17"/>
      <c r="P161" s="17"/>
      <c r="Q161" s="17"/>
      <c r="R161" s="42"/>
      <c r="S161" s="17"/>
      <c r="T161" s="17"/>
      <c r="U161" s="17"/>
      <c r="V161" s="42"/>
      <c r="W161" s="17"/>
      <c r="X161" s="17"/>
    </row>
    <row r="162" spans="1:24" x14ac:dyDescent="0.3">
      <c r="A162" s="9"/>
      <c r="B162" s="55"/>
      <c r="D162" s="17"/>
      <c r="E162" s="17"/>
      <c r="G162" s="17"/>
      <c r="H162" s="17"/>
      <c r="I162" s="17"/>
      <c r="J162" s="42"/>
      <c r="K162" s="17"/>
      <c r="L162" s="17"/>
      <c r="M162" s="17"/>
      <c r="P162" s="17"/>
      <c r="Q162" s="17"/>
      <c r="R162" s="42"/>
      <c r="S162" s="17"/>
      <c r="T162" s="17"/>
      <c r="U162" s="17"/>
      <c r="V162" s="42"/>
      <c r="W162" s="17"/>
      <c r="X162" s="17"/>
    </row>
    <row r="163" spans="1:24" x14ac:dyDescent="0.3">
      <c r="D163" s="17"/>
      <c r="E163" s="17"/>
      <c r="G163" s="17"/>
      <c r="H163" s="17"/>
      <c r="I163" s="17"/>
      <c r="J163" s="42"/>
      <c r="K163" s="17"/>
      <c r="L163" s="17"/>
      <c r="M163" s="17"/>
      <c r="P163" s="17"/>
      <c r="Q163" s="17"/>
      <c r="R163" s="42"/>
      <c r="S163" s="17"/>
      <c r="T163" s="17"/>
      <c r="U163" s="17"/>
      <c r="V163" s="42"/>
      <c r="W163" s="17"/>
      <c r="X163" s="17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313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  <outlinePr summaryBelow="0" summaryRight="0"/>
  </sheetPr>
  <dimension ref="A2:Z17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314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387266.24</v>
      </c>
      <c r="E12" s="4"/>
      <c r="F12" s="12"/>
      <c r="G12" s="4"/>
      <c r="H12" s="4">
        <f>SUM(OSRRefH13x_0)</f>
        <v>387150</v>
      </c>
      <c r="I12" s="4"/>
      <c r="J12" s="12"/>
      <c r="K12" s="4"/>
      <c r="L12" s="4">
        <f t="shared" ref="L12:L19" si="0">+D12-H12</f>
        <v>116.23999999999069</v>
      </c>
      <c r="M12" s="4"/>
      <c r="N12" s="12">
        <f t="shared" ref="N12:N19" si="1">IF(H12=0,0,L12/H12)</f>
        <v>3.002453829264902E-4</v>
      </c>
      <c r="O12" s="10"/>
      <c r="P12" s="4">
        <f>SUM(OSRRefP13x_0)</f>
        <v>3996015.02</v>
      </c>
      <c r="Q12" s="4"/>
      <c r="R12" s="12"/>
      <c r="S12" s="4"/>
      <c r="T12" s="4">
        <f>SUM(OSRRefT13x_0)</f>
        <v>5663632</v>
      </c>
      <c r="U12" s="4"/>
      <c r="V12" s="12"/>
      <c r="W12" s="4"/>
      <c r="X12" s="4">
        <f t="shared" ref="X12:X19" si="2">+P12-T12</f>
        <v>-1667616.98</v>
      </c>
      <c r="Y12" s="4"/>
      <c r="Z12" s="12">
        <f t="shared" ref="Z12:Z19" si="3">IF(T12=0,0,X12/T12)</f>
        <v>-0.29444303231565894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--364190.03</f>
        <v>364190.03</v>
      </c>
      <c r="E13" s="2"/>
      <c r="F13" s="19"/>
      <c r="G13" s="2"/>
      <c r="H13" s="2">
        <v>350152</v>
      </c>
      <c r="I13" s="2"/>
      <c r="J13" s="19"/>
      <c r="K13" s="2"/>
      <c r="L13" s="2">
        <f t="shared" si="0"/>
        <v>14038.030000000028</v>
      </c>
      <c r="M13" s="2"/>
      <c r="N13" s="19">
        <f t="shared" si="1"/>
        <v>4.0091246087413546E-2</v>
      </c>
      <c r="O13" s="11"/>
      <c r="P13" s="2">
        <f>--3316214.74</f>
        <v>3316214.74</v>
      </c>
      <c r="Q13" s="2"/>
      <c r="R13" s="19"/>
      <c r="S13" s="2"/>
      <c r="T13" s="2">
        <v>5470469</v>
      </c>
      <c r="U13" s="2"/>
      <c r="V13" s="19"/>
      <c r="W13" s="2"/>
      <c r="X13" s="2">
        <f t="shared" si="2"/>
        <v>-2154254.2599999998</v>
      </c>
      <c r="Y13" s="2"/>
      <c r="Z13" s="19">
        <f t="shared" si="3"/>
        <v>-0.39379699619904612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--84057.97</f>
        <v>84057.97</v>
      </c>
      <c r="E14" s="2"/>
      <c r="F14" s="19"/>
      <c r="G14" s="2"/>
      <c r="H14" s="2">
        <v>36998</v>
      </c>
      <c r="I14" s="2"/>
      <c r="J14" s="19"/>
      <c r="K14" s="2"/>
      <c r="L14" s="2">
        <f t="shared" si="0"/>
        <v>47059.97</v>
      </c>
      <c r="M14" s="2"/>
      <c r="N14" s="19">
        <f t="shared" si="1"/>
        <v>1.2719598356667929</v>
      </c>
      <c r="O14" s="11"/>
      <c r="P14" s="2">
        <f>--945694.72</f>
        <v>945694.71999999997</v>
      </c>
      <c r="Q14" s="2"/>
      <c r="R14" s="19"/>
      <c r="S14" s="2"/>
      <c r="T14" s="2">
        <v>193163</v>
      </c>
      <c r="U14" s="2"/>
      <c r="V14" s="19"/>
      <c r="W14" s="2"/>
      <c r="X14" s="2">
        <f t="shared" si="2"/>
        <v>752531.72</v>
      </c>
      <c r="Y14" s="2"/>
      <c r="Z14" s="19">
        <f t="shared" si="3"/>
        <v>3.8958378157307556</v>
      </c>
    </row>
    <row r="15" spans="1:26" s="24" customFormat="1" hidden="1" outlineLevel="1" x14ac:dyDescent="0.3">
      <c r="A15" s="44"/>
      <c r="B15" s="11" t="str">
        <f>CONCATENATE("          ", "4141", " - ", "NON-TAXABLE SALES-LOGO GIFTS")</f>
        <v xml:space="preserve">          4141 - NON-TAXABLE SALES-LOGO GIFTS</v>
      </c>
      <c r="C15" s="11"/>
      <c r="D15" s="2">
        <f t="shared" ref="D15:D16" si="4">0</f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ref="P15:P16" si="5">0</f>
        <v>0</v>
      </c>
      <c r="Q15" s="2"/>
      <c r="R15" s="19"/>
      <c r="S15" s="2"/>
      <c r="T15" s="2"/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"4146", " - ", "NON-TAXABLE SALES-COIN OP MACH")</f>
        <v xml:space="preserve">          4146 - NON-TAXABLE SALES-COIN OP MACH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5"/>
        <v>0</v>
      </c>
      <c r="Q16" s="2"/>
      <c r="R16" s="19"/>
      <c r="S16" s="2"/>
      <c r="T16" s="2"/>
      <c r="U16" s="2"/>
      <c r="V16" s="19"/>
      <c r="W16" s="2"/>
      <c r="X16" s="2">
        <f t="shared" si="2"/>
        <v>0</v>
      </c>
      <c r="Y16" s="2"/>
      <c r="Z16" s="19">
        <f t="shared" si="3"/>
        <v>0</v>
      </c>
    </row>
    <row r="17" spans="1:26" s="24" customFormat="1" hidden="1" outlineLevel="1" x14ac:dyDescent="0.3">
      <c r="A17" s="44"/>
      <c r="B17" s="11" t="str">
        <f>CONCATENATE("          ", "4200", " - ", "TAXABLE RETURNS")</f>
        <v xml:space="preserve">          4200 - TAXABLE RETURNS</v>
      </c>
      <c r="C17" s="11"/>
      <c r="D17" s="2">
        <f>-53747.52</f>
        <v>-53747.519999999997</v>
      </c>
      <c r="E17" s="2"/>
      <c r="F17" s="19"/>
      <c r="G17" s="2"/>
      <c r="H17" s="2"/>
      <c r="I17" s="2"/>
      <c r="J17" s="19"/>
      <c r="K17" s="2"/>
      <c r="L17" s="2">
        <f t="shared" si="0"/>
        <v>-53747.519999999997</v>
      </c>
      <c r="M17" s="2"/>
      <c r="N17" s="19">
        <f t="shared" si="1"/>
        <v>0</v>
      </c>
      <c r="O17" s="11"/>
      <c r="P17" s="2">
        <f>-224507.84</f>
        <v>-224507.84</v>
      </c>
      <c r="Q17" s="2"/>
      <c r="R17" s="19"/>
      <c r="S17" s="2"/>
      <c r="T17" s="2"/>
      <c r="U17" s="2"/>
      <c r="V17" s="19"/>
      <c r="W17" s="2"/>
      <c r="X17" s="2">
        <f t="shared" si="2"/>
        <v>-224507.84</v>
      </c>
      <c r="Y17" s="2"/>
      <c r="Z17" s="19">
        <f t="shared" si="3"/>
        <v>0</v>
      </c>
    </row>
    <row r="18" spans="1:26" s="24" customFormat="1" hidden="1" outlineLevel="1" x14ac:dyDescent="0.3">
      <c r="A18" s="44"/>
      <c r="B18" s="11" t="str">
        <f>CONCATENATE("          ", "4300", " - ", "NON-TAX RETURNS")</f>
        <v xml:space="preserve">          4300 - NON-TAX RETURNS</v>
      </c>
      <c r="C18" s="11"/>
      <c r="D18" s="2">
        <f>-715.91</f>
        <v>-715.91</v>
      </c>
      <c r="E18" s="2"/>
      <c r="F18" s="19"/>
      <c r="G18" s="2"/>
      <c r="H18" s="2"/>
      <c r="I18" s="2"/>
      <c r="J18" s="19"/>
      <c r="K18" s="2"/>
      <c r="L18" s="2">
        <f t="shared" si="0"/>
        <v>-715.91</v>
      </c>
      <c r="M18" s="2"/>
      <c r="N18" s="19">
        <f t="shared" si="1"/>
        <v>0</v>
      </c>
      <c r="O18" s="11"/>
      <c r="P18" s="2">
        <f>-27205.18</f>
        <v>-27205.18</v>
      </c>
      <c r="Q18" s="2"/>
      <c r="R18" s="19"/>
      <c r="S18" s="2"/>
      <c r="T18" s="2"/>
      <c r="U18" s="2"/>
      <c r="V18" s="19"/>
      <c r="W18" s="2"/>
      <c r="X18" s="2">
        <f t="shared" si="2"/>
        <v>-27205.18</v>
      </c>
      <c r="Y18" s="2"/>
      <c r="Z18" s="19">
        <f t="shared" si="3"/>
        <v>0</v>
      </c>
    </row>
    <row r="19" spans="1:26" s="24" customFormat="1" hidden="1" outlineLevel="1" x14ac:dyDescent="0.3">
      <c r="A19" s="44"/>
      <c r="B19" s="11" t="str">
        <f>CONCATENATE("          ", "4500", " - ", "SALES DISCOUNT")</f>
        <v xml:space="preserve">          4500 - SALES DISCOUNT</v>
      </c>
      <c r="C19" s="11"/>
      <c r="D19" s="2">
        <f>-6518.33</f>
        <v>-6518.33</v>
      </c>
      <c r="E19" s="2"/>
      <c r="F19" s="19"/>
      <c r="G19" s="2"/>
      <c r="H19" s="2"/>
      <c r="I19" s="2"/>
      <c r="J19" s="19"/>
      <c r="K19" s="2"/>
      <c r="L19" s="2">
        <f t="shared" si="0"/>
        <v>-6518.33</v>
      </c>
      <c r="M19" s="2"/>
      <c r="N19" s="19">
        <f t="shared" si="1"/>
        <v>0</v>
      </c>
      <c r="O19" s="11"/>
      <c r="P19" s="2">
        <f>-14181.42</f>
        <v>-14181.42</v>
      </c>
      <c r="Q19" s="2"/>
      <c r="R19" s="19"/>
      <c r="S19" s="2"/>
      <c r="T19" s="2"/>
      <c r="U19" s="2"/>
      <c r="V19" s="19"/>
      <c r="W19" s="2"/>
      <c r="X19" s="2">
        <f t="shared" si="2"/>
        <v>-14181.42</v>
      </c>
      <c r="Y19" s="2"/>
      <c r="Z19" s="19">
        <f t="shared" si="3"/>
        <v>0</v>
      </c>
    </row>
    <row r="20" spans="1:26" x14ac:dyDescent="0.3">
      <c r="A20" s="9"/>
      <c r="B20" s="10"/>
      <c r="C20" s="9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collapsed="1" x14ac:dyDescent="0.3">
      <c r="A21" s="10"/>
      <c r="B21" s="25" t="s">
        <v>257</v>
      </c>
      <c r="C21" s="10"/>
      <c r="D21" s="4">
        <f>SUM(OSRRefD16x_0)</f>
        <v>221001.48</v>
      </c>
      <c r="E21" s="4"/>
      <c r="F21" s="12">
        <f t="shared" ref="F21:F54" si="6">IF(D$12=0,0,D21/D$12)</f>
        <v>0.57067065799487204</v>
      </c>
      <c r="G21" s="4"/>
      <c r="H21" s="4">
        <f>SUM(OSRRefH16x_0)</f>
        <v>240126</v>
      </c>
      <c r="I21" s="4"/>
      <c r="J21" s="12">
        <f t="shared" ref="J21:J54" si="7">IF(H$12=0,0,H21/H$12)</f>
        <v>0.62024021697016662</v>
      </c>
      <c r="K21" s="4"/>
      <c r="L21" s="4">
        <f t="shared" ref="L21:L54" si="8">+D21-H21</f>
        <v>-19124.51999999999</v>
      </c>
      <c r="M21" s="4"/>
      <c r="N21" s="12">
        <f t="shared" ref="N21:N54" si="9">IF(H21=0,0,L21/H21)</f>
        <v>-7.9643687064291202E-2</v>
      </c>
      <c r="O21" s="10"/>
      <c r="P21" s="4">
        <f>SUM(OSRRefP16x_0)</f>
        <v>2656486.7199999997</v>
      </c>
      <c r="Q21" s="4"/>
      <c r="R21" s="12">
        <f t="shared" ref="R21:R54" si="10">IF(P$12=0,0,P21/P$12)</f>
        <v>0.66478396770390513</v>
      </c>
      <c r="S21" s="4"/>
      <c r="T21" s="4">
        <f>SUM(OSRRefT16x_0)</f>
        <v>3888651</v>
      </c>
      <c r="U21" s="4"/>
      <c r="V21" s="12">
        <f t="shared" ref="V21:V54" si="11">IF(T$12=0,0,T21/T$12)</f>
        <v>0.68660022402585474</v>
      </c>
      <c r="W21" s="4"/>
      <c r="X21" s="4">
        <f t="shared" ref="X21:X54" si="12">+P21-T21</f>
        <v>-1232164.2800000003</v>
      </c>
      <c r="Y21" s="4"/>
      <c r="Z21" s="12">
        <f t="shared" ref="Z21:Z54" si="13">IF(T21=0,0,X21/T21)</f>
        <v>-0.31686162630691217</v>
      </c>
    </row>
    <row r="22" spans="1:26" s="24" customFormat="1" hidden="1" outlineLevel="1" x14ac:dyDescent="0.3">
      <c r="A22" s="44"/>
      <c r="B22" s="11" t="str">
        <f>CONCATENATE("          ", "5000", " - ", "PURCHASES @ COST")</f>
        <v xml:space="preserve">          5000 - PURCHASES @ COST</v>
      </c>
      <c r="C22" s="11"/>
      <c r="D22" s="2">
        <v>-11220.02</v>
      </c>
      <c r="E22" s="2"/>
      <c r="F22" s="19">
        <f t="shared" si="6"/>
        <v>-2.8972367950276277E-2</v>
      </c>
      <c r="G22" s="2"/>
      <c r="H22" s="2">
        <v>240126</v>
      </c>
      <c r="I22" s="2"/>
      <c r="J22" s="19">
        <f t="shared" si="7"/>
        <v>0.62024021697016662</v>
      </c>
      <c r="K22" s="2"/>
      <c r="L22" s="2">
        <f t="shared" si="8"/>
        <v>-251346.02</v>
      </c>
      <c r="M22" s="2"/>
      <c r="N22" s="19">
        <f t="shared" si="9"/>
        <v>-1.0467255524183137</v>
      </c>
      <c r="O22" s="11"/>
      <c r="P22" s="2">
        <v>2991769.29</v>
      </c>
      <c r="Q22" s="2"/>
      <c r="R22" s="19">
        <f t="shared" si="10"/>
        <v>0.74868819937518649</v>
      </c>
      <c r="S22" s="2"/>
      <c r="T22" s="2">
        <v>3888651</v>
      </c>
      <c r="U22" s="2"/>
      <c r="V22" s="19">
        <f t="shared" si="11"/>
        <v>0.68660022402585474</v>
      </c>
      <c r="W22" s="2"/>
      <c r="X22" s="2">
        <f t="shared" si="12"/>
        <v>-896881.71</v>
      </c>
      <c r="Y22" s="2"/>
      <c r="Z22" s="19">
        <f t="shared" si="13"/>
        <v>-0.23064083405787764</v>
      </c>
    </row>
    <row r="23" spans="1:26" s="24" customFormat="1" hidden="1" outlineLevel="1" x14ac:dyDescent="0.3">
      <c r="A23" s="44"/>
      <c r="B23" s="11" t="str">
        <f>CONCATENATE("          ", "5001", " - ", "PURCHASES @ COST-NEW TEXT")</f>
        <v xml:space="preserve">          5001 - PURCHASES @ COST-NEW TEXT</v>
      </c>
      <c r="C23" s="11"/>
      <c r="D23" s="2"/>
      <c r="E23" s="2"/>
      <c r="F23" s="19">
        <f t="shared" si="6"/>
        <v>0</v>
      </c>
      <c r="G23" s="2"/>
      <c r="H23" s="2"/>
      <c r="I23" s="2"/>
      <c r="J23" s="19">
        <f t="shared" si="7"/>
        <v>0</v>
      </c>
      <c r="K23" s="2"/>
      <c r="L23" s="2">
        <f t="shared" si="8"/>
        <v>0</v>
      </c>
      <c r="M23" s="2"/>
      <c r="N23" s="19">
        <f t="shared" si="9"/>
        <v>0</v>
      </c>
      <c r="O23" s="11"/>
      <c r="P23" s="2">
        <v>0</v>
      </c>
      <c r="Q23" s="2"/>
      <c r="R23" s="19">
        <f t="shared" si="10"/>
        <v>0</v>
      </c>
      <c r="S23" s="2"/>
      <c r="T23" s="2"/>
      <c r="U23" s="2"/>
      <c r="V23" s="19">
        <f t="shared" si="11"/>
        <v>0</v>
      </c>
      <c r="W23" s="2"/>
      <c r="X23" s="2">
        <f t="shared" si="12"/>
        <v>0</v>
      </c>
      <c r="Y23" s="2"/>
      <c r="Z23" s="19">
        <f t="shared" si="13"/>
        <v>0</v>
      </c>
    </row>
    <row r="24" spans="1:26" s="24" customFormat="1" hidden="1" outlineLevel="1" x14ac:dyDescent="0.3">
      <c r="A24" s="44"/>
      <c r="B24" s="11" t="str">
        <f>CONCATENATE("          ", "5002", " - ", "PURCHASES @ COST-USED TEXT")</f>
        <v xml:space="preserve">          5002 - PURCHASES @ COST-USED TEXT</v>
      </c>
      <c r="C24" s="11"/>
      <c r="D24" s="2"/>
      <c r="E24" s="2"/>
      <c r="F24" s="19">
        <f t="shared" si="6"/>
        <v>0</v>
      </c>
      <c r="G24" s="2"/>
      <c r="H24" s="2"/>
      <c r="I24" s="2"/>
      <c r="J24" s="19">
        <f t="shared" si="7"/>
        <v>0</v>
      </c>
      <c r="K24" s="2"/>
      <c r="L24" s="2">
        <f t="shared" si="8"/>
        <v>0</v>
      </c>
      <c r="M24" s="2"/>
      <c r="N24" s="19">
        <f t="shared" si="9"/>
        <v>0</v>
      </c>
      <c r="O24" s="11"/>
      <c r="P24" s="2">
        <v>0</v>
      </c>
      <c r="Q24" s="2"/>
      <c r="R24" s="19">
        <f t="shared" si="10"/>
        <v>0</v>
      </c>
      <c r="S24" s="2"/>
      <c r="T24" s="2"/>
      <c r="U24" s="2"/>
      <c r="V24" s="19">
        <f t="shared" si="11"/>
        <v>0</v>
      </c>
      <c r="W24" s="2"/>
      <c r="X24" s="2">
        <f t="shared" si="12"/>
        <v>0</v>
      </c>
      <c r="Y24" s="2"/>
      <c r="Z24" s="19">
        <f t="shared" si="13"/>
        <v>0</v>
      </c>
    </row>
    <row r="25" spans="1:26" s="24" customFormat="1" hidden="1" outlineLevel="1" x14ac:dyDescent="0.3">
      <c r="A25" s="44"/>
      <c r="B25" s="11" t="str">
        <f>CONCATENATE("          ", "5004", " - ", "PURCHASES @ COST-DIGITAL TEXT")</f>
        <v xml:space="preserve">          5004 - PURCHASES @ COST-DIGITAL TEXT</v>
      </c>
      <c r="C25" s="11"/>
      <c r="D25" s="2"/>
      <c r="E25" s="2"/>
      <c r="F25" s="19">
        <f t="shared" si="6"/>
        <v>0</v>
      </c>
      <c r="G25" s="2"/>
      <c r="H25" s="2"/>
      <c r="I25" s="2"/>
      <c r="J25" s="19">
        <f t="shared" si="7"/>
        <v>0</v>
      </c>
      <c r="K25" s="2"/>
      <c r="L25" s="2">
        <f t="shared" si="8"/>
        <v>0</v>
      </c>
      <c r="M25" s="2"/>
      <c r="N25" s="19">
        <f t="shared" si="9"/>
        <v>0</v>
      </c>
      <c r="O25" s="11"/>
      <c r="P25" s="2">
        <v>0</v>
      </c>
      <c r="Q25" s="2"/>
      <c r="R25" s="19">
        <f t="shared" si="10"/>
        <v>0</v>
      </c>
      <c r="S25" s="2"/>
      <c r="T25" s="2"/>
      <c r="U25" s="2"/>
      <c r="V25" s="19">
        <f t="shared" si="11"/>
        <v>0</v>
      </c>
      <c r="W25" s="2"/>
      <c r="X25" s="2">
        <f t="shared" si="12"/>
        <v>0</v>
      </c>
      <c r="Y25" s="2"/>
      <c r="Z25" s="19">
        <f t="shared" si="13"/>
        <v>0</v>
      </c>
    </row>
    <row r="26" spans="1:26" s="24" customFormat="1" hidden="1" outlineLevel="1" x14ac:dyDescent="0.3">
      <c r="A26" s="44"/>
      <c r="B26" s="11" t="str">
        <f>CONCATENATE("          ", "5026", " - ", "PURCHASES @ COST-WRITING INSTR")</f>
        <v xml:space="preserve">          5026 - PURCHASES @ COST-WRITING INSTR</v>
      </c>
      <c r="C26" s="11"/>
      <c r="D26" s="2"/>
      <c r="E26" s="2"/>
      <c r="F26" s="19">
        <f t="shared" si="6"/>
        <v>0</v>
      </c>
      <c r="G26" s="2"/>
      <c r="H26" s="2"/>
      <c r="I26" s="2"/>
      <c r="J26" s="19">
        <f t="shared" si="7"/>
        <v>0</v>
      </c>
      <c r="K26" s="2"/>
      <c r="L26" s="2">
        <f t="shared" si="8"/>
        <v>0</v>
      </c>
      <c r="M26" s="2"/>
      <c r="N26" s="19">
        <f t="shared" si="9"/>
        <v>0</v>
      </c>
      <c r="O26" s="11"/>
      <c r="P26" s="2">
        <v>0</v>
      </c>
      <c r="Q26" s="2"/>
      <c r="R26" s="19">
        <f t="shared" si="10"/>
        <v>0</v>
      </c>
      <c r="S26" s="2"/>
      <c r="T26" s="2"/>
      <c r="U26" s="2"/>
      <c r="V26" s="19">
        <f t="shared" si="11"/>
        <v>0</v>
      </c>
      <c r="W26" s="2"/>
      <c r="X26" s="2">
        <f t="shared" si="12"/>
        <v>0</v>
      </c>
      <c r="Y26" s="2"/>
      <c r="Z26" s="19">
        <f t="shared" si="13"/>
        <v>0</v>
      </c>
    </row>
    <row r="27" spans="1:26" s="24" customFormat="1" hidden="1" outlineLevel="1" x14ac:dyDescent="0.3">
      <c r="A27" s="44"/>
      <c r="B27" s="11" t="str">
        <f>CONCATENATE("          ", "5027", " - ", "PURCHASES @ COST-SCHOOL SUPPLI")</f>
        <v xml:space="preserve">          5027 - PURCHASES @ COST-SCHOOL SUPPLI</v>
      </c>
      <c r="C27" s="11"/>
      <c r="D27" s="2"/>
      <c r="E27" s="2"/>
      <c r="F27" s="19">
        <f t="shared" si="6"/>
        <v>0</v>
      </c>
      <c r="G27" s="2"/>
      <c r="H27" s="2"/>
      <c r="I27" s="2"/>
      <c r="J27" s="19">
        <f t="shared" si="7"/>
        <v>0</v>
      </c>
      <c r="K27" s="2"/>
      <c r="L27" s="2">
        <f t="shared" si="8"/>
        <v>0</v>
      </c>
      <c r="M27" s="2"/>
      <c r="N27" s="19">
        <f t="shared" si="9"/>
        <v>0</v>
      </c>
      <c r="O27" s="11"/>
      <c r="P27" s="2">
        <v>0</v>
      </c>
      <c r="Q27" s="2"/>
      <c r="R27" s="19">
        <f t="shared" si="10"/>
        <v>0</v>
      </c>
      <c r="S27" s="2"/>
      <c r="T27" s="2"/>
      <c r="U27" s="2"/>
      <c r="V27" s="19">
        <f t="shared" si="11"/>
        <v>0</v>
      </c>
      <c r="W27" s="2"/>
      <c r="X27" s="2">
        <f t="shared" si="12"/>
        <v>0</v>
      </c>
      <c r="Y27" s="2"/>
      <c r="Z27" s="19">
        <f t="shared" si="13"/>
        <v>0</v>
      </c>
    </row>
    <row r="28" spans="1:26" s="24" customFormat="1" hidden="1" outlineLevel="1" x14ac:dyDescent="0.3">
      <c r="A28" s="44"/>
      <c r="B28" s="11" t="str">
        <f>CONCATENATE("          ", "5028", " - ", "PURCHASES @ COST-ART/TECH")</f>
        <v xml:space="preserve">          5028 - PURCHASES @ COST-ART/TECH</v>
      </c>
      <c r="C28" s="11"/>
      <c r="D28" s="2"/>
      <c r="E28" s="2"/>
      <c r="F28" s="19">
        <f t="shared" si="6"/>
        <v>0</v>
      </c>
      <c r="G28" s="2"/>
      <c r="H28" s="2"/>
      <c r="I28" s="2"/>
      <c r="J28" s="19">
        <f t="shared" si="7"/>
        <v>0</v>
      </c>
      <c r="K28" s="2"/>
      <c r="L28" s="2">
        <f t="shared" si="8"/>
        <v>0</v>
      </c>
      <c r="M28" s="2"/>
      <c r="N28" s="19">
        <f t="shared" si="9"/>
        <v>0</v>
      </c>
      <c r="O28" s="11"/>
      <c r="P28" s="2">
        <v>0</v>
      </c>
      <c r="Q28" s="2"/>
      <c r="R28" s="19">
        <f t="shared" si="10"/>
        <v>0</v>
      </c>
      <c r="S28" s="2"/>
      <c r="T28" s="2"/>
      <c r="U28" s="2"/>
      <c r="V28" s="19">
        <f t="shared" si="11"/>
        <v>0</v>
      </c>
      <c r="W28" s="2"/>
      <c r="X28" s="2">
        <f t="shared" si="12"/>
        <v>0</v>
      </c>
      <c r="Y28" s="2"/>
      <c r="Z28" s="19">
        <f t="shared" si="13"/>
        <v>0</v>
      </c>
    </row>
    <row r="29" spans="1:26" s="24" customFormat="1" hidden="1" outlineLevel="1" x14ac:dyDescent="0.3">
      <c r="A29" s="44"/>
      <c r="B29" s="11" t="str">
        <f>CONCATENATE("          ", "5031", " - ", "PURCHASES @ COST-FOOD")</f>
        <v xml:space="preserve">          5031 - PURCHASES @ COST-FOOD</v>
      </c>
      <c r="C29" s="11"/>
      <c r="D29" s="2"/>
      <c r="E29" s="2"/>
      <c r="F29" s="19">
        <f t="shared" si="6"/>
        <v>0</v>
      </c>
      <c r="G29" s="2"/>
      <c r="H29" s="2"/>
      <c r="I29" s="2"/>
      <c r="J29" s="19">
        <f t="shared" si="7"/>
        <v>0</v>
      </c>
      <c r="K29" s="2"/>
      <c r="L29" s="2">
        <f t="shared" si="8"/>
        <v>0</v>
      </c>
      <c r="M29" s="2"/>
      <c r="N29" s="19">
        <f t="shared" si="9"/>
        <v>0</v>
      </c>
      <c r="O29" s="11"/>
      <c r="P29" s="2">
        <v>0</v>
      </c>
      <c r="Q29" s="2"/>
      <c r="R29" s="19">
        <f t="shared" si="10"/>
        <v>0</v>
      </c>
      <c r="S29" s="2"/>
      <c r="T29" s="2"/>
      <c r="U29" s="2"/>
      <c r="V29" s="19">
        <f t="shared" si="11"/>
        <v>0</v>
      </c>
      <c r="W29" s="2"/>
      <c r="X29" s="2">
        <f t="shared" si="12"/>
        <v>0</v>
      </c>
      <c r="Y29" s="2"/>
      <c r="Z29" s="19">
        <f t="shared" si="13"/>
        <v>0</v>
      </c>
    </row>
    <row r="30" spans="1:26" s="24" customFormat="1" hidden="1" outlineLevel="1" x14ac:dyDescent="0.3">
      <c r="A30" s="44"/>
      <c r="B30" s="11" t="str">
        <f>CONCATENATE("          ", "5040", " - ", "PURCHASES @ COST-LOGO CLOTHING")</f>
        <v xml:space="preserve">          5040 - PURCHASES @ COST-LOGO CLOTHING</v>
      </c>
      <c r="C30" s="11"/>
      <c r="D30" s="2"/>
      <c r="E30" s="2"/>
      <c r="F30" s="19">
        <f t="shared" si="6"/>
        <v>0</v>
      </c>
      <c r="G30" s="2"/>
      <c r="H30" s="2"/>
      <c r="I30" s="2"/>
      <c r="J30" s="19">
        <f t="shared" si="7"/>
        <v>0</v>
      </c>
      <c r="K30" s="2"/>
      <c r="L30" s="2">
        <f t="shared" si="8"/>
        <v>0</v>
      </c>
      <c r="M30" s="2"/>
      <c r="N30" s="19">
        <f t="shared" si="9"/>
        <v>0</v>
      </c>
      <c r="O30" s="11"/>
      <c r="P30" s="2">
        <v>0</v>
      </c>
      <c r="Q30" s="2"/>
      <c r="R30" s="19">
        <f t="shared" si="10"/>
        <v>0</v>
      </c>
      <c r="S30" s="2"/>
      <c r="T30" s="2"/>
      <c r="U30" s="2"/>
      <c r="V30" s="19">
        <f t="shared" si="11"/>
        <v>0</v>
      </c>
      <c r="W30" s="2"/>
      <c r="X30" s="2">
        <f t="shared" si="12"/>
        <v>0</v>
      </c>
      <c r="Y30" s="2"/>
      <c r="Z30" s="19">
        <f t="shared" si="13"/>
        <v>0</v>
      </c>
    </row>
    <row r="31" spans="1:26" s="24" customFormat="1" hidden="1" outlineLevel="1" x14ac:dyDescent="0.3">
      <c r="A31" s="44"/>
      <c r="B31" s="11" t="str">
        <f>CONCATENATE("          ", "5041", " - ", "PURCHASES @ COST-LOGO GIFTS")</f>
        <v xml:space="preserve">          5041 - PURCHASES @ COST-LOGO GIFTS</v>
      </c>
      <c r="C31" s="11"/>
      <c r="D31" s="2"/>
      <c r="E31" s="2"/>
      <c r="F31" s="19">
        <f t="shared" si="6"/>
        <v>0</v>
      </c>
      <c r="G31" s="2"/>
      <c r="H31" s="2"/>
      <c r="I31" s="2"/>
      <c r="J31" s="19">
        <f t="shared" si="7"/>
        <v>0</v>
      </c>
      <c r="K31" s="2"/>
      <c r="L31" s="2">
        <f t="shared" si="8"/>
        <v>0</v>
      </c>
      <c r="M31" s="2"/>
      <c r="N31" s="19">
        <f t="shared" si="9"/>
        <v>0</v>
      </c>
      <c r="O31" s="11"/>
      <c r="P31" s="2">
        <v>0</v>
      </c>
      <c r="Q31" s="2"/>
      <c r="R31" s="19">
        <f t="shared" si="10"/>
        <v>0</v>
      </c>
      <c r="S31" s="2"/>
      <c r="T31" s="2"/>
      <c r="U31" s="2"/>
      <c r="V31" s="19">
        <f t="shared" si="11"/>
        <v>0</v>
      </c>
      <c r="W31" s="2"/>
      <c r="X31" s="2">
        <f t="shared" si="12"/>
        <v>0</v>
      </c>
      <c r="Y31" s="2"/>
      <c r="Z31" s="19">
        <f t="shared" si="13"/>
        <v>0</v>
      </c>
    </row>
    <row r="32" spans="1:26" s="24" customFormat="1" hidden="1" outlineLevel="1" x14ac:dyDescent="0.3">
      <c r="A32" s="44"/>
      <c r="B32" s="11" t="str">
        <f>CONCATENATE("          ", "5042", " - ", "PURCHASES @ COST-EVERYDAY GIFT")</f>
        <v xml:space="preserve">          5042 - PURCHASES @ COST-EVERYDAY GIFT</v>
      </c>
      <c r="C32" s="11"/>
      <c r="D32" s="2"/>
      <c r="E32" s="2"/>
      <c r="F32" s="19">
        <f t="shared" si="6"/>
        <v>0</v>
      </c>
      <c r="G32" s="2"/>
      <c r="H32" s="2"/>
      <c r="I32" s="2"/>
      <c r="J32" s="19">
        <f t="shared" si="7"/>
        <v>0</v>
      </c>
      <c r="K32" s="2"/>
      <c r="L32" s="2">
        <f t="shared" si="8"/>
        <v>0</v>
      </c>
      <c r="M32" s="2"/>
      <c r="N32" s="19">
        <f t="shared" si="9"/>
        <v>0</v>
      </c>
      <c r="O32" s="11"/>
      <c r="P32" s="2">
        <v>0</v>
      </c>
      <c r="Q32" s="2"/>
      <c r="R32" s="19">
        <f t="shared" si="10"/>
        <v>0</v>
      </c>
      <c r="S32" s="2"/>
      <c r="T32" s="2"/>
      <c r="U32" s="2"/>
      <c r="V32" s="19">
        <f t="shared" si="11"/>
        <v>0</v>
      </c>
      <c r="W32" s="2"/>
      <c r="X32" s="2">
        <f t="shared" si="12"/>
        <v>0</v>
      </c>
      <c r="Y32" s="2"/>
      <c r="Z32" s="19">
        <f t="shared" si="13"/>
        <v>0</v>
      </c>
    </row>
    <row r="33" spans="1:26" s="24" customFormat="1" hidden="1" outlineLevel="1" x14ac:dyDescent="0.3">
      <c r="A33" s="44"/>
      <c r="B33" s="11" t="str">
        <f>CONCATENATE("          ", "5043", " - ", "PURCHASES @ COST-CARDS")</f>
        <v xml:space="preserve">          5043 - PURCHASES @ COST-CARDS</v>
      </c>
      <c r="C33" s="11"/>
      <c r="D33" s="2"/>
      <c r="E33" s="2"/>
      <c r="F33" s="19">
        <f t="shared" si="6"/>
        <v>0</v>
      </c>
      <c r="G33" s="2"/>
      <c r="H33" s="2"/>
      <c r="I33" s="2"/>
      <c r="J33" s="19">
        <f t="shared" si="7"/>
        <v>0</v>
      </c>
      <c r="K33" s="2"/>
      <c r="L33" s="2">
        <f t="shared" si="8"/>
        <v>0</v>
      </c>
      <c r="M33" s="2"/>
      <c r="N33" s="19">
        <f t="shared" si="9"/>
        <v>0</v>
      </c>
      <c r="O33" s="11"/>
      <c r="P33" s="2">
        <v>0</v>
      </c>
      <c r="Q33" s="2"/>
      <c r="R33" s="19">
        <f t="shared" si="10"/>
        <v>0</v>
      </c>
      <c r="S33" s="2"/>
      <c r="T33" s="2"/>
      <c r="U33" s="2"/>
      <c r="V33" s="19">
        <f t="shared" si="11"/>
        <v>0</v>
      </c>
      <c r="W33" s="2"/>
      <c r="X33" s="2">
        <f t="shared" si="12"/>
        <v>0</v>
      </c>
      <c r="Y33" s="2"/>
      <c r="Z33" s="19">
        <f t="shared" si="13"/>
        <v>0</v>
      </c>
    </row>
    <row r="34" spans="1:26" s="24" customFormat="1" hidden="1" outlineLevel="1" x14ac:dyDescent="0.3">
      <c r="A34" s="44"/>
      <c r="B34" s="11" t="str">
        <f>CONCATENATE("          ", "5044", " - ", "PURCHASES @ COST-ACCESSORIES")</f>
        <v xml:space="preserve">          5044 - PURCHASES @ COST-ACCESSORIES</v>
      </c>
      <c r="C34" s="11"/>
      <c r="D34" s="2"/>
      <c r="E34" s="2"/>
      <c r="F34" s="19">
        <f t="shared" si="6"/>
        <v>0</v>
      </c>
      <c r="G34" s="2"/>
      <c r="H34" s="2"/>
      <c r="I34" s="2"/>
      <c r="J34" s="19">
        <f t="shared" si="7"/>
        <v>0</v>
      </c>
      <c r="K34" s="2"/>
      <c r="L34" s="2">
        <f t="shared" si="8"/>
        <v>0</v>
      </c>
      <c r="M34" s="2"/>
      <c r="N34" s="19">
        <f t="shared" si="9"/>
        <v>0</v>
      </c>
      <c r="O34" s="11"/>
      <c r="P34" s="2">
        <v>0</v>
      </c>
      <c r="Q34" s="2"/>
      <c r="R34" s="19">
        <f t="shared" si="10"/>
        <v>0</v>
      </c>
      <c r="S34" s="2"/>
      <c r="T34" s="2"/>
      <c r="U34" s="2"/>
      <c r="V34" s="19">
        <f t="shared" si="11"/>
        <v>0</v>
      </c>
      <c r="W34" s="2"/>
      <c r="X34" s="2">
        <f t="shared" si="12"/>
        <v>0</v>
      </c>
      <c r="Y34" s="2"/>
      <c r="Z34" s="19">
        <f t="shared" si="13"/>
        <v>0</v>
      </c>
    </row>
    <row r="35" spans="1:26" s="24" customFormat="1" hidden="1" outlineLevel="1" x14ac:dyDescent="0.3">
      <c r="A35" s="44"/>
      <c r="B35" s="11" t="str">
        <f>CONCATENATE("          ", "5045", " - ", "PURCHASES @ COST-SPECIAL ORDER")</f>
        <v xml:space="preserve">          5045 - PURCHASES @ COST-SPECIAL ORDER</v>
      </c>
      <c r="C35" s="11"/>
      <c r="D35" s="2"/>
      <c r="E35" s="2"/>
      <c r="F35" s="19">
        <f t="shared" si="6"/>
        <v>0</v>
      </c>
      <c r="G35" s="2"/>
      <c r="H35" s="2"/>
      <c r="I35" s="2"/>
      <c r="J35" s="19">
        <f t="shared" si="7"/>
        <v>0</v>
      </c>
      <c r="K35" s="2"/>
      <c r="L35" s="2">
        <f t="shared" si="8"/>
        <v>0</v>
      </c>
      <c r="M35" s="2"/>
      <c r="N35" s="19">
        <f t="shared" si="9"/>
        <v>0</v>
      </c>
      <c r="O35" s="11"/>
      <c r="P35" s="2">
        <v>0</v>
      </c>
      <c r="Q35" s="2"/>
      <c r="R35" s="19">
        <f t="shared" si="10"/>
        <v>0</v>
      </c>
      <c r="S35" s="2"/>
      <c r="T35" s="2"/>
      <c r="U35" s="2"/>
      <c r="V35" s="19">
        <f t="shared" si="11"/>
        <v>0</v>
      </c>
      <c r="W35" s="2"/>
      <c r="X35" s="2">
        <f t="shared" si="12"/>
        <v>0</v>
      </c>
      <c r="Y35" s="2"/>
      <c r="Z35" s="19">
        <f t="shared" si="13"/>
        <v>0</v>
      </c>
    </row>
    <row r="36" spans="1:26" s="24" customFormat="1" hidden="1" outlineLevel="1" x14ac:dyDescent="0.3">
      <c r="A36" s="44"/>
      <c r="B36" s="11" t="str">
        <f>CONCATENATE("          ", "5081", " - ", "PURCHASES @ COST-ELECTRONICS")</f>
        <v xml:space="preserve">          5081 - PURCHASES @ COST-ELECTRONICS</v>
      </c>
      <c r="C36" s="11"/>
      <c r="D36" s="2"/>
      <c r="E36" s="2"/>
      <c r="F36" s="19">
        <f t="shared" si="6"/>
        <v>0</v>
      </c>
      <c r="G36" s="2"/>
      <c r="H36" s="2"/>
      <c r="I36" s="2"/>
      <c r="J36" s="19">
        <f t="shared" si="7"/>
        <v>0</v>
      </c>
      <c r="K36" s="2"/>
      <c r="L36" s="2">
        <f t="shared" si="8"/>
        <v>0</v>
      </c>
      <c r="M36" s="2"/>
      <c r="N36" s="19">
        <f t="shared" si="9"/>
        <v>0</v>
      </c>
      <c r="O36" s="11"/>
      <c r="P36" s="2">
        <v>0</v>
      </c>
      <c r="Q36" s="2"/>
      <c r="R36" s="19">
        <f t="shared" si="10"/>
        <v>0</v>
      </c>
      <c r="S36" s="2"/>
      <c r="T36" s="2"/>
      <c r="U36" s="2"/>
      <c r="V36" s="19">
        <f t="shared" si="11"/>
        <v>0</v>
      </c>
      <c r="W36" s="2"/>
      <c r="X36" s="2">
        <f t="shared" si="12"/>
        <v>0</v>
      </c>
      <c r="Y36" s="2"/>
      <c r="Z36" s="19">
        <f t="shared" si="13"/>
        <v>0</v>
      </c>
    </row>
    <row r="37" spans="1:26" s="24" customFormat="1" hidden="1" outlineLevel="1" x14ac:dyDescent="0.3">
      <c r="A37" s="44"/>
      <c r="B37" s="11" t="str">
        <f>CONCATENATE("          ", "5082", " - ", "PURCHASES @ COST-COMPUTER HARD")</f>
        <v xml:space="preserve">          5082 - PURCHASES @ COST-COMPUTER HARD</v>
      </c>
      <c r="C37" s="11"/>
      <c r="D37" s="2">
        <v>-3384.72</v>
      </c>
      <c r="E37" s="2"/>
      <c r="F37" s="19">
        <f t="shared" si="6"/>
        <v>-8.7400337297668905E-3</v>
      </c>
      <c r="G37" s="2"/>
      <c r="H37" s="2"/>
      <c r="I37" s="2"/>
      <c r="J37" s="19">
        <f t="shared" si="7"/>
        <v>0</v>
      </c>
      <c r="K37" s="2"/>
      <c r="L37" s="2">
        <f t="shared" si="8"/>
        <v>-3384.72</v>
      </c>
      <c r="M37" s="2"/>
      <c r="N37" s="19">
        <f t="shared" si="9"/>
        <v>0</v>
      </c>
      <c r="O37" s="11"/>
      <c r="P37" s="2">
        <v>-80709.45</v>
      </c>
      <c r="Q37" s="2"/>
      <c r="R37" s="19">
        <f t="shared" si="10"/>
        <v>-2.0197484142589633E-2</v>
      </c>
      <c r="S37" s="2"/>
      <c r="T37" s="2"/>
      <c r="U37" s="2"/>
      <c r="V37" s="19">
        <f t="shared" si="11"/>
        <v>0</v>
      </c>
      <c r="W37" s="2"/>
      <c r="X37" s="2">
        <f t="shared" si="12"/>
        <v>-80709.45</v>
      </c>
      <c r="Y37" s="2"/>
      <c r="Z37" s="19">
        <f t="shared" si="13"/>
        <v>0</v>
      </c>
    </row>
    <row r="38" spans="1:26" s="24" customFormat="1" hidden="1" outlineLevel="1" x14ac:dyDescent="0.3">
      <c r="A38" s="44"/>
      <c r="B38" s="11" t="str">
        <f>CONCATENATE("          ", "5083", " - ", "PURCHASES @ COST-COMPUTER EQUI")</f>
        <v xml:space="preserve">          5083 - PURCHASES @ COST-COMPUTER EQUI</v>
      </c>
      <c r="C38" s="11"/>
      <c r="D38" s="2"/>
      <c r="E38" s="2"/>
      <c r="F38" s="19">
        <f t="shared" si="6"/>
        <v>0</v>
      </c>
      <c r="G38" s="2"/>
      <c r="H38" s="2"/>
      <c r="I38" s="2"/>
      <c r="J38" s="19">
        <f t="shared" si="7"/>
        <v>0</v>
      </c>
      <c r="K38" s="2"/>
      <c r="L38" s="2">
        <f t="shared" si="8"/>
        <v>0</v>
      </c>
      <c r="M38" s="2"/>
      <c r="N38" s="19">
        <f t="shared" si="9"/>
        <v>0</v>
      </c>
      <c r="O38" s="11"/>
      <c r="P38" s="2">
        <v>0</v>
      </c>
      <c r="Q38" s="2"/>
      <c r="R38" s="19">
        <f t="shared" si="10"/>
        <v>0</v>
      </c>
      <c r="S38" s="2"/>
      <c r="T38" s="2"/>
      <c r="U38" s="2"/>
      <c r="V38" s="19">
        <f t="shared" si="11"/>
        <v>0</v>
      </c>
      <c r="W38" s="2"/>
      <c r="X38" s="2">
        <f t="shared" si="12"/>
        <v>0</v>
      </c>
      <c r="Y38" s="2"/>
      <c r="Z38" s="19">
        <f t="shared" si="13"/>
        <v>0</v>
      </c>
    </row>
    <row r="39" spans="1:26" s="24" customFormat="1" hidden="1" outlineLevel="1" x14ac:dyDescent="0.3">
      <c r="A39" s="44"/>
      <c r="B39" s="11" t="str">
        <f>CONCATENATE("          ", "5085", " - ", "PURCHASES @ COST-SOFTWARE")</f>
        <v xml:space="preserve">          5085 - PURCHASES @ COST-SOFTWARE</v>
      </c>
      <c r="C39" s="11"/>
      <c r="D39" s="2"/>
      <c r="E39" s="2"/>
      <c r="F39" s="19">
        <f t="shared" si="6"/>
        <v>0</v>
      </c>
      <c r="G39" s="2"/>
      <c r="H39" s="2"/>
      <c r="I39" s="2"/>
      <c r="J39" s="19">
        <f t="shared" si="7"/>
        <v>0</v>
      </c>
      <c r="K39" s="2"/>
      <c r="L39" s="2">
        <f t="shared" si="8"/>
        <v>0</v>
      </c>
      <c r="M39" s="2"/>
      <c r="N39" s="19">
        <f t="shared" si="9"/>
        <v>0</v>
      </c>
      <c r="O39" s="11"/>
      <c r="P39" s="2">
        <v>0</v>
      </c>
      <c r="Q39" s="2"/>
      <c r="R39" s="19">
        <f t="shared" si="10"/>
        <v>0</v>
      </c>
      <c r="S39" s="2"/>
      <c r="T39" s="2"/>
      <c r="U39" s="2"/>
      <c r="V39" s="19">
        <f t="shared" si="11"/>
        <v>0</v>
      </c>
      <c r="W39" s="2"/>
      <c r="X39" s="2">
        <f t="shared" si="12"/>
        <v>0</v>
      </c>
      <c r="Y39" s="2"/>
      <c r="Z39" s="19">
        <f t="shared" si="13"/>
        <v>0</v>
      </c>
    </row>
    <row r="40" spans="1:26" s="24" customFormat="1" hidden="1" outlineLevel="1" x14ac:dyDescent="0.3">
      <c r="A40" s="44"/>
      <c r="B40" s="11" t="str">
        <f>CONCATENATE("          ", "5086", " - ", "PURCHASES @ COST-COMPUTER SUPP")</f>
        <v xml:space="preserve">          5086 - PURCHASES @ COST-COMPUTER SUPP</v>
      </c>
      <c r="C40" s="11"/>
      <c r="D40" s="2"/>
      <c r="E40" s="2"/>
      <c r="F40" s="19">
        <f t="shared" si="6"/>
        <v>0</v>
      </c>
      <c r="G40" s="2"/>
      <c r="H40" s="2"/>
      <c r="I40" s="2"/>
      <c r="J40" s="19">
        <f t="shared" si="7"/>
        <v>0</v>
      </c>
      <c r="K40" s="2"/>
      <c r="L40" s="2">
        <f t="shared" si="8"/>
        <v>0</v>
      </c>
      <c r="M40" s="2"/>
      <c r="N40" s="19">
        <f t="shared" si="9"/>
        <v>0</v>
      </c>
      <c r="O40" s="11"/>
      <c r="P40" s="2">
        <v>0</v>
      </c>
      <c r="Q40" s="2"/>
      <c r="R40" s="19">
        <f t="shared" si="10"/>
        <v>0</v>
      </c>
      <c r="S40" s="2"/>
      <c r="T40" s="2"/>
      <c r="U40" s="2"/>
      <c r="V40" s="19">
        <f t="shared" si="11"/>
        <v>0</v>
      </c>
      <c r="W40" s="2"/>
      <c r="X40" s="2">
        <f t="shared" si="12"/>
        <v>0</v>
      </c>
      <c r="Y40" s="2"/>
      <c r="Z40" s="19">
        <f t="shared" si="13"/>
        <v>0</v>
      </c>
    </row>
    <row r="41" spans="1:26" s="24" customFormat="1" hidden="1" outlineLevel="1" x14ac:dyDescent="0.3">
      <c r="A41" s="44"/>
      <c r="B41" s="11" t="str">
        <f>CONCATENATE("          ", "5200", " - ", "PURCHASES OFFSET")</f>
        <v xml:space="preserve">          5200 - PURCHASES OFFSET</v>
      </c>
      <c r="C41" s="11"/>
      <c r="D41" s="2">
        <v>427.46</v>
      </c>
      <c r="E41" s="2"/>
      <c r="F41" s="19">
        <f t="shared" si="6"/>
        <v>1.1037884428035864E-3</v>
      </c>
      <c r="G41" s="2"/>
      <c r="H41" s="2"/>
      <c r="I41" s="2"/>
      <c r="J41" s="19">
        <f t="shared" si="7"/>
        <v>0</v>
      </c>
      <c r="K41" s="2"/>
      <c r="L41" s="2">
        <f t="shared" si="8"/>
        <v>427.46</v>
      </c>
      <c r="M41" s="2"/>
      <c r="N41" s="19">
        <f t="shared" si="9"/>
        <v>0</v>
      </c>
      <c r="O41" s="11"/>
      <c r="P41" s="2">
        <v>-2798823.91</v>
      </c>
      <c r="Q41" s="2"/>
      <c r="R41" s="19">
        <f t="shared" si="10"/>
        <v>-0.70040375123514931</v>
      </c>
      <c r="S41" s="2"/>
      <c r="T41" s="2"/>
      <c r="U41" s="2"/>
      <c r="V41" s="19">
        <f t="shared" si="11"/>
        <v>0</v>
      </c>
      <c r="W41" s="2"/>
      <c r="X41" s="2">
        <f t="shared" si="12"/>
        <v>-2798823.91</v>
      </c>
      <c r="Y41" s="2"/>
      <c r="Z41" s="19">
        <f t="shared" si="13"/>
        <v>0</v>
      </c>
    </row>
    <row r="42" spans="1:26" s="24" customFormat="1" hidden="1" outlineLevel="1" x14ac:dyDescent="0.3">
      <c r="A42" s="44"/>
      <c r="B42" s="11" t="str">
        <f>CONCATENATE("          ", "5300", " - ", "COG$ OFFSET")</f>
        <v xml:space="preserve">          5300 - COG$ OFFSET</v>
      </c>
      <c r="C42" s="11"/>
      <c r="D42" s="2">
        <v>224057.66</v>
      </c>
      <c r="E42" s="2"/>
      <c r="F42" s="19">
        <f t="shared" si="6"/>
        <v>0.57856233479065977</v>
      </c>
      <c r="G42" s="2"/>
      <c r="H42" s="2"/>
      <c r="I42" s="2"/>
      <c r="J42" s="19">
        <f t="shared" si="7"/>
        <v>0</v>
      </c>
      <c r="K42" s="2"/>
      <c r="L42" s="2">
        <f t="shared" si="8"/>
        <v>224057.66</v>
      </c>
      <c r="M42" s="2"/>
      <c r="N42" s="19">
        <f t="shared" si="9"/>
        <v>0</v>
      </c>
      <c r="O42" s="11"/>
      <c r="P42" s="2">
        <v>2483449.54</v>
      </c>
      <c r="Q42" s="2"/>
      <c r="R42" s="19">
        <f t="shared" si="10"/>
        <v>0.62148153286971375</v>
      </c>
      <c r="S42" s="2"/>
      <c r="T42" s="2"/>
      <c r="U42" s="2"/>
      <c r="V42" s="19">
        <f t="shared" si="11"/>
        <v>0</v>
      </c>
      <c r="W42" s="2"/>
      <c r="X42" s="2">
        <f t="shared" si="12"/>
        <v>2483449.54</v>
      </c>
      <c r="Y42" s="2"/>
      <c r="Z42" s="19">
        <f t="shared" si="13"/>
        <v>0</v>
      </c>
    </row>
    <row r="43" spans="1:26" s="24" customFormat="1" hidden="1" outlineLevel="1" x14ac:dyDescent="0.3">
      <c r="A43" s="44"/>
      <c r="B43" s="11" t="str">
        <f>CONCATENATE("          ", "5500", " - ", "FREIGHT-IN")</f>
        <v xml:space="preserve">          5500 - FREIGHT-IN</v>
      </c>
      <c r="C43" s="11"/>
      <c r="D43" s="2">
        <v>11121.1</v>
      </c>
      <c r="E43" s="2"/>
      <c r="F43" s="19">
        <f t="shared" si="6"/>
        <v>2.8716936441451752E-2</v>
      </c>
      <c r="G43" s="2"/>
      <c r="H43" s="2"/>
      <c r="I43" s="2"/>
      <c r="J43" s="19">
        <f t="shared" si="7"/>
        <v>0</v>
      </c>
      <c r="K43" s="2"/>
      <c r="L43" s="2">
        <f t="shared" si="8"/>
        <v>11121.1</v>
      </c>
      <c r="M43" s="2"/>
      <c r="N43" s="19">
        <f t="shared" si="9"/>
        <v>0</v>
      </c>
      <c r="O43" s="11"/>
      <c r="P43" s="2">
        <v>60801.25</v>
      </c>
      <c r="Q43" s="2"/>
      <c r="R43" s="19">
        <f t="shared" si="10"/>
        <v>1.5215470836743752E-2</v>
      </c>
      <c r="S43" s="2"/>
      <c r="T43" s="2"/>
      <c r="U43" s="2"/>
      <c r="V43" s="19">
        <f t="shared" si="11"/>
        <v>0</v>
      </c>
      <c r="W43" s="2"/>
      <c r="X43" s="2">
        <f t="shared" si="12"/>
        <v>60801.25</v>
      </c>
      <c r="Y43" s="2"/>
      <c r="Z43" s="19">
        <f t="shared" si="13"/>
        <v>0</v>
      </c>
    </row>
    <row r="44" spans="1:26" s="24" customFormat="1" hidden="1" outlineLevel="1" x14ac:dyDescent="0.3">
      <c r="A44" s="44"/>
      <c r="B44" s="11" t="str">
        <f>CONCATENATE("          ", "5501", " - ", "FREIGHT-IN-NEW TEXT")</f>
        <v xml:space="preserve">          5501 - FREIGHT-IN-NEW TEXT</v>
      </c>
      <c r="C44" s="11"/>
      <c r="D44" s="2"/>
      <c r="E44" s="2"/>
      <c r="F44" s="19">
        <f t="shared" si="6"/>
        <v>0</v>
      </c>
      <c r="G44" s="2"/>
      <c r="H44" s="2"/>
      <c r="I44" s="2"/>
      <c r="J44" s="19">
        <f t="shared" si="7"/>
        <v>0</v>
      </c>
      <c r="K44" s="2"/>
      <c r="L44" s="2">
        <f t="shared" si="8"/>
        <v>0</v>
      </c>
      <c r="M44" s="2"/>
      <c r="N44" s="19">
        <f t="shared" si="9"/>
        <v>0</v>
      </c>
      <c r="O44" s="11"/>
      <c r="P44" s="2">
        <v>0</v>
      </c>
      <c r="Q44" s="2"/>
      <c r="R44" s="19">
        <f t="shared" si="10"/>
        <v>0</v>
      </c>
      <c r="S44" s="2"/>
      <c r="T44" s="2"/>
      <c r="U44" s="2"/>
      <c r="V44" s="19">
        <f t="shared" si="11"/>
        <v>0</v>
      </c>
      <c r="W44" s="2"/>
      <c r="X44" s="2">
        <f t="shared" si="12"/>
        <v>0</v>
      </c>
      <c r="Y44" s="2"/>
      <c r="Z44" s="19">
        <f t="shared" si="13"/>
        <v>0</v>
      </c>
    </row>
    <row r="45" spans="1:26" s="24" customFormat="1" hidden="1" outlineLevel="1" x14ac:dyDescent="0.3">
      <c r="A45" s="44"/>
      <c r="B45" s="11" t="str">
        <f>CONCATENATE("          ", "5502", " - ", "FREIGHT-IN-USED TEXT")</f>
        <v xml:space="preserve">          5502 - FREIGHT-IN-USED TEXT</v>
      </c>
      <c r="C45" s="11"/>
      <c r="D45" s="2"/>
      <c r="E45" s="2"/>
      <c r="F45" s="19">
        <f t="shared" si="6"/>
        <v>0</v>
      </c>
      <c r="G45" s="2"/>
      <c r="H45" s="2"/>
      <c r="I45" s="2"/>
      <c r="J45" s="19">
        <f t="shared" si="7"/>
        <v>0</v>
      </c>
      <c r="K45" s="2"/>
      <c r="L45" s="2">
        <f t="shared" si="8"/>
        <v>0</v>
      </c>
      <c r="M45" s="2"/>
      <c r="N45" s="19">
        <f t="shared" si="9"/>
        <v>0</v>
      </c>
      <c r="O45" s="11"/>
      <c r="P45" s="2">
        <v>0</v>
      </c>
      <c r="Q45" s="2"/>
      <c r="R45" s="19">
        <f t="shared" si="10"/>
        <v>0</v>
      </c>
      <c r="S45" s="2"/>
      <c r="T45" s="2"/>
      <c r="U45" s="2"/>
      <c r="V45" s="19">
        <f t="shared" si="11"/>
        <v>0</v>
      </c>
      <c r="W45" s="2"/>
      <c r="X45" s="2">
        <f t="shared" si="12"/>
        <v>0</v>
      </c>
      <c r="Y45" s="2"/>
      <c r="Z45" s="19">
        <f t="shared" si="13"/>
        <v>0</v>
      </c>
    </row>
    <row r="46" spans="1:26" s="24" customFormat="1" hidden="1" outlineLevel="1" x14ac:dyDescent="0.3">
      <c r="A46" s="44"/>
      <c r="B46" s="11" t="str">
        <f>CONCATENATE("          ", "5518", " - ", "FREIGHT-IN-STUDY GUIDES")</f>
        <v xml:space="preserve">          5518 - FREIGHT-IN-STUDY GUIDES</v>
      </c>
      <c r="C46" s="11"/>
      <c r="D46" s="2"/>
      <c r="E46" s="2"/>
      <c r="F46" s="19">
        <f t="shared" si="6"/>
        <v>0</v>
      </c>
      <c r="G46" s="2"/>
      <c r="H46" s="2"/>
      <c r="I46" s="2"/>
      <c r="J46" s="19">
        <f t="shared" si="7"/>
        <v>0</v>
      </c>
      <c r="K46" s="2"/>
      <c r="L46" s="2">
        <f t="shared" si="8"/>
        <v>0</v>
      </c>
      <c r="M46" s="2"/>
      <c r="N46" s="19">
        <f t="shared" si="9"/>
        <v>0</v>
      </c>
      <c r="O46" s="11"/>
      <c r="P46" s="2">
        <v>0</v>
      </c>
      <c r="Q46" s="2"/>
      <c r="R46" s="19">
        <f t="shared" si="10"/>
        <v>0</v>
      </c>
      <c r="S46" s="2"/>
      <c r="T46" s="2"/>
      <c r="U46" s="2"/>
      <c r="V46" s="19">
        <f t="shared" si="11"/>
        <v>0</v>
      </c>
      <c r="W46" s="2"/>
      <c r="X46" s="2">
        <f t="shared" si="12"/>
        <v>0</v>
      </c>
      <c r="Y46" s="2"/>
      <c r="Z46" s="19">
        <f t="shared" si="13"/>
        <v>0</v>
      </c>
    </row>
    <row r="47" spans="1:26" s="24" customFormat="1" hidden="1" outlineLevel="1" x14ac:dyDescent="0.3">
      <c r="A47" s="44"/>
      <c r="B47" s="11" t="str">
        <f>CONCATENATE("          ", "5527", " - ", "FREIGHT-IN-SCHOOL SUPPLIES")</f>
        <v xml:space="preserve">          5527 - FREIGHT-IN-SCHOOL SUPPLIES</v>
      </c>
      <c r="C47" s="11"/>
      <c r="D47" s="2"/>
      <c r="E47" s="2"/>
      <c r="F47" s="19">
        <f t="shared" si="6"/>
        <v>0</v>
      </c>
      <c r="G47" s="2"/>
      <c r="H47" s="2"/>
      <c r="I47" s="2"/>
      <c r="J47" s="19">
        <f t="shared" si="7"/>
        <v>0</v>
      </c>
      <c r="K47" s="2"/>
      <c r="L47" s="2">
        <f t="shared" si="8"/>
        <v>0</v>
      </c>
      <c r="M47" s="2"/>
      <c r="N47" s="19">
        <f t="shared" si="9"/>
        <v>0</v>
      </c>
      <c r="O47" s="11"/>
      <c r="P47" s="2">
        <v>0</v>
      </c>
      <c r="Q47" s="2"/>
      <c r="R47" s="19">
        <f t="shared" si="10"/>
        <v>0</v>
      </c>
      <c r="S47" s="2"/>
      <c r="T47" s="2"/>
      <c r="U47" s="2"/>
      <c r="V47" s="19">
        <f t="shared" si="11"/>
        <v>0</v>
      </c>
      <c r="W47" s="2"/>
      <c r="X47" s="2">
        <f t="shared" si="12"/>
        <v>0</v>
      </c>
      <c r="Y47" s="2"/>
      <c r="Z47" s="19">
        <f t="shared" si="13"/>
        <v>0</v>
      </c>
    </row>
    <row r="48" spans="1:26" s="24" customFormat="1" hidden="1" outlineLevel="1" x14ac:dyDescent="0.3">
      <c r="A48" s="44"/>
      <c r="B48" s="11" t="str">
        <f>CONCATENATE("          ", "5528", " - ", "FREIGHT-IN-ART/TECH")</f>
        <v xml:space="preserve">          5528 - FREIGHT-IN-ART/TECH</v>
      </c>
      <c r="C48" s="11"/>
      <c r="D48" s="2"/>
      <c r="E48" s="2"/>
      <c r="F48" s="19">
        <f t="shared" si="6"/>
        <v>0</v>
      </c>
      <c r="G48" s="2"/>
      <c r="H48" s="2"/>
      <c r="I48" s="2"/>
      <c r="J48" s="19">
        <f t="shared" si="7"/>
        <v>0</v>
      </c>
      <c r="K48" s="2"/>
      <c r="L48" s="2">
        <f t="shared" si="8"/>
        <v>0</v>
      </c>
      <c r="M48" s="2"/>
      <c r="N48" s="19">
        <f t="shared" si="9"/>
        <v>0</v>
      </c>
      <c r="O48" s="11"/>
      <c r="P48" s="2">
        <v>0</v>
      </c>
      <c r="Q48" s="2"/>
      <c r="R48" s="19">
        <f t="shared" si="10"/>
        <v>0</v>
      </c>
      <c r="S48" s="2"/>
      <c r="T48" s="2"/>
      <c r="U48" s="2"/>
      <c r="V48" s="19">
        <f t="shared" si="11"/>
        <v>0</v>
      </c>
      <c r="W48" s="2"/>
      <c r="X48" s="2">
        <f t="shared" si="12"/>
        <v>0</v>
      </c>
      <c r="Y48" s="2"/>
      <c r="Z48" s="19">
        <f t="shared" si="13"/>
        <v>0</v>
      </c>
    </row>
    <row r="49" spans="1:26" s="24" customFormat="1" hidden="1" outlineLevel="1" x14ac:dyDescent="0.3">
      <c r="A49" s="44"/>
      <c r="B49" s="11" t="str">
        <f>CONCATENATE("          ", "5540", " - ", "FREIGHT-IN-LOGO CLOTHING")</f>
        <v xml:space="preserve">          5540 - FREIGHT-IN-LOGO CLOTHING</v>
      </c>
      <c r="C49" s="11"/>
      <c r="D49" s="2"/>
      <c r="E49" s="2"/>
      <c r="F49" s="19">
        <f t="shared" si="6"/>
        <v>0</v>
      </c>
      <c r="G49" s="2"/>
      <c r="H49" s="2"/>
      <c r="I49" s="2"/>
      <c r="J49" s="19">
        <f t="shared" si="7"/>
        <v>0</v>
      </c>
      <c r="K49" s="2"/>
      <c r="L49" s="2">
        <f t="shared" si="8"/>
        <v>0</v>
      </c>
      <c r="M49" s="2"/>
      <c r="N49" s="19">
        <f t="shared" si="9"/>
        <v>0</v>
      </c>
      <c r="O49" s="11"/>
      <c r="P49" s="2">
        <v>0</v>
      </c>
      <c r="Q49" s="2"/>
      <c r="R49" s="19">
        <f t="shared" si="10"/>
        <v>0</v>
      </c>
      <c r="S49" s="2"/>
      <c r="T49" s="2"/>
      <c r="U49" s="2"/>
      <c r="V49" s="19">
        <f t="shared" si="11"/>
        <v>0</v>
      </c>
      <c r="W49" s="2"/>
      <c r="X49" s="2">
        <f t="shared" si="12"/>
        <v>0</v>
      </c>
      <c r="Y49" s="2"/>
      <c r="Z49" s="19">
        <f t="shared" si="13"/>
        <v>0</v>
      </c>
    </row>
    <row r="50" spans="1:26" s="24" customFormat="1" hidden="1" outlineLevel="1" x14ac:dyDescent="0.3">
      <c r="A50" s="44"/>
      <c r="B50" s="11" t="str">
        <f>CONCATENATE("          ", "5541", " - ", "FREIGHT-IN-LOGO GIFTS")</f>
        <v xml:space="preserve">          5541 - FREIGHT-IN-LOGO GIFTS</v>
      </c>
      <c r="C50" s="11"/>
      <c r="D50" s="2"/>
      <c r="E50" s="2"/>
      <c r="F50" s="19">
        <f t="shared" si="6"/>
        <v>0</v>
      </c>
      <c r="G50" s="2"/>
      <c r="H50" s="2"/>
      <c r="I50" s="2"/>
      <c r="J50" s="19">
        <f t="shared" si="7"/>
        <v>0</v>
      </c>
      <c r="K50" s="2"/>
      <c r="L50" s="2">
        <f t="shared" si="8"/>
        <v>0</v>
      </c>
      <c r="M50" s="2"/>
      <c r="N50" s="19">
        <f t="shared" si="9"/>
        <v>0</v>
      </c>
      <c r="O50" s="11"/>
      <c r="P50" s="2">
        <v>0</v>
      </c>
      <c r="Q50" s="2"/>
      <c r="R50" s="19">
        <f t="shared" si="10"/>
        <v>0</v>
      </c>
      <c r="S50" s="2"/>
      <c r="T50" s="2"/>
      <c r="U50" s="2"/>
      <c r="V50" s="19">
        <f t="shared" si="11"/>
        <v>0</v>
      </c>
      <c r="W50" s="2"/>
      <c r="X50" s="2">
        <f t="shared" si="12"/>
        <v>0</v>
      </c>
      <c r="Y50" s="2"/>
      <c r="Z50" s="19">
        <f t="shared" si="13"/>
        <v>0</v>
      </c>
    </row>
    <row r="51" spans="1:26" s="24" customFormat="1" hidden="1" outlineLevel="1" x14ac:dyDescent="0.3">
      <c r="A51" s="44"/>
      <c r="B51" s="11" t="str">
        <f>CONCATENATE("          ", "5542", " - ", "FREIGHT-IN-EVERYDAY GIFTS")</f>
        <v xml:space="preserve">          5542 - FREIGHT-IN-EVERYDAY GIFTS</v>
      </c>
      <c r="C51" s="11"/>
      <c r="D51" s="2"/>
      <c r="E51" s="2"/>
      <c r="F51" s="19">
        <f t="shared" si="6"/>
        <v>0</v>
      </c>
      <c r="G51" s="2"/>
      <c r="H51" s="2"/>
      <c r="I51" s="2"/>
      <c r="J51" s="19">
        <f t="shared" si="7"/>
        <v>0</v>
      </c>
      <c r="K51" s="2"/>
      <c r="L51" s="2">
        <f t="shared" si="8"/>
        <v>0</v>
      </c>
      <c r="M51" s="2"/>
      <c r="N51" s="19">
        <f t="shared" si="9"/>
        <v>0</v>
      </c>
      <c r="O51" s="11"/>
      <c r="P51" s="2">
        <v>0</v>
      </c>
      <c r="Q51" s="2"/>
      <c r="R51" s="19">
        <f t="shared" si="10"/>
        <v>0</v>
      </c>
      <c r="S51" s="2"/>
      <c r="T51" s="2"/>
      <c r="U51" s="2"/>
      <c r="V51" s="19">
        <f t="shared" si="11"/>
        <v>0</v>
      </c>
      <c r="W51" s="2"/>
      <c r="X51" s="2">
        <f t="shared" si="12"/>
        <v>0</v>
      </c>
      <c r="Y51" s="2"/>
      <c r="Z51" s="19">
        <f t="shared" si="13"/>
        <v>0</v>
      </c>
    </row>
    <row r="52" spans="1:26" s="24" customFormat="1" hidden="1" outlineLevel="1" x14ac:dyDescent="0.3">
      <c r="A52" s="44"/>
      <c r="B52" s="11" t="str">
        <f>CONCATENATE("          ", "5544", " - ", "FREIGHT-IN-ACCESSORIES")</f>
        <v xml:space="preserve">          5544 - FREIGHT-IN-ACCESSORIES</v>
      </c>
      <c r="C52" s="11"/>
      <c r="D52" s="2"/>
      <c r="E52" s="2"/>
      <c r="F52" s="19">
        <f t="shared" si="6"/>
        <v>0</v>
      </c>
      <c r="G52" s="2"/>
      <c r="H52" s="2"/>
      <c r="I52" s="2"/>
      <c r="J52" s="19">
        <f t="shared" si="7"/>
        <v>0</v>
      </c>
      <c r="K52" s="2"/>
      <c r="L52" s="2">
        <f t="shared" si="8"/>
        <v>0</v>
      </c>
      <c r="M52" s="2"/>
      <c r="N52" s="19">
        <f t="shared" si="9"/>
        <v>0</v>
      </c>
      <c r="O52" s="11"/>
      <c r="P52" s="2">
        <v>0</v>
      </c>
      <c r="Q52" s="2"/>
      <c r="R52" s="19">
        <f t="shared" si="10"/>
        <v>0</v>
      </c>
      <c r="S52" s="2"/>
      <c r="T52" s="2"/>
      <c r="U52" s="2"/>
      <c r="V52" s="19">
        <f t="shared" si="11"/>
        <v>0</v>
      </c>
      <c r="W52" s="2"/>
      <c r="X52" s="2">
        <f t="shared" si="12"/>
        <v>0</v>
      </c>
      <c r="Y52" s="2"/>
      <c r="Z52" s="19">
        <f t="shared" si="13"/>
        <v>0</v>
      </c>
    </row>
    <row r="53" spans="1:26" s="24" customFormat="1" hidden="1" outlineLevel="1" x14ac:dyDescent="0.3">
      <c r="A53" s="44"/>
      <c r="B53" s="11" t="str">
        <f>CONCATENATE("          ", "5545", " - ", "FREIGHT-IN-SPECIAL ORDERS")</f>
        <v xml:space="preserve">          5545 - FREIGHT-IN-SPECIAL ORDERS</v>
      </c>
      <c r="C53" s="11"/>
      <c r="D53" s="2"/>
      <c r="E53" s="2"/>
      <c r="F53" s="19">
        <f t="shared" si="6"/>
        <v>0</v>
      </c>
      <c r="G53" s="2"/>
      <c r="H53" s="2"/>
      <c r="I53" s="2"/>
      <c r="J53" s="19">
        <f t="shared" si="7"/>
        <v>0</v>
      </c>
      <c r="K53" s="2"/>
      <c r="L53" s="2">
        <f t="shared" si="8"/>
        <v>0</v>
      </c>
      <c r="M53" s="2"/>
      <c r="N53" s="19">
        <f t="shared" si="9"/>
        <v>0</v>
      </c>
      <c r="O53" s="11"/>
      <c r="P53" s="2">
        <v>0</v>
      </c>
      <c r="Q53" s="2"/>
      <c r="R53" s="19">
        <f t="shared" si="10"/>
        <v>0</v>
      </c>
      <c r="S53" s="2"/>
      <c r="T53" s="2"/>
      <c r="U53" s="2"/>
      <c r="V53" s="19">
        <f t="shared" si="11"/>
        <v>0</v>
      </c>
      <c r="W53" s="2"/>
      <c r="X53" s="2">
        <f t="shared" si="12"/>
        <v>0</v>
      </c>
      <c r="Y53" s="2"/>
      <c r="Z53" s="19">
        <f t="shared" si="13"/>
        <v>0</v>
      </c>
    </row>
    <row r="54" spans="1:26" s="24" customFormat="1" hidden="1" outlineLevel="1" x14ac:dyDescent="0.3">
      <c r="A54" s="44"/>
      <c r="B54" s="11" t="str">
        <f>CONCATENATE("          ", "5583", " - ", "FREIGHT-IN-COMPUTER EQUIPMENT")</f>
        <v xml:space="preserve">          5583 - FREIGHT-IN-COMPUTER EQUIPMENT</v>
      </c>
      <c r="C54" s="11"/>
      <c r="D54" s="2"/>
      <c r="E54" s="2"/>
      <c r="F54" s="19">
        <f t="shared" si="6"/>
        <v>0</v>
      </c>
      <c r="G54" s="2"/>
      <c r="H54" s="2"/>
      <c r="I54" s="2"/>
      <c r="J54" s="19">
        <f t="shared" si="7"/>
        <v>0</v>
      </c>
      <c r="K54" s="2"/>
      <c r="L54" s="2">
        <f t="shared" si="8"/>
        <v>0</v>
      </c>
      <c r="M54" s="2"/>
      <c r="N54" s="19">
        <f t="shared" si="9"/>
        <v>0</v>
      </c>
      <c r="O54" s="11"/>
      <c r="P54" s="2">
        <v>0</v>
      </c>
      <c r="Q54" s="2"/>
      <c r="R54" s="19">
        <f t="shared" si="10"/>
        <v>0</v>
      </c>
      <c r="S54" s="2"/>
      <c r="T54" s="2"/>
      <c r="U54" s="2"/>
      <c r="V54" s="19">
        <f t="shared" si="11"/>
        <v>0</v>
      </c>
      <c r="W54" s="2"/>
      <c r="X54" s="2">
        <f t="shared" si="12"/>
        <v>0</v>
      </c>
      <c r="Y54" s="2"/>
      <c r="Z54" s="19">
        <f t="shared" si="13"/>
        <v>0</v>
      </c>
    </row>
    <row r="55" spans="1:26" x14ac:dyDescent="0.3">
      <c r="A55" s="9"/>
      <c r="B55" s="10"/>
      <c r="C55" s="10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O55" s="10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x14ac:dyDescent="0.3">
      <c r="A56" s="10"/>
      <c r="B56" s="26" t="s">
        <v>108</v>
      </c>
      <c r="C56" s="26"/>
      <c r="D56" s="20">
        <f>D12-D21</f>
        <v>166264.75999999998</v>
      </c>
      <c r="E56" s="13"/>
      <c r="F56" s="22">
        <f>IF(D$12=0,0,D56/D$12)</f>
        <v>0.42932934200512801</v>
      </c>
      <c r="G56" s="13"/>
      <c r="H56" s="20">
        <f>H12-H21</f>
        <v>147024</v>
      </c>
      <c r="I56" s="13"/>
      <c r="J56" s="22">
        <f>IF(H$12=0,0,H56/H$12)</f>
        <v>0.37975978302983338</v>
      </c>
      <c r="K56" s="15"/>
      <c r="L56" s="20">
        <f>+D56-H56</f>
        <v>19240.75999999998</v>
      </c>
      <c r="M56" s="15"/>
      <c r="N56" s="22">
        <f>IF(H56=0,0,L56/H56)</f>
        <v>0.13086815757971473</v>
      </c>
      <c r="O56" s="25"/>
      <c r="P56" s="20">
        <f>P12-P21</f>
        <v>1339528.3000000003</v>
      </c>
      <c r="Q56" s="13"/>
      <c r="R56" s="22">
        <f>IF(P$12=0,0,P56/P$12)</f>
        <v>0.33521603229609487</v>
      </c>
      <c r="S56" s="13"/>
      <c r="T56" s="20">
        <f>T12-T21</f>
        <v>1774981</v>
      </c>
      <c r="U56" s="13"/>
      <c r="V56" s="22">
        <f>IF(T$12=0,0,T56/T$12)</f>
        <v>0.3133997759741452</v>
      </c>
      <c r="W56" s="15"/>
      <c r="X56" s="20">
        <f>+P56-T56</f>
        <v>-435452.69999999972</v>
      </c>
      <c r="Y56" s="15"/>
      <c r="Z56" s="22">
        <f>IF(T56=0,0,X56/T56)</f>
        <v>-0.24532809083590174</v>
      </c>
    </row>
    <row r="57" spans="1:26" x14ac:dyDescent="0.3">
      <c r="A57" s="9"/>
      <c r="B57" s="10"/>
      <c r="C57" s="9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6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x14ac:dyDescent="0.3">
      <c r="A58" s="10"/>
      <c r="B58" s="25" t="s">
        <v>295</v>
      </c>
      <c r="C58" s="10"/>
      <c r="D58" s="21">
        <f>SUM(OSRRefD22x_0)</f>
        <v>277639.68999999989</v>
      </c>
      <c r="E58" s="21"/>
      <c r="F58" s="30">
        <f t="shared" ref="F58:F69" si="14">IF(D$12=0,0,D58/D$12)</f>
        <v>0.71692200693765584</v>
      </c>
      <c r="G58" s="21"/>
      <c r="H58" s="21">
        <f>SUM(OSRRefH22x_0)</f>
        <v>300681.63643447508</v>
      </c>
      <c r="I58" s="21"/>
      <c r="J58" s="30">
        <f t="shared" ref="J58:J69" si="15">IF(H$12=0,0,H58/H$12)</f>
        <v>0.77665410418306879</v>
      </c>
      <c r="K58" s="4"/>
      <c r="L58" s="21">
        <f t="shared" ref="L58:L69" si="16">+D58-H58</f>
        <v>-23041.94643447519</v>
      </c>
      <c r="M58" s="4"/>
      <c r="N58" s="30">
        <f t="shared" ref="N58:N69" si="17">IF(H58=0,0,L58/H58)</f>
        <v>-7.66323700632663E-2</v>
      </c>
      <c r="O58" s="10"/>
      <c r="P58" s="21">
        <f>SUM(OSRRefP22x_0)</f>
        <v>1663118.4299999997</v>
      </c>
      <c r="Q58" s="21"/>
      <c r="R58" s="30">
        <f t="shared" ref="R58:R69" si="18">IF(P$12=0,0,P58/P$12)</f>
        <v>0.41619423892956231</v>
      </c>
      <c r="S58" s="21"/>
      <c r="T58" s="21">
        <f>SUM(OSRRefT22x_0)</f>
        <v>1808834.2982523057</v>
      </c>
      <c r="U58" s="21"/>
      <c r="V58" s="30">
        <f t="shared" ref="V58:V69" si="19">IF(T$12=0,0,T58/T$12)</f>
        <v>0.31937708845707236</v>
      </c>
      <c r="W58" s="4"/>
      <c r="X58" s="21">
        <f t="shared" ref="X58:X69" si="20">+P58-T58</f>
        <v>-145715.86825230601</v>
      </c>
      <c r="Y58" s="4"/>
      <c r="Z58" s="30">
        <f t="shared" ref="Z58:Z69" si="21">IF(T58=0,0,X58/T58)</f>
        <v>-8.0557886586458793E-2</v>
      </c>
    </row>
    <row r="59" spans="1:26" s="29" customFormat="1" outlineLevel="1" collapsed="1" x14ac:dyDescent="0.3">
      <c r="A59" s="28"/>
      <c r="B59" s="14" t="str">
        <f>CONCATENATE("     ","*Benefits                                         ")</f>
        <v xml:space="preserve">     *Benefits                                         </v>
      </c>
      <c r="C59" s="14"/>
      <c r="D59" s="1">
        <f>SUM(OSRRefD22_0x_0)</f>
        <v>53595.409999999996</v>
      </c>
      <c r="E59" s="1"/>
      <c r="F59" s="5">
        <f t="shared" si="14"/>
        <v>0.13839422202152193</v>
      </c>
      <c r="G59" s="1"/>
      <c r="H59" s="1">
        <f>SUM(OSRRefH22_0x_0)</f>
        <v>45224.196300759781</v>
      </c>
      <c r="I59" s="1"/>
      <c r="J59" s="5">
        <f t="shared" si="15"/>
        <v>0.11681311197406634</v>
      </c>
      <c r="K59" s="1"/>
      <c r="L59" s="1">
        <f t="shared" si="16"/>
        <v>8371.2136992402156</v>
      </c>
      <c r="M59" s="1"/>
      <c r="N59" s="5">
        <f t="shared" si="17"/>
        <v>0.18510475329551798</v>
      </c>
      <c r="O59" s="14"/>
      <c r="P59" s="1">
        <f>SUM(OSRRefP22_0x_0)</f>
        <v>265999.89</v>
      </c>
      <c r="Q59" s="1"/>
      <c r="R59" s="5">
        <f t="shared" si="18"/>
        <v>6.6566288832417858E-2</v>
      </c>
      <c r="S59" s="1"/>
      <c r="T59" s="1">
        <f>SUM(OSRRefT22_0x_0)</f>
        <v>261760.7847284094</v>
      </c>
      <c r="U59" s="1"/>
      <c r="V59" s="5">
        <f t="shared" si="19"/>
        <v>4.6217830665624002E-2</v>
      </c>
      <c r="W59" s="1"/>
      <c r="X59" s="1">
        <f t="shared" si="20"/>
        <v>4239.1052715906117</v>
      </c>
      <c r="Y59" s="1"/>
      <c r="Z59" s="5">
        <f t="shared" si="21"/>
        <v>1.6194577335137905E-2</v>
      </c>
    </row>
    <row r="60" spans="1:26" s="24" customFormat="1" hidden="1" outlineLevel="2" x14ac:dyDescent="0.3">
      <c r="A60" s="27"/>
      <c r="B60" s="11" t="str">
        <f>CONCATENATE("          ", "6111", " - ", "F.I.C.A.")</f>
        <v xml:space="preserve">          6111 - F.I.C.A.</v>
      </c>
      <c r="C60" s="11"/>
      <c r="D60" s="6">
        <v>9314.69</v>
      </c>
      <c r="E60" s="2"/>
      <c r="F60" s="7">
        <f t="shared" si="14"/>
        <v>2.4052419338179337E-2</v>
      </c>
      <c r="G60" s="2"/>
      <c r="H60" s="6">
        <v>9115.5257402420793</v>
      </c>
      <c r="I60" s="2"/>
      <c r="J60" s="7">
        <f t="shared" si="15"/>
        <v>2.3545204030071237E-2</v>
      </c>
      <c r="K60" s="2"/>
      <c r="L60" s="6">
        <f t="shared" si="16"/>
        <v>199.16425975792117</v>
      </c>
      <c r="M60" s="2"/>
      <c r="N60" s="7">
        <f t="shared" si="17"/>
        <v>2.1848905420635892E-2</v>
      </c>
      <c r="O60" s="11"/>
      <c r="P60" s="6">
        <v>51859.42</v>
      </c>
      <c r="Q60" s="2"/>
      <c r="R60" s="7">
        <f t="shared" si="18"/>
        <v>1.2977784052473356E-2</v>
      </c>
      <c r="S60" s="2"/>
      <c r="T60" s="6">
        <v>54819.3763715237</v>
      </c>
      <c r="U60" s="2"/>
      <c r="V60" s="7">
        <f t="shared" si="19"/>
        <v>9.6791910864836728E-3</v>
      </c>
      <c r="W60" s="2"/>
      <c r="X60" s="6">
        <f t="shared" si="20"/>
        <v>-2959.9563715237018</v>
      </c>
      <c r="Y60" s="2"/>
      <c r="Z60" s="7">
        <f t="shared" si="21"/>
        <v>-5.3994710765467066E-2</v>
      </c>
    </row>
    <row r="61" spans="1:26" s="24" customFormat="1" hidden="1" outlineLevel="2" x14ac:dyDescent="0.3">
      <c r="A61" s="27"/>
      <c r="B61" s="11" t="str">
        <f>CONCATENATE("          ", "6112", " - ", "COMPENSATION INSURANCE")</f>
        <v xml:space="preserve">          6112 - COMPENSATION INSURANCE</v>
      </c>
      <c r="C61" s="11"/>
      <c r="D61" s="6">
        <v>2531.86</v>
      </c>
      <c r="E61" s="2"/>
      <c r="F61" s="7">
        <f t="shared" si="14"/>
        <v>6.5377761820911637E-3</v>
      </c>
      <c r="G61" s="2"/>
      <c r="H61" s="6">
        <v>2368.9651318800002</v>
      </c>
      <c r="I61" s="2"/>
      <c r="J61" s="7">
        <f t="shared" si="15"/>
        <v>6.1189852302208454E-3</v>
      </c>
      <c r="K61" s="2"/>
      <c r="L61" s="6">
        <f t="shared" si="16"/>
        <v>162.89486811999996</v>
      </c>
      <c r="M61" s="2"/>
      <c r="N61" s="7">
        <f t="shared" si="17"/>
        <v>6.8762037029530834E-2</v>
      </c>
      <c r="O61" s="11"/>
      <c r="P61" s="6">
        <v>13435.44</v>
      </c>
      <c r="Q61" s="2"/>
      <c r="R61" s="7">
        <f t="shared" si="18"/>
        <v>3.362209584487498E-3</v>
      </c>
      <c r="S61" s="2"/>
      <c r="T61" s="6">
        <v>15101.03397534</v>
      </c>
      <c r="U61" s="2"/>
      <c r="V61" s="7">
        <f t="shared" si="19"/>
        <v>2.6663162393566532E-3</v>
      </c>
      <c r="W61" s="2"/>
      <c r="X61" s="6">
        <f t="shared" si="20"/>
        <v>-1665.5939753399998</v>
      </c>
      <c r="Y61" s="2"/>
      <c r="Z61" s="7">
        <f t="shared" si="21"/>
        <v>-0.11029668419128889</v>
      </c>
    </row>
    <row r="62" spans="1:26" s="24" customFormat="1" hidden="1" outlineLevel="2" x14ac:dyDescent="0.3">
      <c r="A62" s="27"/>
      <c r="B62" s="11" t="str">
        <f>CONCATENATE("          ", "6113", " - ", "GROUP INSURANCE")</f>
        <v xml:space="preserve">          6113 - GROUP INSURANCE</v>
      </c>
      <c r="C62" s="11"/>
      <c r="D62" s="6">
        <v>18829.060000000001</v>
      </c>
      <c r="E62" s="2"/>
      <c r="F62" s="7">
        <f t="shared" si="14"/>
        <v>4.8620452947305715E-2</v>
      </c>
      <c r="G62" s="2"/>
      <c r="H62" s="6">
        <v>16659.4230769231</v>
      </c>
      <c r="I62" s="2"/>
      <c r="J62" s="7">
        <f t="shared" si="15"/>
        <v>4.3030926196366011E-2</v>
      </c>
      <c r="K62" s="2"/>
      <c r="L62" s="6">
        <f t="shared" si="16"/>
        <v>2169.6369230769014</v>
      </c>
      <c r="M62" s="2"/>
      <c r="N62" s="7">
        <f t="shared" si="17"/>
        <v>0.13023481743988585</v>
      </c>
      <c r="O62" s="11"/>
      <c r="P62" s="6">
        <v>93152.9</v>
      </c>
      <c r="Q62" s="2"/>
      <c r="R62" s="7">
        <f t="shared" si="18"/>
        <v>2.3311448914423747E-2</v>
      </c>
      <c r="S62" s="2"/>
      <c r="T62" s="6">
        <v>90682.076923076893</v>
      </c>
      <c r="U62" s="2"/>
      <c r="V62" s="7">
        <f t="shared" si="19"/>
        <v>1.6011293975858053E-2</v>
      </c>
      <c r="W62" s="2"/>
      <c r="X62" s="6">
        <f t="shared" si="20"/>
        <v>2470.8230769231013</v>
      </c>
      <c r="Y62" s="2"/>
      <c r="Z62" s="7">
        <f t="shared" si="21"/>
        <v>2.7247094031812177E-2</v>
      </c>
    </row>
    <row r="63" spans="1:26" s="24" customFormat="1" hidden="1" outlineLevel="2" x14ac:dyDescent="0.3">
      <c r="A63" s="27"/>
      <c r="B63" s="11" t="str">
        <f>CONCATENATE("          ", "6114", " - ", "STATE UNEMPLOYMENT INSURANCE")</f>
        <v xml:space="preserve">          6114 - STATE UNEMPLOYMENT INSURANCE</v>
      </c>
      <c r="C63" s="11"/>
      <c r="D63" s="6">
        <v>454.47</v>
      </c>
      <c r="E63" s="2"/>
      <c r="F63" s="7">
        <f t="shared" si="14"/>
        <v>1.1735337425746175E-3</v>
      </c>
      <c r="G63" s="2"/>
      <c r="H63" s="6">
        <v>318.89915236846201</v>
      </c>
      <c r="I63" s="2"/>
      <c r="J63" s="7">
        <f t="shared" si="15"/>
        <v>8.2370955022203801E-4</v>
      </c>
      <c r="K63" s="2"/>
      <c r="L63" s="6">
        <f t="shared" si="16"/>
        <v>135.57084763153802</v>
      </c>
      <c r="M63" s="2"/>
      <c r="N63" s="7">
        <f t="shared" si="17"/>
        <v>0.42512137967333613</v>
      </c>
      <c r="O63" s="11"/>
      <c r="P63" s="6">
        <v>2421.81</v>
      </c>
      <c r="Q63" s="2"/>
      <c r="R63" s="7">
        <f t="shared" si="18"/>
        <v>6.060562805392058E-4</v>
      </c>
      <c r="S63" s="2"/>
      <c r="T63" s="6">
        <v>2032.83149668038</v>
      </c>
      <c r="U63" s="2"/>
      <c r="V63" s="7">
        <f t="shared" si="19"/>
        <v>3.5892718606724098E-4</v>
      </c>
      <c r="W63" s="2"/>
      <c r="X63" s="6">
        <f t="shared" si="20"/>
        <v>388.9785033196199</v>
      </c>
      <c r="Y63" s="2"/>
      <c r="Z63" s="7">
        <f t="shared" si="21"/>
        <v>0.19134812892993</v>
      </c>
    </row>
    <row r="64" spans="1:26" s="24" customFormat="1" hidden="1" outlineLevel="2" x14ac:dyDescent="0.3">
      <c r="A64" s="27"/>
      <c r="B64" s="11" t="str">
        <f>CONCATENATE("          ", "6115", " - ", "P.E.R.S.")</f>
        <v xml:space="preserve">          6115 - P.E.R.S.</v>
      </c>
      <c r="C64" s="11"/>
      <c r="D64" s="6">
        <v>8674.23</v>
      </c>
      <c r="E64" s="2"/>
      <c r="F64" s="7">
        <f t="shared" si="14"/>
        <v>2.2398621682075875E-2</v>
      </c>
      <c r="G64" s="2"/>
      <c r="H64" s="6">
        <v>4417.7643771846097</v>
      </c>
      <c r="I64" s="2"/>
      <c r="J64" s="7">
        <f t="shared" si="15"/>
        <v>1.1410988963411106E-2</v>
      </c>
      <c r="K64" s="2"/>
      <c r="L64" s="6">
        <f t="shared" si="16"/>
        <v>4256.4656228153899</v>
      </c>
      <c r="M64" s="2"/>
      <c r="N64" s="7">
        <f t="shared" si="17"/>
        <v>0.96348860179093265</v>
      </c>
      <c r="O64" s="11"/>
      <c r="P64" s="6">
        <v>37488.54</v>
      </c>
      <c r="Q64" s="2"/>
      <c r="R64" s="7">
        <f t="shared" si="18"/>
        <v>9.3814812537916844E-3</v>
      </c>
      <c r="S64" s="2"/>
      <c r="T64" s="6">
        <v>26115.2975360538</v>
      </c>
      <c r="U64" s="2"/>
      <c r="V64" s="7">
        <f t="shared" si="19"/>
        <v>4.6110512717022932E-3</v>
      </c>
      <c r="W64" s="2"/>
      <c r="X64" s="6">
        <f t="shared" si="20"/>
        <v>11373.242463946201</v>
      </c>
      <c r="Y64" s="2"/>
      <c r="Z64" s="7">
        <f t="shared" si="21"/>
        <v>0.43550116357068991</v>
      </c>
    </row>
    <row r="65" spans="1:26" s="24" customFormat="1" hidden="1" outlineLevel="2" x14ac:dyDescent="0.3">
      <c r="A65" s="27"/>
      <c r="B65" s="11" t="str">
        <f>CONCATENATE("          ", "6116", " - ", "EDUCATIONAL BENEFITS")</f>
        <v xml:space="preserve">          6116 - EDUCATIONAL BENEFITS</v>
      </c>
      <c r="C65" s="11"/>
      <c r="D65" s="6"/>
      <c r="E65" s="2"/>
      <c r="F65" s="7">
        <f t="shared" si="14"/>
        <v>0</v>
      </c>
      <c r="G65" s="2"/>
      <c r="H65" s="6">
        <v>0</v>
      </c>
      <c r="I65" s="2"/>
      <c r="J65" s="7">
        <f t="shared" si="15"/>
        <v>0</v>
      </c>
      <c r="K65" s="2"/>
      <c r="L65" s="6">
        <f t="shared" si="16"/>
        <v>0</v>
      </c>
      <c r="M65" s="2"/>
      <c r="N65" s="7">
        <f t="shared" si="17"/>
        <v>0</v>
      </c>
      <c r="O65" s="11"/>
      <c r="P65" s="6"/>
      <c r="Q65" s="2"/>
      <c r="R65" s="7">
        <f t="shared" si="18"/>
        <v>0</v>
      </c>
      <c r="S65" s="2"/>
      <c r="T65" s="6">
        <v>0</v>
      </c>
      <c r="U65" s="2"/>
      <c r="V65" s="7">
        <f t="shared" si="19"/>
        <v>0</v>
      </c>
      <c r="W65" s="2"/>
      <c r="X65" s="6">
        <f t="shared" si="20"/>
        <v>0</v>
      </c>
      <c r="Y65" s="2"/>
      <c r="Z65" s="7">
        <f t="shared" si="21"/>
        <v>0</v>
      </c>
    </row>
    <row r="66" spans="1:26" s="24" customFormat="1" hidden="1" outlineLevel="2" x14ac:dyDescent="0.3">
      <c r="A66" s="27"/>
      <c r="B66" s="11" t="str">
        <f>CONCATENATE("          ", "6117", " - ", "RETIREMENT STAFF HOURLY")</f>
        <v xml:space="preserve">          6117 - RETIREMENT STAFF HOURLY</v>
      </c>
      <c r="C66" s="11"/>
      <c r="D66" s="6">
        <v>708.42</v>
      </c>
      <c r="E66" s="2"/>
      <c r="F66" s="7">
        <f t="shared" si="14"/>
        <v>1.829284163783551E-3</v>
      </c>
      <c r="G66" s="2"/>
      <c r="H66" s="6"/>
      <c r="I66" s="2"/>
      <c r="J66" s="7">
        <f t="shared" si="15"/>
        <v>0</v>
      </c>
      <c r="K66" s="2"/>
      <c r="L66" s="6">
        <f t="shared" si="16"/>
        <v>708.42</v>
      </c>
      <c r="M66" s="2"/>
      <c r="N66" s="7">
        <f t="shared" si="17"/>
        <v>0</v>
      </c>
      <c r="O66" s="11"/>
      <c r="P66" s="6">
        <v>2566.8000000000002</v>
      </c>
      <c r="Q66" s="2"/>
      <c r="R66" s="7">
        <f t="shared" si="18"/>
        <v>6.4233992794151217E-4</v>
      </c>
      <c r="S66" s="2"/>
      <c r="T66" s="6"/>
      <c r="U66" s="2"/>
      <c r="V66" s="7">
        <f t="shared" si="19"/>
        <v>0</v>
      </c>
      <c r="W66" s="2"/>
      <c r="X66" s="6">
        <f t="shared" si="20"/>
        <v>2566.8000000000002</v>
      </c>
      <c r="Y66" s="2"/>
      <c r="Z66" s="7">
        <f t="shared" si="21"/>
        <v>0</v>
      </c>
    </row>
    <row r="67" spans="1:26" s="24" customFormat="1" hidden="1" outlineLevel="2" x14ac:dyDescent="0.3">
      <c r="A67" s="27"/>
      <c r="B67" s="11" t="str">
        <f>CONCATENATE("          ", "6118", " - ", "VACATION")</f>
        <v xml:space="preserve">          6118 - VACATION</v>
      </c>
      <c r="C67" s="11"/>
      <c r="D67" s="6">
        <v>5865.59</v>
      </c>
      <c r="E67" s="2"/>
      <c r="F67" s="7">
        <f t="shared" si="14"/>
        <v>1.5146143387040399E-2</v>
      </c>
      <c r="G67" s="2"/>
      <c r="H67" s="6">
        <v>3972.4748426692299</v>
      </c>
      <c r="I67" s="2"/>
      <c r="J67" s="7">
        <f t="shared" si="15"/>
        <v>1.0260815814720986E-2</v>
      </c>
      <c r="K67" s="2"/>
      <c r="L67" s="6">
        <f t="shared" si="16"/>
        <v>1893.1151573307702</v>
      </c>
      <c r="M67" s="2"/>
      <c r="N67" s="7">
        <f t="shared" si="17"/>
        <v>0.47655812366547978</v>
      </c>
      <c r="O67" s="11"/>
      <c r="P67" s="6">
        <v>29678.79</v>
      </c>
      <c r="Q67" s="2"/>
      <c r="R67" s="7">
        <f t="shared" si="18"/>
        <v>7.4270967079598212E-3</v>
      </c>
      <c r="S67" s="2"/>
      <c r="T67" s="6">
        <v>23962.092403911502</v>
      </c>
      <c r="U67" s="2"/>
      <c r="V67" s="7">
        <f t="shared" si="19"/>
        <v>4.2308702973483277E-3</v>
      </c>
      <c r="W67" s="2"/>
      <c r="X67" s="6">
        <f t="shared" si="20"/>
        <v>5716.6975960884993</v>
      </c>
      <c r="Y67" s="2"/>
      <c r="Z67" s="7">
        <f t="shared" si="21"/>
        <v>0.23857255450510334</v>
      </c>
    </row>
    <row r="68" spans="1:26" s="24" customFormat="1" hidden="1" outlineLevel="2" x14ac:dyDescent="0.3">
      <c r="A68" s="27"/>
      <c r="B68" s="11" t="str">
        <f>CONCATENATE("          ", "6119", " - ", "SICK LEAVE")</f>
        <v xml:space="preserve">          6119 - SICK LEAVE</v>
      </c>
      <c r="C68" s="11"/>
      <c r="D68" s="6">
        <v>4021.51</v>
      </c>
      <c r="E68" s="2"/>
      <c r="F68" s="7">
        <f t="shared" si="14"/>
        <v>1.0384354701303167E-2</v>
      </c>
      <c r="G68" s="2"/>
      <c r="H68" s="6">
        <v>5571.1439794922999</v>
      </c>
      <c r="I68" s="2"/>
      <c r="J68" s="7">
        <f t="shared" si="15"/>
        <v>1.4390143302317707E-2</v>
      </c>
      <c r="K68" s="2"/>
      <c r="L68" s="6">
        <f t="shared" si="16"/>
        <v>-1549.6339794922997</v>
      </c>
      <c r="M68" s="2"/>
      <c r="N68" s="7">
        <f t="shared" si="17"/>
        <v>-0.27815364047251179</v>
      </c>
      <c r="O68" s="11"/>
      <c r="P68" s="6">
        <v>21805.54</v>
      </c>
      <c r="Q68" s="2"/>
      <c r="R68" s="7">
        <f t="shared" si="18"/>
        <v>5.4568213309668691E-3</v>
      </c>
      <c r="S68" s="2"/>
      <c r="T68" s="6">
        <v>35048.076021823101</v>
      </c>
      <c r="U68" s="2"/>
      <c r="V68" s="7">
        <f t="shared" si="19"/>
        <v>6.188268591925305E-3</v>
      </c>
      <c r="W68" s="2"/>
      <c r="X68" s="6">
        <f t="shared" si="20"/>
        <v>-13242.5360218231</v>
      </c>
      <c r="Y68" s="2"/>
      <c r="Z68" s="7">
        <f t="shared" si="21"/>
        <v>-0.37783917192993638</v>
      </c>
    </row>
    <row r="69" spans="1:26" s="24" customFormat="1" hidden="1" outlineLevel="2" x14ac:dyDescent="0.3">
      <c r="A69" s="27"/>
      <c r="B69" s="11" t="str">
        <f>CONCATENATE("          ", "6156", " - ", "EMPLOYEE MEALS")</f>
        <v xml:space="preserve">          6156 - EMPLOYEE MEALS</v>
      </c>
      <c r="C69" s="11"/>
      <c r="D69" s="6">
        <v>3195.58</v>
      </c>
      <c r="E69" s="2"/>
      <c r="F69" s="7">
        <f t="shared" si="14"/>
        <v>8.2516358771681213E-3</v>
      </c>
      <c r="G69" s="2"/>
      <c r="H69" s="6">
        <v>2800</v>
      </c>
      <c r="I69" s="2"/>
      <c r="J69" s="7">
        <f t="shared" si="15"/>
        <v>7.232338886736407E-3</v>
      </c>
      <c r="K69" s="2"/>
      <c r="L69" s="6">
        <f t="shared" si="16"/>
        <v>395.57999999999993</v>
      </c>
      <c r="M69" s="2"/>
      <c r="N69" s="7">
        <f t="shared" si="17"/>
        <v>0.14127857142857139</v>
      </c>
      <c r="O69" s="11"/>
      <c r="P69" s="6">
        <v>13590.65</v>
      </c>
      <c r="Q69" s="2"/>
      <c r="R69" s="7">
        <f t="shared" si="18"/>
        <v>3.4010507798341557E-3</v>
      </c>
      <c r="S69" s="2"/>
      <c r="T69" s="6">
        <v>14000</v>
      </c>
      <c r="U69" s="2"/>
      <c r="V69" s="7">
        <f t="shared" si="19"/>
        <v>2.4719120168824526E-3</v>
      </c>
      <c r="W69" s="2"/>
      <c r="X69" s="6">
        <f t="shared" si="20"/>
        <v>-409.35000000000036</v>
      </c>
      <c r="Y69" s="2"/>
      <c r="Z69" s="7">
        <f t="shared" si="21"/>
        <v>-2.9239285714285742E-2</v>
      </c>
    </row>
    <row r="70" spans="1:26" s="29" customFormat="1" outlineLevel="1" collapsed="1" x14ac:dyDescent="0.3">
      <c r="A70" s="28"/>
      <c r="B70" s="14" t="str">
        <f>CONCATENATE("     ","*Payroll                                          ")</f>
        <v xml:space="preserve">     *Payroll                                          </v>
      </c>
      <c r="C70" s="14"/>
      <c r="D70" s="1">
        <f>SUM(OSRRefD22_1x_0)</f>
        <v>130608.32000000002</v>
      </c>
      <c r="E70" s="1"/>
      <c r="F70" s="5">
        <f t="shared" ref="F70:F80" si="22">IF(D$12=0,0,D70/D$12)</f>
        <v>0.33725717997003823</v>
      </c>
      <c r="G70" s="1"/>
      <c r="H70" s="1">
        <f>SUM(OSRRefH22_1x_0)</f>
        <v>144759.44013371528</v>
      </c>
      <c r="I70" s="1"/>
      <c r="J70" s="5">
        <f t="shared" ref="J70:J80" si="23">IF(H$12=0,0,H70/H$12)</f>
        <v>0.37391047432187857</v>
      </c>
      <c r="K70" s="1"/>
      <c r="L70" s="1">
        <f t="shared" ref="L70:L80" si="24">+D70-H70</f>
        <v>-14151.12013371526</v>
      </c>
      <c r="M70" s="1"/>
      <c r="N70" s="5">
        <f t="shared" ref="N70:N80" si="25">IF(H70=0,0,L70/H70)</f>
        <v>-9.7756112628259506E-2</v>
      </c>
      <c r="O70" s="14"/>
      <c r="P70" s="1">
        <f>SUM(OSRRefP22_1x_0)</f>
        <v>856514.66</v>
      </c>
      <c r="Q70" s="1"/>
      <c r="R70" s="5">
        <f t="shared" ref="R70:R80" si="26">IF(P$12=0,0,P70/P$12)</f>
        <v>0.21434220234737758</v>
      </c>
      <c r="S70" s="1"/>
      <c r="T70" s="1">
        <f>SUM(OSRRefT22_1x_0)</f>
        <v>926640.51352389622</v>
      </c>
      <c r="U70" s="1"/>
      <c r="V70" s="5">
        <f t="shared" ref="V70:V80" si="27">IF(T$12=0,0,T70/T$12)</f>
        <v>0.163612415764989</v>
      </c>
      <c r="W70" s="1"/>
      <c r="X70" s="1">
        <f t="shared" ref="X70:X80" si="28">+P70-T70</f>
        <v>-70125.853523896192</v>
      </c>
      <c r="Y70" s="1"/>
      <c r="Z70" s="5">
        <f t="shared" ref="Z70:Z80" si="29">IF(T70=0,0,X70/T70)</f>
        <v>-7.5677517333249844E-2</v>
      </c>
    </row>
    <row r="71" spans="1:26" s="24" customFormat="1" hidden="1" outlineLevel="2" x14ac:dyDescent="0.3">
      <c r="A71" s="27"/>
      <c r="B71" s="11" t="str">
        <f>CONCATENATE("          ", "6001", " - ", "ADMINISTRATIVE SALARIES")</f>
        <v xml:space="preserve">          6001 - ADMINISTRATIVE SALARIES</v>
      </c>
      <c r="C71" s="11"/>
      <c r="D71" s="6">
        <v>4192.43</v>
      </c>
      <c r="E71" s="2"/>
      <c r="F71" s="7">
        <f t="shared" si="22"/>
        <v>1.0825704817440324E-2</v>
      </c>
      <c r="G71" s="2"/>
      <c r="H71" s="6">
        <v>4139.8076923076896</v>
      </c>
      <c r="I71" s="2"/>
      <c r="J71" s="7">
        <f t="shared" si="23"/>
        <v>1.0693032913102647E-2</v>
      </c>
      <c r="K71" s="2"/>
      <c r="L71" s="6">
        <f t="shared" si="24"/>
        <v>52.622307692310642</v>
      </c>
      <c r="M71" s="2"/>
      <c r="N71" s="7">
        <f t="shared" si="25"/>
        <v>1.2711292795095253E-2</v>
      </c>
      <c r="O71" s="11"/>
      <c r="P71" s="6">
        <v>23676.51</v>
      </c>
      <c r="Q71" s="2"/>
      <c r="R71" s="7">
        <f t="shared" si="26"/>
        <v>5.9250302817930849E-3</v>
      </c>
      <c r="S71" s="2"/>
      <c r="T71" s="6">
        <v>22768.942307692301</v>
      </c>
      <c r="U71" s="2"/>
      <c r="V71" s="7">
        <f t="shared" si="27"/>
        <v>4.0202015787205629E-3</v>
      </c>
      <c r="W71" s="2"/>
      <c r="X71" s="6">
        <f t="shared" si="28"/>
        <v>907.56769230769714</v>
      </c>
      <c r="Y71" s="2"/>
      <c r="Z71" s="7">
        <f t="shared" si="29"/>
        <v>3.9859896873693727E-2</v>
      </c>
    </row>
    <row r="72" spans="1:26" s="24" customFormat="1" hidden="1" outlineLevel="2" x14ac:dyDescent="0.3">
      <c r="A72" s="27"/>
      <c r="B72" s="11" t="str">
        <f>CONCATENATE("          ", "6002", " - ", "STAFF SALARIES")</f>
        <v xml:space="preserve">          6002 - STAFF SALARIES</v>
      </c>
      <c r="C72" s="11"/>
      <c r="D72" s="6">
        <v>40605.300000000003</v>
      </c>
      <c r="E72" s="2"/>
      <c r="F72" s="7">
        <f t="shared" si="22"/>
        <v>0.10485112257655096</v>
      </c>
      <c r="G72" s="2"/>
      <c r="H72" s="6">
        <v>42300.635173407602</v>
      </c>
      <c r="I72" s="2"/>
      <c r="J72" s="7">
        <f t="shared" si="23"/>
        <v>0.10926161739224487</v>
      </c>
      <c r="K72" s="2"/>
      <c r="L72" s="6">
        <f t="shared" si="24"/>
        <v>-1695.3351734075986</v>
      </c>
      <c r="M72" s="2"/>
      <c r="N72" s="7">
        <f t="shared" si="25"/>
        <v>-4.0078243895339316E-2</v>
      </c>
      <c r="O72" s="11"/>
      <c r="P72" s="6">
        <v>299208.28999999998</v>
      </c>
      <c r="Q72" s="2"/>
      <c r="R72" s="7">
        <f t="shared" si="26"/>
        <v>7.4876668006117753E-2</v>
      </c>
      <c r="S72" s="2"/>
      <c r="T72" s="6">
        <v>250618.079992204</v>
      </c>
      <c r="U72" s="2"/>
      <c r="V72" s="7">
        <f t="shared" si="27"/>
        <v>4.4250417398624065E-2</v>
      </c>
      <c r="W72" s="2"/>
      <c r="X72" s="6">
        <f t="shared" si="28"/>
        <v>48590.210007795977</v>
      </c>
      <c r="Y72" s="2"/>
      <c r="Z72" s="7">
        <f t="shared" si="29"/>
        <v>0.19388150291993089</v>
      </c>
    </row>
    <row r="73" spans="1:26" s="24" customFormat="1" hidden="1" outlineLevel="2" x14ac:dyDescent="0.3">
      <c r="A73" s="27"/>
      <c r="B73" s="11" t="str">
        <f>CONCATENATE("          ", "6003", " - ", "STAFF HOURLY-9 MONTH")</f>
        <v xml:space="preserve">          6003 - STAFF HOURLY-9 MONTH</v>
      </c>
      <c r="C73" s="11"/>
      <c r="D73" s="6"/>
      <c r="E73" s="2"/>
      <c r="F73" s="7">
        <f t="shared" si="22"/>
        <v>0</v>
      </c>
      <c r="G73" s="2"/>
      <c r="H73" s="6">
        <v>0</v>
      </c>
      <c r="I73" s="2"/>
      <c r="J73" s="7">
        <f t="shared" si="23"/>
        <v>0</v>
      </c>
      <c r="K73" s="2"/>
      <c r="L73" s="6">
        <f t="shared" si="24"/>
        <v>0</v>
      </c>
      <c r="M73" s="2"/>
      <c r="N73" s="7">
        <f t="shared" si="25"/>
        <v>0</v>
      </c>
      <c r="O73" s="11"/>
      <c r="P73" s="6"/>
      <c r="Q73" s="2"/>
      <c r="R73" s="7">
        <f t="shared" si="26"/>
        <v>0</v>
      </c>
      <c r="S73" s="2"/>
      <c r="T73" s="6">
        <v>0</v>
      </c>
      <c r="U73" s="2"/>
      <c r="V73" s="7">
        <f t="shared" si="27"/>
        <v>0</v>
      </c>
      <c r="W73" s="2"/>
      <c r="X73" s="6">
        <f t="shared" si="28"/>
        <v>0</v>
      </c>
      <c r="Y73" s="2"/>
      <c r="Z73" s="7">
        <f t="shared" si="29"/>
        <v>0</v>
      </c>
    </row>
    <row r="74" spans="1:26" s="24" customFormat="1" hidden="1" outlineLevel="2" x14ac:dyDescent="0.3">
      <c r="A74" s="27"/>
      <c r="B74" s="11" t="str">
        <f>CONCATENATE("          ", "6004", " - ", "STAFF HOURLY")</f>
        <v xml:space="preserve">          6004 - STAFF HOURLY</v>
      </c>
      <c r="C74" s="11"/>
      <c r="D74" s="6">
        <v>24617.21</v>
      </c>
      <c r="E74" s="2"/>
      <c r="F74" s="7">
        <f t="shared" si="22"/>
        <v>6.3566630543369848E-2</v>
      </c>
      <c r="G74" s="2"/>
      <c r="H74" s="6">
        <v>36942.734768000002</v>
      </c>
      <c r="I74" s="2"/>
      <c r="J74" s="7">
        <f t="shared" si="23"/>
        <v>9.5422277587498397E-2</v>
      </c>
      <c r="K74" s="2"/>
      <c r="L74" s="6">
        <f t="shared" si="24"/>
        <v>-12325.524768000003</v>
      </c>
      <c r="M74" s="2"/>
      <c r="N74" s="7">
        <f t="shared" si="25"/>
        <v>-0.3336386665850315</v>
      </c>
      <c r="O74" s="11"/>
      <c r="P74" s="6">
        <v>125364.07</v>
      </c>
      <c r="Q74" s="2"/>
      <c r="R74" s="7">
        <f t="shared" si="26"/>
        <v>3.1372271969087845E-2</v>
      </c>
      <c r="S74" s="2"/>
      <c r="T74" s="6">
        <v>203185.04122399999</v>
      </c>
      <c r="U74" s="2"/>
      <c r="V74" s="7">
        <f t="shared" si="27"/>
        <v>3.5875396075168722E-2</v>
      </c>
      <c r="W74" s="2"/>
      <c r="X74" s="6">
        <f t="shared" si="28"/>
        <v>-77820.971223999979</v>
      </c>
      <c r="Y74" s="2"/>
      <c r="Z74" s="7">
        <f t="shared" si="29"/>
        <v>-0.38300541592629733</v>
      </c>
    </row>
    <row r="75" spans="1:26" s="24" customFormat="1" hidden="1" outlineLevel="2" x14ac:dyDescent="0.3">
      <c r="A75" s="27"/>
      <c r="B75" s="11" t="str">
        <f>CONCATENATE("          ", "6005", " - ", "TEMPORARY WAGES-HOURLY")</f>
        <v xml:space="preserve">          6005 - TEMPORARY WAGES-HOURLY</v>
      </c>
      <c r="C75" s="11"/>
      <c r="D75" s="6">
        <v>8364.27</v>
      </c>
      <c r="E75" s="2"/>
      <c r="F75" s="7">
        <f t="shared" si="22"/>
        <v>2.1598242077594993E-2</v>
      </c>
      <c r="G75" s="2"/>
      <c r="H75" s="6">
        <v>3080</v>
      </c>
      <c r="I75" s="2"/>
      <c r="J75" s="7">
        <f t="shared" si="23"/>
        <v>7.955572775410048E-3</v>
      </c>
      <c r="K75" s="2"/>
      <c r="L75" s="6">
        <f t="shared" si="24"/>
        <v>5284.27</v>
      </c>
      <c r="M75" s="2"/>
      <c r="N75" s="7">
        <f t="shared" si="25"/>
        <v>1.715672077922078</v>
      </c>
      <c r="O75" s="11"/>
      <c r="P75" s="6">
        <v>51440.32</v>
      </c>
      <c r="Q75" s="2"/>
      <c r="R75" s="7">
        <f t="shared" si="26"/>
        <v>1.2872904566810162E-2</v>
      </c>
      <c r="S75" s="2"/>
      <c r="T75" s="6">
        <v>18171</v>
      </c>
      <c r="U75" s="2"/>
      <c r="V75" s="7">
        <f t="shared" si="27"/>
        <v>3.2083652327693606E-3</v>
      </c>
      <c r="W75" s="2"/>
      <c r="X75" s="6">
        <f t="shared" si="28"/>
        <v>33269.32</v>
      </c>
      <c r="Y75" s="2"/>
      <c r="Z75" s="7">
        <f t="shared" si="29"/>
        <v>1.8309019866820757</v>
      </c>
    </row>
    <row r="76" spans="1:26" s="24" customFormat="1" hidden="1" outlineLevel="2" x14ac:dyDescent="0.3">
      <c r="A76" s="27"/>
      <c r="B76" s="11" t="str">
        <f>CONCATENATE("          ", "6006", " - ", "TEMPORARY PART TIME")</f>
        <v xml:space="preserve">          6006 - TEMPORARY PART TIME</v>
      </c>
      <c r="C76" s="11"/>
      <c r="D76" s="6"/>
      <c r="E76" s="2"/>
      <c r="F76" s="7">
        <f t="shared" si="22"/>
        <v>0</v>
      </c>
      <c r="G76" s="2"/>
      <c r="H76" s="6">
        <v>0</v>
      </c>
      <c r="I76" s="2"/>
      <c r="J76" s="7">
        <f t="shared" si="23"/>
        <v>0</v>
      </c>
      <c r="K76" s="2"/>
      <c r="L76" s="6">
        <f t="shared" si="24"/>
        <v>0</v>
      </c>
      <c r="M76" s="2"/>
      <c r="N76" s="7">
        <f t="shared" si="25"/>
        <v>0</v>
      </c>
      <c r="O76" s="11"/>
      <c r="P76" s="6">
        <v>9877.6200000000008</v>
      </c>
      <c r="Q76" s="2"/>
      <c r="R76" s="7">
        <f t="shared" si="26"/>
        <v>2.4718675857229389E-3</v>
      </c>
      <c r="S76" s="2"/>
      <c r="T76" s="6">
        <v>0</v>
      </c>
      <c r="U76" s="2"/>
      <c r="V76" s="7">
        <f t="shared" si="27"/>
        <v>0</v>
      </c>
      <c r="W76" s="2"/>
      <c r="X76" s="6">
        <f t="shared" si="28"/>
        <v>9877.6200000000008</v>
      </c>
      <c r="Y76" s="2"/>
      <c r="Z76" s="7">
        <f t="shared" si="29"/>
        <v>0</v>
      </c>
    </row>
    <row r="77" spans="1:26" s="24" customFormat="1" hidden="1" outlineLevel="2" x14ac:dyDescent="0.3">
      <c r="A77" s="27"/>
      <c r="B77" s="11" t="str">
        <f>CONCATENATE("          ", "6007", " - ", "STUDENT HOURLY")</f>
        <v xml:space="preserve">          6007 - STUDENT HOURLY</v>
      </c>
      <c r="C77" s="11"/>
      <c r="D77" s="6">
        <v>44752.9</v>
      </c>
      <c r="E77" s="2"/>
      <c r="F77" s="7">
        <f t="shared" si="22"/>
        <v>0.11556106723891038</v>
      </c>
      <c r="G77" s="2"/>
      <c r="H77" s="6">
        <v>28465.200000000001</v>
      </c>
      <c r="I77" s="2"/>
      <c r="J77" s="7">
        <f t="shared" si="23"/>
        <v>7.3524990313831848E-2</v>
      </c>
      <c r="K77" s="2"/>
      <c r="L77" s="6">
        <f t="shared" si="24"/>
        <v>16287.7</v>
      </c>
      <c r="M77" s="2"/>
      <c r="N77" s="7">
        <f t="shared" si="25"/>
        <v>0.57219692817896939</v>
      </c>
      <c r="O77" s="11"/>
      <c r="P77" s="6">
        <v>291210.2</v>
      </c>
      <c r="Q77" s="2"/>
      <c r="R77" s="7">
        <f t="shared" si="26"/>
        <v>7.2875151505311417E-2</v>
      </c>
      <c r="S77" s="2"/>
      <c r="T77" s="6">
        <v>197224.48</v>
      </c>
      <c r="U77" s="2"/>
      <c r="V77" s="7">
        <f t="shared" si="27"/>
        <v>3.482296872395664E-2</v>
      </c>
      <c r="W77" s="2"/>
      <c r="X77" s="6">
        <f t="shared" si="28"/>
        <v>93985.72</v>
      </c>
      <c r="Y77" s="2"/>
      <c r="Z77" s="7">
        <f t="shared" si="29"/>
        <v>0.47654185727856907</v>
      </c>
    </row>
    <row r="78" spans="1:26" s="24" customFormat="1" hidden="1" outlineLevel="2" x14ac:dyDescent="0.3">
      <c r="A78" s="27"/>
      <c r="B78" s="11" t="str">
        <f>CONCATENATE("          ", "6008", " - ", "STUDENT HOURLY-FICA EXEMPT")</f>
        <v xml:space="preserve">          6008 - STUDENT HOURLY-FICA EXEMPT</v>
      </c>
      <c r="C78" s="11"/>
      <c r="D78" s="6">
        <v>8076.21</v>
      </c>
      <c r="E78" s="2"/>
      <c r="F78" s="7">
        <f t="shared" si="22"/>
        <v>2.0854412716171698E-2</v>
      </c>
      <c r="G78" s="2"/>
      <c r="H78" s="6">
        <v>29831.0625</v>
      </c>
      <c r="I78" s="2"/>
      <c r="J78" s="7">
        <f t="shared" si="23"/>
        <v>7.7052983339790784E-2</v>
      </c>
      <c r="K78" s="2"/>
      <c r="L78" s="6">
        <f t="shared" si="24"/>
        <v>-21754.852500000001</v>
      </c>
      <c r="M78" s="2"/>
      <c r="N78" s="7">
        <f t="shared" si="25"/>
        <v>-0.72926844291918869</v>
      </c>
      <c r="O78" s="11"/>
      <c r="P78" s="6">
        <v>55737.65</v>
      </c>
      <c r="Q78" s="2"/>
      <c r="R78" s="7">
        <f t="shared" si="26"/>
        <v>1.3948308432534371E-2</v>
      </c>
      <c r="S78" s="2"/>
      <c r="T78" s="6">
        <v>234672.97</v>
      </c>
      <c r="U78" s="2"/>
      <c r="V78" s="7">
        <f t="shared" si="27"/>
        <v>4.1435066755749671E-2</v>
      </c>
      <c r="W78" s="2"/>
      <c r="X78" s="6">
        <f t="shared" si="28"/>
        <v>-178935.32</v>
      </c>
      <c r="Y78" s="2"/>
      <c r="Z78" s="7">
        <f t="shared" si="29"/>
        <v>-0.76248798487529268</v>
      </c>
    </row>
    <row r="79" spans="1:26" s="24" customFormat="1" hidden="1" outlineLevel="2" x14ac:dyDescent="0.3">
      <c r="A79" s="27"/>
      <c r="B79" s="11" t="str">
        <f>CONCATENATE("          ", "6009", " - ", "TEMPORARY-SEASONAL")</f>
        <v xml:space="preserve">          6009 - TEMPORARY-SEASONAL</v>
      </c>
      <c r="C79" s="11"/>
      <c r="D79" s="6"/>
      <c r="E79" s="2"/>
      <c r="F79" s="7">
        <f t="shared" si="22"/>
        <v>0</v>
      </c>
      <c r="G79" s="2"/>
      <c r="H79" s="6">
        <v>0</v>
      </c>
      <c r="I79" s="2"/>
      <c r="J79" s="7">
        <f t="shared" si="23"/>
        <v>0</v>
      </c>
      <c r="K79" s="2"/>
      <c r="L79" s="6">
        <f t="shared" si="24"/>
        <v>0</v>
      </c>
      <c r="M79" s="2"/>
      <c r="N79" s="7">
        <f t="shared" si="25"/>
        <v>0</v>
      </c>
      <c r="O79" s="11"/>
      <c r="P79" s="6"/>
      <c r="Q79" s="2"/>
      <c r="R79" s="7">
        <f t="shared" si="26"/>
        <v>0</v>
      </c>
      <c r="S79" s="2"/>
      <c r="T79" s="6">
        <v>0</v>
      </c>
      <c r="U79" s="2"/>
      <c r="V79" s="7">
        <f t="shared" si="27"/>
        <v>0</v>
      </c>
      <c r="W79" s="2"/>
      <c r="X79" s="6">
        <f t="shared" si="28"/>
        <v>0</v>
      </c>
      <c r="Y79" s="2"/>
      <c r="Z79" s="7">
        <f t="shared" si="29"/>
        <v>0</v>
      </c>
    </row>
    <row r="80" spans="1:26" s="24" customFormat="1" hidden="1" outlineLevel="2" x14ac:dyDescent="0.3">
      <c r="A80" s="27"/>
      <c r="B80" s="11" t="str">
        <f>CONCATENATE("          ", "6010", " - ", "GRATUITY")</f>
        <v xml:space="preserve">          6010 - GRATUITY</v>
      </c>
      <c r="C80" s="11"/>
      <c r="D80" s="6"/>
      <c r="E80" s="2"/>
      <c r="F80" s="7">
        <f t="shared" si="22"/>
        <v>0</v>
      </c>
      <c r="G80" s="2"/>
      <c r="H80" s="6">
        <v>0</v>
      </c>
      <c r="I80" s="2"/>
      <c r="J80" s="7">
        <f t="shared" si="23"/>
        <v>0</v>
      </c>
      <c r="K80" s="2"/>
      <c r="L80" s="6">
        <f t="shared" si="24"/>
        <v>0</v>
      </c>
      <c r="M80" s="2"/>
      <c r="N80" s="7">
        <f t="shared" si="25"/>
        <v>0</v>
      </c>
      <c r="O80" s="11"/>
      <c r="P80" s="6"/>
      <c r="Q80" s="2"/>
      <c r="R80" s="7">
        <f t="shared" si="26"/>
        <v>0</v>
      </c>
      <c r="S80" s="2"/>
      <c r="T80" s="6">
        <v>0</v>
      </c>
      <c r="U80" s="2"/>
      <c r="V80" s="7">
        <f t="shared" si="27"/>
        <v>0</v>
      </c>
      <c r="W80" s="2"/>
      <c r="X80" s="6">
        <f t="shared" si="28"/>
        <v>0</v>
      </c>
      <c r="Y80" s="2"/>
      <c r="Z80" s="7">
        <f t="shared" si="29"/>
        <v>0</v>
      </c>
    </row>
    <row r="81" spans="1:26" s="29" customFormat="1" outlineLevel="1" collapsed="1" x14ac:dyDescent="0.3">
      <c r="A81" s="28"/>
      <c r="B81" s="14" t="str">
        <f>CONCATENATE("     ","Advertising/Promo                                 ")</f>
        <v xml:space="preserve">     Advertising/Promo                                 </v>
      </c>
      <c r="C81" s="14"/>
      <c r="D81" s="1">
        <f>SUM(OSRRefD22_2x_0)</f>
        <v>1689.33</v>
      </c>
      <c r="E81" s="1"/>
      <c r="F81" s="5">
        <f t="shared" ref="F81:F89" si="30">IF(D$12=0,0,D81/D$12)</f>
        <v>4.3621927901590389E-3</v>
      </c>
      <c r="G81" s="1"/>
      <c r="H81" s="1">
        <f>SUM(OSRRefH22_2x_0)</f>
        <v>500</v>
      </c>
      <c r="I81" s="1"/>
      <c r="J81" s="5">
        <f t="shared" ref="J81:J89" si="31">IF(H$12=0,0,H81/H$12)</f>
        <v>1.2914890869172154E-3</v>
      </c>
      <c r="K81" s="1"/>
      <c r="L81" s="1">
        <f t="shared" ref="L81:L89" si="32">+D81-H81</f>
        <v>1189.33</v>
      </c>
      <c r="M81" s="1"/>
      <c r="N81" s="5">
        <f t="shared" ref="N81:N89" si="33">IF(H81=0,0,L81/H81)</f>
        <v>2.37866</v>
      </c>
      <c r="O81" s="14"/>
      <c r="P81" s="1">
        <f>SUM(OSRRefP22_2x_0)</f>
        <v>4950.82</v>
      </c>
      <c r="Q81" s="1"/>
      <c r="R81" s="5">
        <f t="shared" ref="R81:R89" si="34">IF(P$12=0,0,P81/P$12)</f>
        <v>1.2389392870700471E-3</v>
      </c>
      <c r="S81" s="1"/>
      <c r="T81" s="1">
        <f>SUM(OSRRefT22_2x_0)</f>
        <v>5500</v>
      </c>
      <c r="U81" s="1"/>
      <c r="V81" s="5">
        <f t="shared" ref="V81:V89" si="35">IF(T$12=0,0,T81/T$12)</f>
        <v>9.7110829234667794E-4</v>
      </c>
      <c r="W81" s="1"/>
      <c r="X81" s="1">
        <f t="shared" ref="X81:X89" si="36">+P81-T81</f>
        <v>-549.18000000000029</v>
      </c>
      <c r="Y81" s="1"/>
      <c r="Z81" s="5">
        <f t="shared" ref="Z81:Z89" si="37">IF(T81=0,0,X81/T81)</f>
        <v>-9.9850909090909143E-2</v>
      </c>
    </row>
    <row r="82" spans="1:26" s="24" customFormat="1" hidden="1" outlineLevel="2" x14ac:dyDescent="0.3">
      <c r="A82" s="27"/>
      <c r="B82" s="11" t="str">
        <f>CONCATENATE("          ", "6362", " - ", "ADVERTISING EXPENSE")</f>
        <v xml:space="preserve">          6362 - ADVERTISING EXPENSE</v>
      </c>
      <c r="C82" s="11"/>
      <c r="D82" s="6">
        <v>1689.33</v>
      </c>
      <c r="E82" s="2"/>
      <c r="F82" s="7">
        <f t="shared" si="30"/>
        <v>4.3621927901590389E-3</v>
      </c>
      <c r="G82" s="2"/>
      <c r="H82" s="6">
        <v>500</v>
      </c>
      <c r="I82" s="2"/>
      <c r="J82" s="7">
        <f t="shared" si="31"/>
        <v>1.2914890869172154E-3</v>
      </c>
      <c r="K82" s="2"/>
      <c r="L82" s="6">
        <f t="shared" si="32"/>
        <v>1189.33</v>
      </c>
      <c r="M82" s="2"/>
      <c r="N82" s="7">
        <f t="shared" si="33"/>
        <v>2.37866</v>
      </c>
      <c r="O82" s="11"/>
      <c r="P82" s="6">
        <v>4950.82</v>
      </c>
      <c r="Q82" s="2"/>
      <c r="R82" s="7">
        <f t="shared" si="34"/>
        <v>1.2389392870700471E-3</v>
      </c>
      <c r="S82" s="2"/>
      <c r="T82" s="6">
        <v>5500</v>
      </c>
      <c r="U82" s="2"/>
      <c r="V82" s="7">
        <f t="shared" si="35"/>
        <v>9.7110829234667794E-4</v>
      </c>
      <c r="W82" s="2"/>
      <c r="X82" s="6">
        <f t="shared" si="36"/>
        <v>-549.18000000000029</v>
      </c>
      <c r="Y82" s="2"/>
      <c r="Z82" s="7">
        <f t="shared" si="37"/>
        <v>-9.9850909090909143E-2</v>
      </c>
    </row>
    <row r="83" spans="1:26" s="29" customFormat="1" outlineLevel="1" collapsed="1" x14ac:dyDescent="0.3">
      <c r="A83" s="28"/>
      <c r="B83" s="14" t="str">
        <f>CONCATENATE("     ","Bad Debts/Over/Short                              ")</f>
        <v xml:space="preserve">     Bad Debts/Over/Short                              </v>
      </c>
      <c r="C83" s="14"/>
      <c r="D83" s="1">
        <f>SUM(OSRRefD22_3x_0)</f>
        <v>-40.770000000000003</v>
      </c>
      <c r="E83" s="1"/>
      <c r="F83" s="5">
        <f t="shared" si="30"/>
        <v>-1.0527641139077861E-4</v>
      </c>
      <c r="G83" s="1"/>
      <c r="H83" s="1">
        <f>SUM(OSRRefH22_3x_0)</f>
        <v>235</v>
      </c>
      <c r="I83" s="1"/>
      <c r="J83" s="5">
        <f t="shared" si="31"/>
        <v>6.0699987085109132E-4</v>
      </c>
      <c r="K83" s="1"/>
      <c r="L83" s="1">
        <f t="shared" si="32"/>
        <v>-275.77</v>
      </c>
      <c r="M83" s="1"/>
      <c r="N83" s="5">
        <f t="shared" si="33"/>
        <v>-1.1734893617021276</v>
      </c>
      <c r="O83" s="14"/>
      <c r="P83" s="1">
        <f>SUM(OSRRefP22_3x_0)</f>
        <v>177.72</v>
      </c>
      <c r="Q83" s="1"/>
      <c r="R83" s="5">
        <f t="shared" si="34"/>
        <v>4.4474307306282344E-5</v>
      </c>
      <c r="S83" s="1"/>
      <c r="T83" s="1">
        <f>SUM(OSRRefT22_3x_0)</f>
        <v>1175</v>
      </c>
      <c r="U83" s="1"/>
      <c r="V83" s="5">
        <f t="shared" si="35"/>
        <v>2.0746404427406302E-4</v>
      </c>
      <c r="W83" s="1"/>
      <c r="X83" s="1">
        <f t="shared" si="36"/>
        <v>-997.28</v>
      </c>
      <c r="Y83" s="1"/>
      <c r="Z83" s="5">
        <f t="shared" si="37"/>
        <v>-0.84874893617021274</v>
      </c>
    </row>
    <row r="84" spans="1:26" s="24" customFormat="1" hidden="1" outlineLevel="2" x14ac:dyDescent="0.3">
      <c r="A84" s="27"/>
      <c r="B84" s="11" t="str">
        <f>CONCATENATE("          ", "6272", " - ", "CASH (OVER/SHORT)")</f>
        <v xml:space="preserve">          6272 - CASH (OVER/SHORT)</v>
      </c>
      <c r="C84" s="11"/>
      <c r="D84" s="6">
        <v>-40.770000000000003</v>
      </c>
      <c r="E84" s="2"/>
      <c r="F84" s="7">
        <f t="shared" si="30"/>
        <v>-1.0527641139077861E-4</v>
      </c>
      <c r="G84" s="2"/>
      <c r="H84" s="6">
        <v>235</v>
      </c>
      <c r="I84" s="2"/>
      <c r="J84" s="7">
        <f t="shared" si="31"/>
        <v>6.0699987085109132E-4</v>
      </c>
      <c r="K84" s="2"/>
      <c r="L84" s="6">
        <f t="shared" si="32"/>
        <v>-275.77</v>
      </c>
      <c r="M84" s="2"/>
      <c r="N84" s="7">
        <f t="shared" si="33"/>
        <v>-1.1734893617021276</v>
      </c>
      <c r="O84" s="11"/>
      <c r="P84" s="6">
        <v>177.72</v>
      </c>
      <c r="Q84" s="2"/>
      <c r="R84" s="7">
        <f t="shared" si="34"/>
        <v>4.4474307306282344E-5</v>
      </c>
      <c r="S84" s="2"/>
      <c r="T84" s="6">
        <v>1175</v>
      </c>
      <c r="U84" s="2"/>
      <c r="V84" s="7">
        <f t="shared" si="35"/>
        <v>2.0746404427406302E-4</v>
      </c>
      <c r="W84" s="2"/>
      <c r="X84" s="6">
        <f t="shared" si="36"/>
        <v>-997.28</v>
      </c>
      <c r="Y84" s="2"/>
      <c r="Z84" s="7">
        <f t="shared" si="37"/>
        <v>-0.84874893617021274</v>
      </c>
    </row>
    <row r="85" spans="1:26" s="29" customFormat="1" outlineLevel="1" collapsed="1" x14ac:dyDescent="0.3">
      <c r="A85" s="28"/>
      <c r="B85" s="14" t="str">
        <f>CONCATENATE("     ","Bank/card Fees                                    ")</f>
        <v xml:space="preserve">     Bank/card Fees                                    </v>
      </c>
      <c r="C85" s="14"/>
      <c r="D85" s="1">
        <f>SUM(OSRRefD22_4x_0)</f>
        <v>7877.66</v>
      </c>
      <c r="E85" s="1"/>
      <c r="F85" s="5">
        <f t="shared" si="30"/>
        <v>2.0341716334478316E-2</v>
      </c>
      <c r="G85" s="1"/>
      <c r="H85" s="1">
        <f>SUM(OSRRefH22_4x_0)</f>
        <v>6974</v>
      </c>
      <c r="I85" s="1"/>
      <c r="J85" s="5">
        <f t="shared" si="31"/>
        <v>1.8013689784321323E-2</v>
      </c>
      <c r="K85" s="1"/>
      <c r="L85" s="1">
        <f t="shared" si="32"/>
        <v>903.65999999999985</v>
      </c>
      <c r="M85" s="1"/>
      <c r="N85" s="5">
        <f t="shared" si="33"/>
        <v>0.12957556638944651</v>
      </c>
      <c r="O85" s="14"/>
      <c r="P85" s="1">
        <f>SUM(OSRRefP22_4x_0)</f>
        <v>58207.15</v>
      </c>
      <c r="Q85" s="1"/>
      <c r="R85" s="5">
        <f t="shared" si="34"/>
        <v>1.4566299102649519E-2</v>
      </c>
      <c r="S85" s="1"/>
      <c r="T85" s="1">
        <f>SUM(OSRRefT22_4x_0)</f>
        <v>92605</v>
      </c>
      <c r="U85" s="1"/>
      <c r="V85" s="5">
        <f t="shared" si="35"/>
        <v>1.635081516595711E-2</v>
      </c>
      <c r="W85" s="1"/>
      <c r="X85" s="1">
        <f t="shared" si="36"/>
        <v>-34397.85</v>
      </c>
      <c r="Y85" s="1"/>
      <c r="Z85" s="5">
        <f t="shared" si="37"/>
        <v>-0.37144700610118242</v>
      </c>
    </row>
    <row r="86" spans="1:26" s="24" customFormat="1" hidden="1" outlineLevel="2" x14ac:dyDescent="0.3">
      <c r="A86" s="27"/>
      <c r="B86" s="11" t="str">
        <f>CONCATENATE("          ", "6381", " - ", "BANK/CREDIT CARD FEES")</f>
        <v xml:space="preserve">          6381 - BANK/CREDIT CARD FEES</v>
      </c>
      <c r="C86" s="11"/>
      <c r="D86" s="6">
        <v>7877.66</v>
      </c>
      <c r="E86" s="2"/>
      <c r="F86" s="7">
        <f t="shared" si="30"/>
        <v>2.0341716334478316E-2</v>
      </c>
      <c r="G86" s="2"/>
      <c r="H86" s="6">
        <v>6974</v>
      </c>
      <c r="I86" s="2"/>
      <c r="J86" s="7">
        <f t="shared" si="31"/>
        <v>1.8013689784321323E-2</v>
      </c>
      <c r="K86" s="2"/>
      <c r="L86" s="6">
        <f t="shared" si="32"/>
        <v>903.65999999999985</v>
      </c>
      <c r="M86" s="2"/>
      <c r="N86" s="7">
        <f t="shared" si="33"/>
        <v>0.12957556638944651</v>
      </c>
      <c r="O86" s="11"/>
      <c r="P86" s="6">
        <v>58207.15</v>
      </c>
      <c r="Q86" s="2"/>
      <c r="R86" s="7">
        <f t="shared" si="34"/>
        <v>1.4566299102649519E-2</v>
      </c>
      <c r="S86" s="2"/>
      <c r="T86" s="6">
        <v>92605</v>
      </c>
      <c r="U86" s="2"/>
      <c r="V86" s="7">
        <f t="shared" si="35"/>
        <v>1.635081516595711E-2</v>
      </c>
      <c r="W86" s="2"/>
      <c r="X86" s="6">
        <f t="shared" si="36"/>
        <v>-34397.85</v>
      </c>
      <c r="Y86" s="2"/>
      <c r="Z86" s="7">
        <f t="shared" si="37"/>
        <v>-0.37144700610118242</v>
      </c>
    </row>
    <row r="87" spans="1:26" s="29" customFormat="1" outlineLevel="1" collapsed="1" x14ac:dyDescent="0.3">
      <c r="A87" s="28"/>
      <c r="B87" s="14" t="str">
        <f>CONCATENATE("     ","Depreciation                                      ")</f>
        <v xml:space="preserve">     Depreciation                                      </v>
      </c>
      <c r="C87" s="14"/>
      <c r="D87" s="1">
        <f>SUM(OSRRefD22_5x_0)</f>
        <v>30895.29</v>
      </c>
      <c r="E87" s="1"/>
      <c r="F87" s="5">
        <f t="shared" si="30"/>
        <v>7.977790679611009E-2</v>
      </c>
      <c r="G87" s="1"/>
      <c r="H87" s="1">
        <f>SUM(OSRRefH22_5x_0)</f>
        <v>30494</v>
      </c>
      <c r="I87" s="1"/>
      <c r="J87" s="5">
        <f t="shared" si="31"/>
        <v>7.8765336432907146E-2</v>
      </c>
      <c r="K87" s="1"/>
      <c r="L87" s="1">
        <f t="shared" si="32"/>
        <v>401.29000000000087</v>
      </c>
      <c r="M87" s="1"/>
      <c r="N87" s="5">
        <f t="shared" si="33"/>
        <v>1.3159637961566238E-2</v>
      </c>
      <c r="O87" s="14"/>
      <c r="P87" s="1">
        <f>SUM(OSRRefP22_5x_0)</f>
        <v>154793.95000000001</v>
      </c>
      <c r="Q87" s="1"/>
      <c r="R87" s="5">
        <f t="shared" si="34"/>
        <v>3.8737079121389288E-2</v>
      </c>
      <c r="S87" s="1"/>
      <c r="T87" s="1">
        <f>SUM(OSRRefT22_5x_0)</f>
        <v>152787</v>
      </c>
      <c r="U87" s="1"/>
      <c r="V87" s="5">
        <f t="shared" si="35"/>
        <v>2.6976858665958524E-2</v>
      </c>
      <c r="W87" s="1"/>
      <c r="X87" s="1">
        <f t="shared" si="36"/>
        <v>2006.9500000000116</v>
      </c>
      <c r="Y87" s="1"/>
      <c r="Z87" s="5">
        <f t="shared" si="37"/>
        <v>1.3135607086990462E-2</v>
      </c>
    </row>
    <row r="88" spans="1:26" s="24" customFormat="1" hidden="1" outlineLevel="2" x14ac:dyDescent="0.3">
      <c r="A88" s="27"/>
      <c r="B88" s="11" t="str">
        <f>CONCATENATE("          ", "6321", " - ", "BUILDING DEPRECIATION")</f>
        <v xml:space="preserve">          6321 - BUILDING DEPRECIATION</v>
      </c>
      <c r="C88" s="11"/>
      <c r="D88" s="6">
        <v>16396.52</v>
      </c>
      <c r="E88" s="2"/>
      <c r="F88" s="7">
        <f t="shared" si="30"/>
        <v>4.2339141155190808E-2</v>
      </c>
      <c r="G88" s="2"/>
      <c r="H88" s="6"/>
      <c r="I88" s="2"/>
      <c r="J88" s="7">
        <f t="shared" si="31"/>
        <v>0</v>
      </c>
      <c r="K88" s="2"/>
      <c r="L88" s="6">
        <f t="shared" si="32"/>
        <v>16396.52</v>
      </c>
      <c r="M88" s="2"/>
      <c r="N88" s="7">
        <f t="shared" si="33"/>
        <v>0</v>
      </c>
      <c r="O88" s="11"/>
      <c r="P88" s="6">
        <v>81982.600000000006</v>
      </c>
      <c r="Q88" s="2"/>
      <c r="R88" s="7">
        <f t="shared" si="34"/>
        <v>2.0516089051136752E-2</v>
      </c>
      <c r="S88" s="2"/>
      <c r="T88" s="6"/>
      <c r="U88" s="2"/>
      <c r="V88" s="7">
        <f t="shared" si="35"/>
        <v>0</v>
      </c>
      <c r="W88" s="2"/>
      <c r="X88" s="6">
        <f t="shared" si="36"/>
        <v>81982.600000000006</v>
      </c>
      <c r="Y88" s="2"/>
      <c r="Z88" s="7">
        <f t="shared" si="37"/>
        <v>0</v>
      </c>
    </row>
    <row r="89" spans="1:26" s="24" customFormat="1" hidden="1" outlineLevel="2" x14ac:dyDescent="0.3">
      <c r="A89" s="27"/>
      <c r="B89" s="11" t="str">
        <f>CONCATENATE("          ", "6322", " - ", "EQUIPMENT DEPRECIATION EXPENSE")</f>
        <v xml:space="preserve">          6322 - EQUIPMENT DEPRECIATION EXPENSE</v>
      </c>
      <c r="C89" s="11"/>
      <c r="D89" s="6">
        <v>14498.77</v>
      </c>
      <c r="E89" s="2"/>
      <c r="F89" s="7">
        <f t="shared" si="30"/>
        <v>3.7438765640919282E-2</v>
      </c>
      <c r="G89" s="2"/>
      <c r="H89" s="6">
        <v>30494</v>
      </c>
      <c r="I89" s="2"/>
      <c r="J89" s="7">
        <f t="shared" si="31"/>
        <v>7.8765336432907146E-2</v>
      </c>
      <c r="K89" s="2"/>
      <c r="L89" s="6">
        <f t="shared" si="32"/>
        <v>-15995.23</v>
      </c>
      <c r="M89" s="2"/>
      <c r="N89" s="7">
        <f t="shared" si="33"/>
        <v>-0.52453695809011602</v>
      </c>
      <c r="O89" s="11"/>
      <c r="P89" s="6">
        <v>72811.350000000006</v>
      </c>
      <c r="Q89" s="2"/>
      <c r="R89" s="7">
        <f t="shared" si="34"/>
        <v>1.8220990070252539E-2</v>
      </c>
      <c r="S89" s="2"/>
      <c r="T89" s="6">
        <v>152787</v>
      </c>
      <c r="U89" s="2"/>
      <c r="V89" s="7">
        <f t="shared" si="35"/>
        <v>2.6976858665958524E-2</v>
      </c>
      <c r="W89" s="2"/>
      <c r="X89" s="6">
        <f t="shared" si="36"/>
        <v>-79975.649999999994</v>
      </c>
      <c r="Y89" s="2"/>
      <c r="Z89" s="7">
        <f t="shared" si="37"/>
        <v>-0.52344538475132041</v>
      </c>
    </row>
    <row r="90" spans="1:26" s="29" customFormat="1" outlineLevel="1" collapsed="1" x14ac:dyDescent="0.3">
      <c r="A90" s="28"/>
      <c r="B90" s="14" t="str">
        <f>CONCATENATE("     ","Discounts and Markdowns                           ")</f>
        <v xml:space="preserve">     Discounts and Markdowns                           </v>
      </c>
      <c r="C90" s="14"/>
      <c r="D90" s="1">
        <f>SUM(OSRRefD22_6x_0)</f>
        <v>3409.87</v>
      </c>
      <c r="E90" s="1"/>
      <c r="F90" s="5">
        <f t="shared" ref="F90:F92" si="38">IF(D$12=0,0,D90/D$12)</f>
        <v>8.8049761321823457E-3</v>
      </c>
      <c r="G90" s="1"/>
      <c r="H90" s="1">
        <f>SUM(OSRRefH22_6x_0)</f>
        <v>0</v>
      </c>
      <c r="I90" s="1"/>
      <c r="J90" s="5">
        <f t="shared" ref="J90:J92" si="39">IF(H$12=0,0,H90/H$12)</f>
        <v>0</v>
      </c>
      <c r="K90" s="1"/>
      <c r="L90" s="1">
        <f t="shared" ref="L90:L92" si="40">+D90-H90</f>
        <v>3409.87</v>
      </c>
      <c r="M90" s="1"/>
      <c r="N90" s="5">
        <f t="shared" ref="N90:N92" si="41">IF(H90=0,0,L90/H90)</f>
        <v>0</v>
      </c>
      <c r="O90" s="14"/>
      <c r="P90" s="1">
        <f>SUM(OSRRefP22_6x_0)</f>
        <v>3343.63</v>
      </c>
      <c r="Q90" s="1"/>
      <c r="R90" s="5">
        <f t="shared" ref="R90:R92" si="42">IF(P$12=0,0,P90/P$12)</f>
        <v>8.3674109913630908E-4</v>
      </c>
      <c r="S90" s="1"/>
      <c r="T90" s="1">
        <f>SUM(OSRRefT22_6x_0)</f>
        <v>0</v>
      </c>
      <c r="U90" s="1"/>
      <c r="V90" s="5">
        <f t="shared" ref="V90:V92" si="43">IF(T$12=0,0,T90/T$12)</f>
        <v>0</v>
      </c>
      <c r="W90" s="1"/>
      <c r="X90" s="1">
        <f t="shared" ref="X90:X92" si="44">+P90-T90</f>
        <v>3343.63</v>
      </c>
      <c r="Y90" s="1"/>
      <c r="Z90" s="5">
        <f t="shared" ref="Z90:Z92" si="45">IF(T90=0,0,X90/T90)</f>
        <v>0</v>
      </c>
    </row>
    <row r="91" spans="1:26" s="24" customFormat="1" hidden="1" outlineLevel="2" x14ac:dyDescent="0.3">
      <c r="A91" s="27"/>
      <c r="B91" s="11" t="str">
        <f>CONCATENATE("          ", "6382", " - ", "DISCOUNTS/MARK DOWNS")</f>
        <v xml:space="preserve">          6382 - DISCOUNTS/MARK DOWNS</v>
      </c>
      <c r="C91" s="11"/>
      <c r="D91" s="6">
        <v>3410</v>
      </c>
      <c r="E91" s="2"/>
      <c r="F91" s="7">
        <f t="shared" si="38"/>
        <v>8.8053118185566596E-3</v>
      </c>
      <c r="G91" s="2"/>
      <c r="H91" s="6"/>
      <c r="I91" s="2"/>
      <c r="J91" s="7">
        <f t="shared" si="39"/>
        <v>0</v>
      </c>
      <c r="K91" s="2"/>
      <c r="L91" s="6">
        <f t="shared" si="40"/>
        <v>3410</v>
      </c>
      <c r="M91" s="2"/>
      <c r="N91" s="7">
        <f t="shared" si="41"/>
        <v>0</v>
      </c>
      <c r="O91" s="11"/>
      <c r="P91" s="6">
        <v>3410</v>
      </c>
      <c r="Q91" s="2"/>
      <c r="R91" s="7">
        <f t="shared" si="42"/>
        <v>8.5335014581601845E-4</v>
      </c>
      <c r="S91" s="2"/>
      <c r="T91" s="6">
        <v>0</v>
      </c>
      <c r="U91" s="2"/>
      <c r="V91" s="7">
        <f t="shared" si="43"/>
        <v>0</v>
      </c>
      <c r="W91" s="2"/>
      <c r="X91" s="6">
        <f t="shared" si="44"/>
        <v>3410</v>
      </c>
      <c r="Y91" s="2"/>
      <c r="Z91" s="7">
        <f t="shared" si="45"/>
        <v>0</v>
      </c>
    </row>
    <row r="92" spans="1:26" s="24" customFormat="1" hidden="1" outlineLevel="2" x14ac:dyDescent="0.3">
      <c r="A92" s="27"/>
      <c r="B92" s="11" t="str">
        <f>CONCATENATE("          ", "9175", " - ", "EARNED DISCOUNTS")</f>
        <v xml:space="preserve">          9175 - EARNED DISCOUNTS</v>
      </c>
      <c r="C92" s="11"/>
      <c r="D92" s="6">
        <v>-0.13</v>
      </c>
      <c r="E92" s="2"/>
      <c r="F92" s="7">
        <f t="shared" si="38"/>
        <v>-3.356863743144768E-7</v>
      </c>
      <c r="G92" s="2"/>
      <c r="H92" s="6"/>
      <c r="I92" s="2"/>
      <c r="J92" s="7">
        <f t="shared" si="39"/>
        <v>0</v>
      </c>
      <c r="K92" s="2"/>
      <c r="L92" s="6">
        <f t="shared" si="40"/>
        <v>-0.13</v>
      </c>
      <c r="M92" s="2"/>
      <c r="N92" s="7">
        <f t="shared" si="41"/>
        <v>0</v>
      </c>
      <c r="O92" s="11"/>
      <c r="P92" s="6">
        <v>-66.37</v>
      </c>
      <c r="Q92" s="2"/>
      <c r="R92" s="7">
        <f t="shared" si="42"/>
        <v>-1.6609046679709428E-5</v>
      </c>
      <c r="S92" s="2"/>
      <c r="T92" s="6"/>
      <c r="U92" s="2"/>
      <c r="V92" s="7">
        <f t="shared" si="43"/>
        <v>0</v>
      </c>
      <c r="W92" s="2"/>
      <c r="X92" s="6">
        <f t="shared" si="44"/>
        <v>-66.37</v>
      </c>
      <c r="Y92" s="2"/>
      <c r="Z92" s="7">
        <f t="shared" si="45"/>
        <v>0</v>
      </c>
    </row>
    <row r="93" spans="1:26" s="29" customFormat="1" outlineLevel="1" collapsed="1" x14ac:dyDescent="0.3">
      <c r="A93" s="28"/>
      <c r="B93" s="14" t="str">
        <f>CONCATENATE("     ","Donations                                         ")</f>
        <v xml:space="preserve">     Donations                                         </v>
      </c>
      <c r="C93" s="14"/>
      <c r="D93" s="1">
        <f>SUM(OSRRefD22_7x_0)</f>
        <v>1336.74</v>
      </c>
      <c r="E93" s="1"/>
      <c r="F93" s="5">
        <f t="shared" ref="F93:F101" si="46">IF(D$12=0,0,D93/D$12)</f>
        <v>3.4517338769317978E-3</v>
      </c>
      <c r="G93" s="1"/>
      <c r="H93" s="1">
        <f>SUM(OSRRefH22_7x_0)</f>
        <v>1250</v>
      </c>
      <c r="I93" s="1"/>
      <c r="J93" s="5">
        <f t="shared" ref="J93:J101" si="47">IF(H$12=0,0,H93/H$12)</f>
        <v>3.228722717293039E-3</v>
      </c>
      <c r="K93" s="1"/>
      <c r="L93" s="1">
        <f t="shared" ref="L93:L101" si="48">+D93-H93</f>
        <v>86.740000000000009</v>
      </c>
      <c r="M93" s="1"/>
      <c r="N93" s="5">
        <f t="shared" ref="N93:N101" si="49">IF(H93=0,0,L93/H93)</f>
        <v>6.9392000000000009E-2</v>
      </c>
      <c r="O93" s="14"/>
      <c r="P93" s="1">
        <f>SUM(OSRRefP22_7x_0)</f>
        <v>2820.22</v>
      </c>
      <c r="Q93" s="1"/>
      <c r="R93" s="5">
        <f t="shared" ref="R93:R101" si="50">IF(P$12=0,0,P93/P$12)</f>
        <v>7.0575810798629071E-4</v>
      </c>
      <c r="S93" s="1"/>
      <c r="T93" s="1">
        <f>SUM(OSRRefT22_7x_0)</f>
        <v>6250</v>
      </c>
      <c r="U93" s="1"/>
      <c r="V93" s="5">
        <f t="shared" ref="V93:V101" si="51">IF(T$12=0,0,T93/T$12)</f>
        <v>1.1035321503939522E-3</v>
      </c>
      <c r="W93" s="1"/>
      <c r="X93" s="1">
        <f t="shared" ref="X93:X101" si="52">+P93-T93</f>
        <v>-3429.78</v>
      </c>
      <c r="Y93" s="1"/>
      <c r="Z93" s="5">
        <f t="shared" ref="Z93:Z101" si="53">IF(T93=0,0,X93/T93)</f>
        <v>-0.54876480000000005</v>
      </c>
    </row>
    <row r="94" spans="1:26" s="24" customFormat="1" hidden="1" outlineLevel="2" x14ac:dyDescent="0.3">
      <c r="A94" s="27"/>
      <c r="B94" s="11" t="str">
        <f>CONCATENATE("          ", "6399", " - ", "DONATION-ON CAMPUS")</f>
        <v xml:space="preserve">          6399 - DONATION-ON CAMPUS</v>
      </c>
      <c r="C94" s="11"/>
      <c r="D94" s="6">
        <v>1336.74</v>
      </c>
      <c r="E94" s="2"/>
      <c r="F94" s="7">
        <f t="shared" si="46"/>
        <v>3.4517338769317978E-3</v>
      </c>
      <c r="G94" s="2"/>
      <c r="H94" s="6">
        <v>1250</v>
      </c>
      <c r="I94" s="2"/>
      <c r="J94" s="7">
        <f t="shared" si="47"/>
        <v>3.228722717293039E-3</v>
      </c>
      <c r="K94" s="2"/>
      <c r="L94" s="6">
        <f t="shared" si="48"/>
        <v>86.740000000000009</v>
      </c>
      <c r="M94" s="2"/>
      <c r="N94" s="7">
        <f t="shared" si="49"/>
        <v>6.9392000000000009E-2</v>
      </c>
      <c r="O94" s="11"/>
      <c r="P94" s="6">
        <v>2820.22</v>
      </c>
      <c r="Q94" s="2"/>
      <c r="R94" s="7">
        <f t="shared" si="50"/>
        <v>7.0575810798629071E-4</v>
      </c>
      <c r="S94" s="2"/>
      <c r="T94" s="6">
        <v>6250</v>
      </c>
      <c r="U94" s="2"/>
      <c r="V94" s="7">
        <f t="shared" si="51"/>
        <v>1.1035321503939522E-3</v>
      </c>
      <c r="W94" s="2"/>
      <c r="X94" s="6">
        <f t="shared" si="52"/>
        <v>-3429.78</v>
      </c>
      <c r="Y94" s="2"/>
      <c r="Z94" s="7">
        <f t="shared" si="53"/>
        <v>-0.54876480000000005</v>
      </c>
    </row>
    <row r="95" spans="1:26" s="29" customFormat="1" outlineLevel="1" collapsed="1" x14ac:dyDescent="0.3">
      <c r="A95" s="28"/>
      <c r="B95" s="14" t="str">
        <f>CONCATENATE("     ","Employees' Appreciation                           ")</f>
        <v xml:space="preserve">     Employees' Appreciation                           </v>
      </c>
      <c r="C95" s="14"/>
      <c r="D95" s="1">
        <f>SUM(OSRRefD22_8x_0)</f>
        <v>490.02</v>
      </c>
      <c r="E95" s="1"/>
      <c r="F95" s="5">
        <f t="shared" si="46"/>
        <v>1.2653310549352302E-3</v>
      </c>
      <c r="G95" s="1"/>
      <c r="H95" s="1">
        <f>SUM(OSRRefH22_8x_0)</f>
        <v>245</v>
      </c>
      <c r="I95" s="1"/>
      <c r="J95" s="5">
        <f t="shared" si="47"/>
        <v>6.3282965258943562E-4</v>
      </c>
      <c r="K95" s="1"/>
      <c r="L95" s="1">
        <f t="shared" si="48"/>
        <v>245.01999999999998</v>
      </c>
      <c r="M95" s="1"/>
      <c r="N95" s="5">
        <f t="shared" si="49"/>
        <v>1.000081632653061</v>
      </c>
      <c r="O95" s="14"/>
      <c r="P95" s="1">
        <f>SUM(OSRRefP22_8x_0)</f>
        <v>1874.65</v>
      </c>
      <c r="Q95" s="1"/>
      <c r="R95" s="5">
        <f t="shared" si="50"/>
        <v>4.6912986828563023E-4</v>
      </c>
      <c r="S95" s="1"/>
      <c r="T95" s="1">
        <f>SUM(OSRRefT22_8x_0)</f>
        <v>1225</v>
      </c>
      <c r="U95" s="1"/>
      <c r="V95" s="5">
        <f t="shared" si="51"/>
        <v>2.1629230147721462E-4</v>
      </c>
      <c r="W95" s="1"/>
      <c r="X95" s="1">
        <f t="shared" si="52"/>
        <v>649.65000000000009</v>
      </c>
      <c r="Y95" s="1"/>
      <c r="Z95" s="5">
        <f t="shared" si="53"/>
        <v>0.530326530612245</v>
      </c>
    </row>
    <row r="96" spans="1:26" s="24" customFormat="1" hidden="1" outlineLevel="2" x14ac:dyDescent="0.3">
      <c r="A96" s="27"/>
      <c r="B96" s="11" t="str">
        <f>CONCATENATE("          ", "6277", " - ", "EMPLOYEE APPRECIATION")</f>
        <v xml:space="preserve">          6277 - EMPLOYEE APPRECIATION</v>
      </c>
      <c r="C96" s="11"/>
      <c r="D96" s="6">
        <v>490.02</v>
      </c>
      <c r="E96" s="2"/>
      <c r="F96" s="7">
        <f t="shared" si="46"/>
        <v>1.2653310549352302E-3</v>
      </c>
      <c r="G96" s="2"/>
      <c r="H96" s="6">
        <v>245</v>
      </c>
      <c r="I96" s="2"/>
      <c r="J96" s="7">
        <f t="shared" si="47"/>
        <v>6.3282965258943562E-4</v>
      </c>
      <c r="K96" s="2"/>
      <c r="L96" s="6">
        <f t="shared" si="48"/>
        <v>245.01999999999998</v>
      </c>
      <c r="M96" s="2"/>
      <c r="N96" s="7">
        <f t="shared" si="49"/>
        <v>1.000081632653061</v>
      </c>
      <c r="O96" s="11"/>
      <c r="P96" s="6">
        <v>1874.65</v>
      </c>
      <c r="Q96" s="2"/>
      <c r="R96" s="7">
        <f t="shared" si="50"/>
        <v>4.6912986828563023E-4</v>
      </c>
      <c r="S96" s="2"/>
      <c r="T96" s="6">
        <v>1225</v>
      </c>
      <c r="U96" s="2"/>
      <c r="V96" s="7">
        <f t="shared" si="51"/>
        <v>2.1629230147721462E-4</v>
      </c>
      <c r="W96" s="2"/>
      <c r="X96" s="6">
        <f t="shared" si="52"/>
        <v>649.65000000000009</v>
      </c>
      <c r="Y96" s="2"/>
      <c r="Z96" s="7">
        <f t="shared" si="53"/>
        <v>0.530326530612245</v>
      </c>
    </row>
    <row r="97" spans="1:26" s="29" customFormat="1" outlineLevel="1" collapsed="1" x14ac:dyDescent="0.3">
      <c r="A97" s="28"/>
      <c r="B97" s="14" t="str">
        <f>CONCATENATE("     ","Equipment Rental                                  ")</f>
        <v xml:space="preserve">     Equipment Rental                                  </v>
      </c>
      <c r="C97" s="14"/>
      <c r="D97" s="1">
        <f>SUM(OSRRefD22_9x_0)</f>
        <v>1712.05</v>
      </c>
      <c r="E97" s="1"/>
      <c r="F97" s="5">
        <f t="shared" si="46"/>
        <v>4.4208604395776924E-3</v>
      </c>
      <c r="G97" s="1"/>
      <c r="H97" s="1">
        <f>SUM(OSRRefH22_9x_0)</f>
        <v>1700</v>
      </c>
      <c r="I97" s="1"/>
      <c r="J97" s="5">
        <f t="shared" si="47"/>
        <v>4.3910628955185329E-3</v>
      </c>
      <c r="K97" s="1"/>
      <c r="L97" s="1">
        <f t="shared" si="48"/>
        <v>12.049999999999955</v>
      </c>
      <c r="M97" s="1"/>
      <c r="N97" s="5">
        <f t="shared" si="49"/>
        <v>7.08823529411762E-3</v>
      </c>
      <c r="O97" s="14"/>
      <c r="P97" s="1">
        <f>SUM(OSRRefP22_9x_0)</f>
        <v>8323.4500000000007</v>
      </c>
      <c r="Q97" s="1"/>
      <c r="R97" s="5">
        <f t="shared" si="50"/>
        <v>2.0829376161854369E-3</v>
      </c>
      <c r="S97" s="1"/>
      <c r="T97" s="1">
        <f>SUM(OSRRefT22_9x_0)</f>
        <v>8300</v>
      </c>
      <c r="U97" s="1"/>
      <c r="V97" s="5">
        <f t="shared" si="51"/>
        <v>1.4654906957231684E-3</v>
      </c>
      <c r="W97" s="1"/>
      <c r="X97" s="1">
        <f t="shared" si="52"/>
        <v>23.450000000000728</v>
      </c>
      <c r="Y97" s="1"/>
      <c r="Z97" s="5">
        <f t="shared" si="53"/>
        <v>2.8253012048193647E-3</v>
      </c>
    </row>
    <row r="98" spans="1:26" s="24" customFormat="1" hidden="1" outlineLevel="2" x14ac:dyDescent="0.3">
      <c r="A98" s="27"/>
      <c r="B98" s="11" t="str">
        <f>CONCATENATE("          ", "6351", " - ", "EQUIPMENT RENTAL")</f>
        <v xml:space="preserve">          6351 - EQUIPMENT RENTAL</v>
      </c>
      <c r="C98" s="11"/>
      <c r="D98" s="6">
        <v>1712.05</v>
      </c>
      <c r="E98" s="2"/>
      <c r="F98" s="7">
        <f t="shared" si="46"/>
        <v>4.4208604395776924E-3</v>
      </c>
      <c r="G98" s="2"/>
      <c r="H98" s="6">
        <v>1700</v>
      </c>
      <c r="I98" s="2"/>
      <c r="J98" s="7">
        <f t="shared" si="47"/>
        <v>4.3910628955185329E-3</v>
      </c>
      <c r="K98" s="2"/>
      <c r="L98" s="6">
        <f t="shared" si="48"/>
        <v>12.049999999999955</v>
      </c>
      <c r="M98" s="2"/>
      <c r="N98" s="7">
        <f t="shared" si="49"/>
        <v>7.08823529411762E-3</v>
      </c>
      <c r="O98" s="11"/>
      <c r="P98" s="6">
        <v>8323.4500000000007</v>
      </c>
      <c r="Q98" s="2"/>
      <c r="R98" s="7">
        <f t="shared" si="50"/>
        <v>2.0829376161854369E-3</v>
      </c>
      <c r="S98" s="2"/>
      <c r="T98" s="6">
        <v>8300</v>
      </c>
      <c r="U98" s="2"/>
      <c r="V98" s="7">
        <f t="shared" si="51"/>
        <v>1.4654906957231684E-3</v>
      </c>
      <c r="W98" s="2"/>
      <c r="X98" s="6">
        <f t="shared" si="52"/>
        <v>23.450000000000728</v>
      </c>
      <c r="Y98" s="2"/>
      <c r="Z98" s="7">
        <f t="shared" si="53"/>
        <v>2.8253012048193647E-3</v>
      </c>
    </row>
    <row r="99" spans="1:26" s="29" customFormat="1" outlineLevel="1" collapsed="1" x14ac:dyDescent="0.3">
      <c r="A99" s="28"/>
      <c r="B99" s="14" t="str">
        <f>CONCATENATE("     ","Freight out/Postage                               ")</f>
        <v xml:space="preserve">     Freight out/Postage                               </v>
      </c>
      <c r="C99" s="14"/>
      <c r="D99" s="1">
        <f>SUM(OSRRefD22_10x_0)</f>
        <v>5663.4</v>
      </c>
      <c r="E99" s="1"/>
      <c r="F99" s="5">
        <f t="shared" si="46"/>
        <v>1.4624047786866214E-2</v>
      </c>
      <c r="G99" s="1"/>
      <c r="H99" s="1">
        <f>SUM(OSRRefH22_10x_0)</f>
        <v>10665</v>
      </c>
      <c r="I99" s="1"/>
      <c r="J99" s="5">
        <f t="shared" si="47"/>
        <v>2.7547462223944209E-2</v>
      </c>
      <c r="K99" s="1"/>
      <c r="L99" s="1">
        <f t="shared" si="48"/>
        <v>-5001.6000000000004</v>
      </c>
      <c r="M99" s="1"/>
      <c r="N99" s="5">
        <f t="shared" si="49"/>
        <v>-0.46897327707454295</v>
      </c>
      <c r="O99" s="14"/>
      <c r="P99" s="1">
        <f>SUM(OSRRefP22_10x_0)</f>
        <v>-29864.100000000006</v>
      </c>
      <c r="Q99" s="1"/>
      <c r="R99" s="5">
        <f t="shared" si="50"/>
        <v>-7.4734704075261477E-3</v>
      </c>
      <c r="S99" s="1"/>
      <c r="T99" s="1">
        <f>SUM(OSRRefT22_10x_0)</f>
        <v>8725</v>
      </c>
      <c r="U99" s="1"/>
      <c r="V99" s="5">
        <f t="shared" si="51"/>
        <v>1.5405308819499571E-3</v>
      </c>
      <c r="W99" s="1"/>
      <c r="X99" s="1">
        <f t="shared" si="52"/>
        <v>-38589.100000000006</v>
      </c>
      <c r="Y99" s="1"/>
      <c r="Z99" s="5">
        <f t="shared" si="53"/>
        <v>-4.422819484240688</v>
      </c>
    </row>
    <row r="100" spans="1:26" s="24" customFormat="1" hidden="1" outlineLevel="2" x14ac:dyDescent="0.3">
      <c r="A100" s="27"/>
      <c r="B100" s="11" t="str">
        <f>CONCATENATE("          ", "6305", " - ", "FREIGHT OUT")</f>
        <v xml:space="preserve">          6305 - FREIGHT OUT</v>
      </c>
      <c r="C100" s="11"/>
      <c r="D100" s="6">
        <v>11064.07</v>
      </c>
      <c r="E100" s="2"/>
      <c r="F100" s="7">
        <f t="shared" si="46"/>
        <v>2.856967341124287E-2</v>
      </c>
      <c r="G100" s="2"/>
      <c r="H100" s="6">
        <v>15065</v>
      </c>
      <c r="I100" s="2"/>
      <c r="J100" s="7">
        <f t="shared" si="47"/>
        <v>3.8912566188815702E-2</v>
      </c>
      <c r="K100" s="2"/>
      <c r="L100" s="6">
        <f t="shared" si="48"/>
        <v>-4000.9300000000003</v>
      </c>
      <c r="M100" s="2"/>
      <c r="N100" s="7">
        <f t="shared" si="49"/>
        <v>-0.26557782940590774</v>
      </c>
      <c r="O100" s="11"/>
      <c r="P100" s="6">
        <v>65950.75</v>
      </c>
      <c r="Q100" s="2"/>
      <c r="R100" s="7">
        <f t="shared" si="50"/>
        <v>1.6504129656649789E-2</v>
      </c>
      <c r="S100" s="2"/>
      <c r="T100" s="6">
        <v>90025</v>
      </c>
      <c r="U100" s="2"/>
      <c r="V100" s="7">
        <f t="shared" si="51"/>
        <v>1.5895277094274487E-2</v>
      </c>
      <c r="W100" s="2"/>
      <c r="X100" s="6">
        <f t="shared" si="52"/>
        <v>-24074.25</v>
      </c>
      <c r="Y100" s="2"/>
      <c r="Z100" s="7">
        <f t="shared" si="53"/>
        <v>-0.26741738405998333</v>
      </c>
    </row>
    <row r="101" spans="1:26" s="24" customFormat="1" hidden="1" outlineLevel="2" x14ac:dyDescent="0.3">
      <c r="A101" s="27"/>
      <c r="B101" s="11" t="str">
        <f>CONCATENATE("          ", "6307", " - ", "POSTAGE")</f>
        <v xml:space="preserve">          6307 - POSTAGE</v>
      </c>
      <c r="C101" s="11"/>
      <c r="D101" s="6">
        <v>-5400.67</v>
      </c>
      <c r="E101" s="2"/>
      <c r="F101" s="7">
        <f t="shared" si="46"/>
        <v>-1.3945625624376656E-2</v>
      </c>
      <c r="G101" s="2"/>
      <c r="H101" s="6">
        <v>-4400</v>
      </c>
      <c r="I101" s="2"/>
      <c r="J101" s="7">
        <f t="shared" si="47"/>
        <v>-1.1365103964871497E-2</v>
      </c>
      <c r="K101" s="2"/>
      <c r="L101" s="6">
        <f t="shared" si="48"/>
        <v>-1000.6700000000001</v>
      </c>
      <c r="M101" s="2"/>
      <c r="N101" s="7">
        <f t="shared" si="49"/>
        <v>0.22742500000000002</v>
      </c>
      <c r="O101" s="11"/>
      <c r="P101" s="6">
        <v>-95814.85</v>
      </c>
      <c r="Q101" s="2"/>
      <c r="R101" s="7">
        <f t="shared" si="50"/>
        <v>-2.3977600064175937E-2</v>
      </c>
      <c r="S101" s="2"/>
      <c r="T101" s="6">
        <v>-81300</v>
      </c>
      <c r="U101" s="2"/>
      <c r="V101" s="7">
        <f t="shared" si="51"/>
        <v>-1.4354746212324529E-2</v>
      </c>
      <c r="W101" s="2"/>
      <c r="X101" s="6">
        <f t="shared" si="52"/>
        <v>-14514.850000000006</v>
      </c>
      <c r="Y101" s="2"/>
      <c r="Z101" s="7">
        <f t="shared" si="53"/>
        <v>0.17853444034440352</v>
      </c>
    </row>
    <row r="102" spans="1:26" s="29" customFormat="1" outlineLevel="1" collapsed="1" x14ac:dyDescent="0.3">
      <c r="A102" s="28"/>
      <c r="B102" s="14" t="str">
        <f>CONCATENATE("     ","General                                           ")</f>
        <v xml:space="preserve">     General                                           </v>
      </c>
      <c r="C102" s="14"/>
      <c r="D102" s="1">
        <f>SUM(OSRRefD22_11x_0)</f>
        <v>1135.0899999999999</v>
      </c>
      <c r="E102" s="1"/>
      <c r="F102" s="5">
        <f t="shared" ref="F102:F104" si="54">IF(D$12=0,0,D102/D$12)</f>
        <v>2.9310326663124571E-3</v>
      </c>
      <c r="G102" s="1"/>
      <c r="H102" s="1">
        <f>SUM(OSRRefH22_11x_0)</f>
        <v>730</v>
      </c>
      <c r="I102" s="1"/>
      <c r="J102" s="5">
        <f t="shared" ref="J102:J104" si="55">IF(H$12=0,0,H102/H$12)</f>
        <v>1.8855740668991348E-3</v>
      </c>
      <c r="K102" s="1"/>
      <c r="L102" s="1">
        <f t="shared" ref="L102:L104" si="56">+D102-H102</f>
        <v>405.08999999999992</v>
      </c>
      <c r="M102" s="1"/>
      <c r="N102" s="5">
        <f t="shared" ref="N102:N104" si="57">IF(H102=0,0,L102/H102)</f>
        <v>0.55491780821917802</v>
      </c>
      <c r="O102" s="14"/>
      <c r="P102" s="1">
        <f>SUM(OSRRefP22_11x_0)</f>
        <v>3329.19</v>
      </c>
      <c r="Q102" s="1"/>
      <c r="R102" s="5">
        <f t="shared" ref="R102:R104" si="58">IF(P$12=0,0,P102/P$12)</f>
        <v>8.3312749910534627E-4</v>
      </c>
      <c r="S102" s="1"/>
      <c r="T102" s="1">
        <f>SUM(OSRRefT22_11x_0)</f>
        <v>1900</v>
      </c>
      <c r="U102" s="1"/>
      <c r="V102" s="5">
        <f t="shared" ref="V102:V104" si="59">IF(T$12=0,0,T102/T$12)</f>
        <v>3.3547377371976147E-4</v>
      </c>
      <c r="W102" s="1"/>
      <c r="X102" s="1">
        <f t="shared" ref="X102:X104" si="60">+P102-T102</f>
        <v>1429.19</v>
      </c>
      <c r="Y102" s="1"/>
      <c r="Z102" s="5">
        <f t="shared" ref="Z102:Z104" si="61">IF(T102=0,0,X102/T102)</f>
        <v>0.75220526315789471</v>
      </c>
    </row>
    <row r="103" spans="1:26" s="24" customFormat="1" hidden="1" outlineLevel="2" x14ac:dyDescent="0.3">
      <c r="A103" s="27"/>
      <c r="B103" s="11" t="str">
        <f>CONCATENATE("          ", "6276", " - ", "PROPERTY TAX")</f>
        <v xml:space="preserve">          6276 - PROPERTY TAX</v>
      </c>
      <c r="C103" s="11"/>
      <c r="D103" s="6"/>
      <c r="E103" s="2"/>
      <c r="F103" s="7">
        <f t="shared" si="54"/>
        <v>0</v>
      </c>
      <c r="G103" s="2"/>
      <c r="H103" s="6"/>
      <c r="I103" s="2"/>
      <c r="J103" s="7">
        <f t="shared" si="55"/>
        <v>0</v>
      </c>
      <c r="K103" s="2"/>
      <c r="L103" s="6">
        <f t="shared" si="56"/>
        <v>0</v>
      </c>
      <c r="M103" s="2"/>
      <c r="N103" s="7">
        <f t="shared" si="57"/>
        <v>0</v>
      </c>
      <c r="O103" s="11"/>
      <c r="P103" s="6"/>
      <c r="Q103" s="2"/>
      <c r="R103" s="7">
        <f t="shared" si="58"/>
        <v>0</v>
      </c>
      <c r="S103" s="2"/>
      <c r="T103" s="6">
        <v>125</v>
      </c>
      <c r="U103" s="2"/>
      <c r="V103" s="7">
        <f t="shared" si="59"/>
        <v>2.2070643007879042E-5</v>
      </c>
      <c r="W103" s="2"/>
      <c r="X103" s="6">
        <f t="shared" si="60"/>
        <v>-125</v>
      </c>
      <c r="Y103" s="2"/>
      <c r="Z103" s="7">
        <f t="shared" si="61"/>
        <v>-1</v>
      </c>
    </row>
    <row r="104" spans="1:26" s="24" customFormat="1" hidden="1" outlineLevel="2" x14ac:dyDescent="0.3">
      <c r="A104" s="27"/>
      <c r="B104" s="11" t="str">
        <f>CONCATENATE("          ", "6279", " - ", "GENERAL EXPENSE")</f>
        <v xml:space="preserve">          6279 - GENERAL EXPENSE</v>
      </c>
      <c r="C104" s="11"/>
      <c r="D104" s="6">
        <v>1135.0899999999999</v>
      </c>
      <c r="E104" s="2"/>
      <c r="F104" s="7">
        <f t="shared" si="54"/>
        <v>2.9310326663124571E-3</v>
      </c>
      <c r="G104" s="2"/>
      <c r="H104" s="6">
        <v>730</v>
      </c>
      <c r="I104" s="2"/>
      <c r="J104" s="7">
        <f t="shared" si="55"/>
        <v>1.8855740668991348E-3</v>
      </c>
      <c r="K104" s="2"/>
      <c r="L104" s="6">
        <f t="shared" si="56"/>
        <v>405.08999999999992</v>
      </c>
      <c r="M104" s="2"/>
      <c r="N104" s="7">
        <f t="shared" si="57"/>
        <v>0.55491780821917802</v>
      </c>
      <c r="O104" s="11"/>
      <c r="P104" s="6">
        <v>3329.19</v>
      </c>
      <c r="Q104" s="2"/>
      <c r="R104" s="7">
        <f t="shared" si="58"/>
        <v>8.3312749910534627E-4</v>
      </c>
      <c r="S104" s="2"/>
      <c r="T104" s="6">
        <v>1775</v>
      </c>
      <c r="U104" s="2"/>
      <c r="V104" s="7">
        <f t="shared" si="59"/>
        <v>3.1340313071188242E-4</v>
      </c>
      <c r="W104" s="2"/>
      <c r="X104" s="6">
        <f t="shared" si="60"/>
        <v>1554.19</v>
      </c>
      <c r="Y104" s="2"/>
      <c r="Z104" s="7">
        <f t="shared" si="61"/>
        <v>0.87560000000000004</v>
      </c>
    </row>
    <row r="105" spans="1:26" s="29" customFormat="1" outlineLevel="1" collapsed="1" x14ac:dyDescent="0.3">
      <c r="A105" s="28"/>
      <c r="B105" s="14" t="str">
        <f>CONCATENATE("     ","Insurance                                         ")</f>
        <v xml:space="preserve">     Insurance                                         </v>
      </c>
      <c r="C105" s="14"/>
      <c r="D105" s="1">
        <f>SUM(OSRRefD22_12x_0)</f>
        <v>5494.57</v>
      </c>
      <c r="E105" s="1"/>
      <c r="F105" s="5">
        <f t="shared" ref="F105:F117" si="62">IF(D$12=0,0,D105/D$12)</f>
        <v>1.4188094474746882E-2</v>
      </c>
      <c r="G105" s="1"/>
      <c r="H105" s="1">
        <f>SUM(OSRRefH22_12x_0)</f>
        <v>5375</v>
      </c>
      <c r="I105" s="1"/>
      <c r="J105" s="5">
        <f t="shared" ref="J105:J117" si="63">IF(H$12=0,0,H105/H$12)</f>
        <v>1.3883507684360067E-2</v>
      </c>
      <c r="K105" s="1"/>
      <c r="L105" s="1">
        <f t="shared" ref="L105:L117" si="64">+D105-H105</f>
        <v>119.56999999999971</v>
      </c>
      <c r="M105" s="1"/>
      <c r="N105" s="5">
        <f t="shared" ref="N105:N117" si="65">IF(H105=0,0,L105/H105)</f>
        <v>2.2245581395348782E-2</v>
      </c>
      <c r="O105" s="14"/>
      <c r="P105" s="1">
        <f>SUM(OSRRefP22_12x_0)</f>
        <v>27472.85</v>
      </c>
      <c r="Q105" s="1"/>
      <c r="R105" s="5">
        <f t="shared" ref="R105:R117" si="66">IF(P$12=0,0,P105/P$12)</f>
        <v>6.8750617458890328E-3</v>
      </c>
      <c r="S105" s="1"/>
      <c r="T105" s="1">
        <f>SUM(OSRRefT22_12x_0)</f>
        <v>26875</v>
      </c>
      <c r="U105" s="1"/>
      <c r="V105" s="5">
        <f t="shared" ref="V105:V117" si="67">IF(T$12=0,0,T105/T$12)</f>
        <v>4.7451882466939942E-3</v>
      </c>
      <c r="W105" s="1"/>
      <c r="X105" s="1">
        <f t="shared" ref="X105:X117" si="68">+P105-T105</f>
        <v>597.84999999999854</v>
      </c>
      <c r="Y105" s="1"/>
      <c r="Z105" s="5">
        <f t="shared" ref="Z105:Z117" si="69">IF(T105=0,0,X105/T105)</f>
        <v>2.2245581395348782E-2</v>
      </c>
    </row>
    <row r="106" spans="1:26" s="24" customFormat="1" hidden="1" outlineLevel="2" x14ac:dyDescent="0.3">
      <c r="A106" s="27"/>
      <c r="B106" s="11" t="str">
        <f>CONCATENATE("          ", "6314", " - ", "LIABILITY INSURANCE")</f>
        <v xml:space="preserve">          6314 - LIABILITY INSURANCE</v>
      </c>
      <c r="C106" s="11"/>
      <c r="D106" s="6">
        <v>5494.57</v>
      </c>
      <c r="E106" s="2"/>
      <c r="F106" s="7">
        <f t="shared" si="62"/>
        <v>1.4188094474746882E-2</v>
      </c>
      <c r="G106" s="2"/>
      <c r="H106" s="6">
        <v>5375</v>
      </c>
      <c r="I106" s="2"/>
      <c r="J106" s="7">
        <f t="shared" si="63"/>
        <v>1.3883507684360067E-2</v>
      </c>
      <c r="K106" s="2"/>
      <c r="L106" s="6">
        <f t="shared" si="64"/>
        <v>119.56999999999971</v>
      </c>
      <c r="M106" s="2"/>
      <c r="N106" s="7">
        <f t="shared" si="65"/>
        <v>2.2245581395348782E-2</v>
      </c>
      <c r="O106" s="11"/>
      <c r="P106" s="6">
        <v>27472.85</v>
      </c>
      <c r="Q106" s="2"/>
      <c r="R106" s="7">
        <f t="shared" si="66"/>
        <v>6.8750617458890328E-3</v>
      </c>
      <c r="S106" s="2"/>
      <c r="T106" s="6">
        <v>26875</v>
      </c>
      <c r="U106" s="2"/>
      <c r="V106" s="7">
        <f t="shared" si="67"/>
        <v>4.7451882466939942E-3</v>
      </c>
      <c r="W106" s="2"/>
      <c r="X106" s="6">
        <f t="shared" si="68"/>
        <v>597.84999999999854</v>
      </c>
      <c r="Y106" s="2"/>
      <c r="Z106" s="7">
        <f t="shared" si="69"/>
        <v>2.2245581395348782E-2</v>
      </c>
    </row>
    <row r="107" spans="1:26" s="29" customFormat="1" outlineLevel="1" collapsed="1" x14ac:dyDescent="0.3">
      <c r="A107" s="28"/>
      <c r="B107" s="14" t="str">
        <f>CONCATENATE("     ","Inventory Adjustment                              ")</f>
        <v xml:space="preserve">     Inventory Adjustment                              </v>
      </c>
      <c r="C107" s="14"/>
      <c r="D107" s="1">
        <f>SUM(OSRRefD22_13x_0)</f>
        <v>5730</v>
      </c>
      <c r="E107" s="1"/>
      <c r="F107" s="5">
        <f t="shared" si="62"/>
        <v>1.47960224986304E-2</v>
      </c>
      <c r="G107" s="1"/>
      <c r="H107" s="1">
        <f>SUM(OSRRefH22_13x_0)</f>
        <v>5730</v>
      </c>
      <c r="I107" s="1"/>
      <c r="J107" s="5">
        <f t="shared" si="63"/>
        <v>1.4800464936071291E-2</v>
      </c>
      <c r="K107" s="1"/>
      <c r="L107" s="1">
        <f t="shared" si="64"/>
        <v>0</v>
      </c>
      <c r="M107" s="1"/>
      <c r="N107" s="5">
        <f t="shared" si="65"/>
        <v>0</v>
      </c>
      <c r="O107" s="14"/>
      <c r="P107" s="1">
        <f>SUM(OSRRefP22_13x_0)</f>
        <v>30800</v>
      </c>
      <c r="Q107" s="1"/>
      <c r="R107" s="5">
        <f t="shared" si="66"/>
        <v>7.7076787364027477E-3</v>
      </c>
      <c r="S107" s="1"/>
      <c r="T107" s="1">
        <f>SUM(OSRRefT22_13x_0)</f>
        <v>31510</v>
      </c>
      <c r="U107" s="1"/>
      <c r="V107" s="5">
        <f t="shared" si="67"/>
        <v>5.5635676894261491E-3</v>
      </c>
      <c r="W107" s="1"/>
      <c r="X107" s="1">
        <f t="shared" si="68"/>
        <v>-710</v>
      </c>
      <c r="Y107" s="1"/>
      <c r="Z107" s="5">
        <f t="shared" si="69"/>
        <v>-2.2532529355760077E-2</v>
      </c>
    </row>
    <row r="108" spans="1:26" s="24" customFormat="1" hidden="1" outlineLevel="2" x14ac:dyDescent="0.3">
      <c r="A108" s="27"/>
      <c r="B108" s="11" t="str">
        <f>CONCATENATE("          ", "6408", " - ", "INVENTORY ADJUSTMENT")</f>
        <v xml:space="preserve">          6408 - INVENTORY ADJUSTMENT</v>
      </c>
      <c r="C108" s="11"/>
      <c r="D108" s="6">
        <v>5730</v>
      </c>
      <c r="E108" s="2"/>
      <c r="F108" s="7">
        <f t="shared" si="62"/>
        <v>1.47960224986304E-2</v>
      </c>
      <c r="G108" s="2"/>
      <c r="H108" s="6">
        <v>5730</v>
      </c>
      <c r="I108" s="2"/>
      <c r="J108" s="7">
        <f t="shared" si="63"/>
        <v>1.4800464936071291E-2</v>
      </c>
      <c r="K108" s="2"/>
      <c r="L108" s="6">
        <f t="shared" si="64"/>
        <v>0</v>
      </c>
      <c r="M108" s="2"/>
      <c r="N108" s="7">
        <f t="shared" si="65"/>
        <v>0</v>
      </c>
      <c r="O108" s="11"/>
      <c r="P108" s="6">
        <v>30800</v>
      </c>
      <c r="Q108" s="2"/>
      <c r="R108" s="7">
        <f t="shared" si="66"/>
        <v>7.7076787364027477E-3</v>
      </c>
      <c r="S108" s="2"/>
      <c r="T108" s="6">
        <v>31510</v>
      </c>
      <c r="U108" s="2"/>
      <c r="V108" s="7">
        <f t="shared" si="67"/>
        <v>5.5635676894261491E-3</v>
      </c>
      <c r="W108" s="2"/>
      <c r="X108" s="6">
        <f t="shared" si="68"/>
        <v>-710</v>
      </c>
      <c r="Y108" s="2"/>
      <c r="Z108" s="7">
        <f t="shared" si="69"/>
        <v>-2.2532529355760077E-2</v>
      </c>
    </row>
    <row r="109" spans="1:26" s="29" customFormat="1" outlineLevel="1" collapsed="1" x14ac:dyDescent="0.3">
      <c r="A109" s="28"/>
      <c r="B109" s="14" t="str">
        <f>CONCATENATE("     ","Professional Services                             ")</f>
        <v xml:space="preserve">     Professional Services                             </v>
      </c>
      <c r="C109" s="14"/>
      <c r="D109" s="1">
        <f>SUM(OSRRefD22_14x_0)</f>
        <v>0</v>
      </c>
      <c r="E109" s="1"/>
      <c r="F109" s="5">
        <f t="shared" si="62"/>
        <v>0</v>
      </c>
      <c r="G109" s="1"/>
      <c r="H109" s="1">
        <f>SUM(OSRRefH22_14x_0)</f>
        <v>0</v>
      </c>
      <c r="I109" s="1"/>
      <c r="J109" s="5">
        <f t="shared" si="63"/>
        <v>0</v>
      </c>
      <c r="K109" s="1"/>
      <c r="L109" s="1">
        <f t="shared" si="64"/>
        <v>0</v>
      </c>
      <c r="M109" s="1"/>
      <c r="N109" s="5">
        <f t="shared" si="65"/>
        <v>0</v>
      </c>
      <c r="O109" s="14"/>
      <c r="P109" s="1">
        <f>SUM(OSRRefP22_14x_0)</f>
        <v>8186.53</v>
      </c>
      <c r="Q109" s="1"/>
      <c r="R109" s="5">
        <f t="shared" si="66"/>
        <v>2.0486734807117915E-3</v>
      </c>
      <c r="S109" s="1"/>
      <c r="T109" s="1">
        <f>SUM(OSRRefT22_14x_0)</f>
        <v>1250</v>
      </c>
      <c r="U109" s="1"/>
      <c r="V109" s="5">
        <f t="shared" si="67"/>
        <v>2.2070643007879044E-4</v>
      </c>
      <c r="W109" s="1"/>
      <c r="X109" s="1">
        <f t="shared" si="68"/>
        <v>6936.53</v>
      </c>
      <c r="Y109" s="1"/>
      <c r="Z109" s="5">
        <f t="shared" si="69"/>
        <v>5.5492239999999997</v>
      </c>
    </row>
    <row r="110" spans="1:26" s="24" customFormat="1" hidden="1" outlineLevel="2" x14ac:dyDescent="0.3">
      <c r="A110" s="27"/>
      <c r="B110" s="11" t="str">
        <f>CONCATENATE("          ", "6336", " - ", "PROFESSIONAL SERVICES")</f>
        <v xml:space="preserve">          6336 - PROFESSIONAL SERVICES</v>
      </c>
      <c r="C110" s="11"/>
      <c r="D110" s="6"/>
      <c r="E110" s="2"/>
      <c r="F110" s="7">
        <f t="shared" si="62"/>
        <v>0</v>
      </c>
      <c r="G110" s="2"/>
      <c r="H110" s="6">
        <v>0</v>
      </c>
      <c r="I110" s="2"/>
      <c r="J110" s="7">
        <f t="shared" si="63"/>
        <v>0</v>
      </c>
      <c r="K110" s="2"/>
      <c r="L110" s="6">
        <f t="shared" si="64"/>
        <v>0</v>
      </c>
      <c r="M110" s="2"/>
      <c r="N110" s="7">
        <f t="shared" si="65"/>
        <v>0</v>
      </c>
      <c r="O110" s="11"/>
      <c r="P110" s="6">
        <v>8186.53</v>
      </c>
      <c r="Q110" s="2"/>
      <c r="R110" s="7">
        <f t="shared" si="66"/>
        <v>2.0486734807117915E-3</v>
      </c>
      <c r="S110" s="2"/>
      <c r="T110" s="6">
        <v>1250</v>
      </c>
      <c r="U110" s="2"/>
      <c r="V110" s="7">
        <f t="shared" si="67"/>
        <v>2.2070643007879044E-4</v>
      </c>
      <c r="W110" s="2"/>
      <c r="X110" s="6">
        <f t="shared" si="68"/>
        <v>6936.53</v>
      </c>
      <c r="Y110" s="2"/>
      <c r="Z110" s="7">
        <f t="shared" si="69"/>
        <v>5.5492239999999997</v>
      </c>
    </row>
    <row r="111" spans="1:26" s="29" customFormat="1" outlineLevel="1" collapsed="1" x14ac:dyDescent="0.3">
      <c r="A111" s="28"/>
      <c r="B111" s="14" t="str">
        <f>CONCATENATE("     ","Rent                                              ")</f>
        <v xml:space="preserve">     Rent                                              </v>
      </c>
      <c r="C111" s="14"/>
      <c r="D111" s="1">
        <f>SUM(OSRRefD22_15x_0)</f>
        <v>6100</v>
      </c>
      <c r="E111" s="1"/>
      <c r="F111" s="5">
        <f t="shared" si="62"/>
        <v>1.5751437563986989E-2</v>
      </c>
      <c r="G111" s="1"/>
      <c r="H111" s="1">
        <f>SUM(OSRRefH22_15x_0)</f>
        <v>6100</v>
      </c>
      <c r="I111" s="1"/>
      <c r="J111" s="5">
        <f t="shared" si="63"/>
        <v>1.5756166860390029E-2</v>
      </c>
      <c r="K111" s="1"/>
      <c r="L111" s="1">
        <f t="shared" si="64"/>
        <v>0</v>
      </c>
      <c r="M111" s="1"/>
      <c r="N111" s="5">
        <f t="shared" si="65"/>
        <v>0</v>
      </c>
      <c r="O111" s="14"/>
      <c r="P111" s="1">
        <f>SUM(OSRRefP22_15x_0)</f>
        <v>30500</v>
      </c>
      <c r="Q111" s="1"/>
      <c r="R111" s="5">
        <f t="shared" si="66"/>
        <v>7.6326039435157074E-3</v>
      </c>
      <c r="S111" s="1"/>
      <c r="T111" s="1">
        <f>SUM(OSRRefT22_15x_0)</f>
        <v>30500</v>
      </c>
      <c r="U111" s="1"/>
      <c r="V111" s="5">
        <f t="shared" si="67"/>
        <v>5.3852368939224862E-3</v>
      </c>
      <c r="W111" s="1"/>
      <c r="X111" s="1">
        <f t="shared" si="68"/>
        <v>0</v>
      </c>
      <c r="Y111" s="1"/>
      <c r="Z111" s="5">
        <f t="shared" si="69"/>
        <v>0</v>
      </c>
    </row>
    <row r="112" spans="1:26" s="24" customFormat="1" hidden="1" outlineLevel="2" x14ac:dyDescent="0.3">
      <c r="A112" s="27"/>
      <c r="B112" s="11" t="str">
        <f>CONCATENATE("          ", "6273", " - ", "RENT")</f>
        <v xml:space="preserve">          6273 - RENT</v>
      </c>
      <c r="C112" s="11"/>
      <c r="D112" s="6">
        <v>6100</v>
      </c>
      <c r="E112" s="2"/>
      <c r="F112" s="7">
        <f t="shared" si="62"/>
        <v>1.5751437563986989E-2</v>
      </c>
      <c r="G112" s="2"/>
      <c r="H112" s="6">
        <v>6100</v>
      </c>
      <c r="I112" s="2"/>
      <c r="J112" s="7">
        <f t="shared" si="63"/>
        <v>1.5756166860390029E-2</v>
      </c>
      <c r="K112" s="2"/>
      <c r="L112" s="6">
        <f t="shared" si="64"/>
        <v>0</v>
      </c>
      <c r="M112" s="2"/>
      <c r="N112" s="7">
        <f t="shared" si="65"/>
        <v>0</v>
      </c>
      <c r="O112" s="11"/>
      <c r="P112" s="6">
        <v>30500</v>
      </c>
      <c r="Q112" s="2"/>
      <c r="R112" s="7">
        <f t="shared" si="66"/>
        <v>7.6326039435157074E-3</v>
      </c>
      <c r="S112" s="2"/>
      <c r="T112" s="6">
        <v>30500</v>
      </c>
      <c r="U112" s="2"/>
      <c r="V112" s="7">
        <f t="shared" si="67"/>
        <v>5.3852368939224862E-3</v>
      </c>
      <c r="W112" s="2"/>
      <c r="X112" s="6">
        <f t="shared" si="68"/>
        <v>0</v>
      </c>
      <c r="Y112" s="2"/>
      <c r="Z112" s="7">
        <f t="shared" si="69"/>
        <v>0</v>
      </c>
    </row>
    <row r="113" spans="1:26" s="29" customFormat="1" outlineLevel="1" collapsed="1" x14ac:dyDescent="0.3">
      <c r="A113" s="28"/>
      <c r="B113" s="14" t="str">
        <f>CONCATENATE("     ","Repair and Maintenance                            ")</f>
        <v xml:space="preserve">     Repair and Maintenance                            </v>
      </c>
      <c r="C113" s="14"/>
      <c r="D113" s="1">
        <f>SUM(OSRRefD22_16x_0)</f>
        <v>1338.03</v>
      </c>
      <c r="E113" s="1"/>
      <c r="F113" s="5">
        <f t="shared" si="62"/>
        <v>3.455064918646149E-3</v>
      </c>
      <c r="G113" s="1"/>
      <c r="H113" s="1">
        <f>SUM(OSRRefH22_16x_0)</f>
        <v>10145</v>
      </c>
      <c r="I113" s="1"/>
      <c r="J113" s="5">
        <f t="shared" si="63"/>
        <v>2.6204313573550304E-2</v>
      </c>
      <c r="K113" s="1"/>
      <c r="L113" s="1">
        <f t="shared" si="64"/>
        <v>-8806.9699999999993</v>
      </c>
      <c r="M113" s="1"/>
      <c r="N113" s="5">
        <f t="shared" si="65"/>
        <v>-0.86810941350418924</v>
      </c>
      <c r="O113" s="14"/>
      <c r="P113" s="1">
        <f>SUM(OSRRefP22_16x_0)</f>
        <v>90795.47</v>
      </c>
      <c r="Q113" s="1"/>
      <c r="R113" s="5">
        <f t="shared" si="66"/>
        <v>2.2721503684438104E-2</v>
      </c>
      <c r="S113" s="1"/>
      <c r="T113" s="1">
        <f>SUM(OSRRefT22_16x_0)</f>
        <v>88945</v>
      </c>
      <c r="U113" s="1"/>
      <c r="V113" s="5">
        <f t="shared" si="67"/>
        <v>1.570458673868641E-2</v>
      </c>
      <c r="W113" s="1"/>
      <c r="X113" s="1">
        <f t="shared" si="68"/>
        <v>1850.4700000000012</v>
      </c>
      <c r="Y113" s="1"/>
      <c r="Z113" s="5">
        <f t="shared" si="69"/>
        <v>2.0804654561807873E-2</v>
      </c>
    </row>
    <row r="114" spans="1:26" s="24" customFormat="1" hidden="1" outlineLevel="2" x14ac:dyDescent="0.3">
      <c r="A114" s="27"/>
      <c r="B114" s="11" t="str">
        <f>CONCATENATE("          ", "6371", " - ", "COMPUTER SOFTWARE MAINTENANCE")</f>
        <v xml:space="preserve">          6371 - COMPUTER SOFTWARE MAINTENANCE</v>
      </c>
      <c r="C114" s="11"/>
      <c r="D114" s="6"/>
      <c r="E114" s="2"/>
      <c r="F114" s="7">
        <f t="shared" si="62"/>
        <v>0</v>
      </c>
      <c r="G114" s="2"/>
      <c r="H114" s="6">
        <v>1000</v>
      </c>
      <c r="I114" s="2"/>
      <c r="J114" s="7">
        <f t="shared" si="63"/>
        <v>2.5829781738344309E-3</v>
      </c>
      <c r="K114" s="2"/>
      <c r="L114" s="6">
        <f t="shared" si="64"/>
        <v>-1000</v>
      </c>
      <c r="M114" s="2"/>
      <c r="N114" s="7">
        <f t="shared" si="65"/>
        <v>-1</v>
      </c>
      <c r="O114" s="11"/>
      <c r="P114" s="6">
        <v>62511</v>
      </c>
      <c r="Q114" s="2"/>
      <c r="R114" s="7">
        <f t="shared" si="66"/>
        <v>1.5643334593872474E-2</v>
      </c>
      <c r="S114" s="2"/>
      <c r="T114" s="6">
        <v>44100</v>
      </c>
      <c r="U114" s="2"/>
      <c r="V114" s="7">
        <f t="shared" si="67"/>
        <v>7.7865228531797262E-3</v>
      </c>
      <c r="W114" s="2"/>
      <c r="X114" s="6">
        <f t="shared" si="68"/>
        <v>18411</v>
      </c>
      <c r="Y114" s="2"/>
      <c r="Z114" s="7">
        <f t="shared" si="69"/>
        <v>0.41748299319727888</v>
      </c>
    </row>
    <row r="115" spans="1:26" s="24" customFormat="1" hidden="1" outlineLevel="2" x14ac:dyDescent="0.3">
      <c r="A115" s="27"/>
      <c r="B115" s="11" t="str">
        <f>CONCATENATE("          ", "6372", " - ", "COMPUTER HARDWARE MAINTENANCE")</f>
        <v xml:space="preserve">          6372 - COMPUTER HARDWARE MAINTENANCE</v>
      </c>
      <c r="C115" s="11"/>
      <c r="D115" s="6"/>
      <c r="E115" s="2"/>
      <c r="F115" s="7">
        <f t="shared" si="62"/>
        <v>0</v>
      </c>
      <c r="G115" s="2"/>
      <c r="H115" s="6">
        <v>3750</v>
      </c>
      <c r="I115" s="2"/>
      <c r="J115" s="7">
        <f t="shared" si="63"/>
        <v>9.6861681518791171E-3</v>
      </c>
      <c r="K115" s="2"/>
      <c r="L115" s="6">
        <f t="shared" si="64"/>
        <v>-3750</v>
      </c>
      <c r="M115" s="2"/>
      <c r="N115" s="7">
        <f t="shared" si="65"/>
        <v>-1</v>
      </c>
      <c r="O115" s="11"/>
      <c r="P115" s="6"/>
      <c r="Q115" s="2"/>
      <c r="R115" s="7">
        <f t="shared" si="66"/>
        <v>0</v>
      </c>
      <c r="S115" s="2"/>
      <c r="T115" s="6">
        <v>15370</v>
      </c>
      <c r="U115" s="2"/>
      <c r="V115" s="7">
        <f t="shared" si="67"/>
        <v>2.7138062642488073E-3</v>
      </c>
      <c r="W115" s="2"/>
      <c r="X115" s="6">
        <f t="shared" si="68"/>
        <v>-15370</v>
      </c>
      <c r="Y115" s="2"/>
      <c r="Z115" s="7">
        <f t="shared" si="69"/>
        <v>-1</v>
      </c>
    </row>
    <row r="116" spans="1:26" s="24" customFormat="1" hidden="1" outlineLevel="2" x14ac:dyDescent="0.3">
      <c r="A116" s="27"/>
      <c r="B116" s="11" t="str">
        <f>CONCATENATE("          ", "6373", " - ", "MAINTENANCE CONTRACTS")</f>
        <v xml:space="preserve">          6373 - MAINTENANCE CONTRACTS</v>
      </c>
      <c r="C116" s="11"/>
      <c r="D116" s="6">
        <v>179.27</v>
      </c>
      <c r="E116" s="2"/>
      <c r="F116" s="7">
        <f t="shared" si="62"/>
        <v>4.6291151017966353E-4</v>
      </c>
      <c r="G116" s="2"/>
      <c r="H116" s="6">
        <v>5355</v>
      </c>
      <c r="I116" s="2"/>
      <c r="J116" s="7">
        <f t="shared" si="63"/>
        <v>1.3831848120883379E-2</v>
      </c>
      <c r="K116" s="2"/>
      <c r="L116" s="6">
        <f t="shared" si="64"/>
        <v>-5175.7299999999996</v>
      </c>
      <c r="M116" s="2"/>
      <c r="N116" s="7">
        <f t="shared" si="65"/>
        <v>-0.96652287581699337</v>
      </c>
      <c r="O116" s="11"/>
      <c r="P116" s="6">
        <v>12246</v>
      </c>
      <c r="Q116" s="2"/>
      <c r="R116" s="7">
        <f t="shared" si="66"/>
        <v>3.0645530456489627E-3</v>
      </c>
      <c r="S116" s="2"/>
      <c r="T116" s="6">
        <v>29275</v>
      </c>
      <c r="U116" s="2"/>
      <c r="V116" s="7">
        <f t="shared" si="67"/>
        <v>5.1689445924452716E-3</v>
      </c>
      <c r="W116" s="2"/>
      <c r="X116" s="6">
        <f t="shared" si="68"/>
        <v>-17029</v>
      </c>
      <c r="Y116" s="2"/>
      <c r="Z116" s="7">
        <f t="shared" si="69"/>
        <v>-0.58169086251067459</v>
      </c>
    </row>
    <row r="117" spans="1:26" s="24" customFormat="1" hidden="1" outlineLevel="2" x14ac:dyDescent="0.3">
      <c r="A117" s="27"/>
      <c r="B117" s="11" t="str">
        <f>CONCATENATE("          ", "6375", " - ", "OUTSIDE REPAIRS &amp; MAINTENANCE")</f>
        <v xml:space="preserve">          6375 - OUTSIDE REPAIRS &amp; MAINTENANCE</v>
      </c>
      <c r="C117" s="11"/>
      <c r="D117" s="6">
        <v>1158.76</v>
      </c>
      <c r="E117" s="2"/>
      <c r="F117" s="7">
        <f t="shared" si="62"/>
        <v>2.9921534084664855E-3</v>
      </c>
      <c r="G117" s="2"/>
      <c r="H117" s="6">
        <v>40</v>
      </c>
      <c r="I117" s="2"/>
      <c r="J117" s="7">
        <f t="shared" si="63"/>
        <v>1.0331912695337725E-4</v>
      </c>
      <c r="K117" s="2"/>
      <c r="L117" s="6">
        <f t="shared" si="64"/>
        <v>1118.76</v>
      </c>
      <c r="M117" s="2"/>
      <c r="N117" s="7">
        <f t="shared" si="65"/>
        <v>27.969000000000001</v>
      </c>
      <c r="O117" s="11"/>
      <c r="P117" s="6">
        <v>16038.47</v>
      </c>
      <c r="Q117" s="2"/>
      <c r="R117" s="7">
        <f t="shared" si="66"/>
        <v>4.0136160449166678E-3</v>
      </c>
      <c r="S117" s="2"/>
      <c r="T117" s="6">
        <v>200</v>
      </c>
      <c r="U117" s="2"/>
      <c r="V117" s="7">
        <f t="shared" si="67"/>
        <v>3.5313028812606468E-5</v>
      </c>
      <c r="W117" s="2"/>
      <c r="X117" s="6">
        <f t="shared" si="68"/>
        <v>15838.47</v>
      </c>
      <c r="Y117" s="2"/>
      <c r="Z117" s="7">
        <f t="shared" si="69"/>
        <v>79.19234999999999</v>
      </c>
    </row>
    <row r="118" spans="1:26" s="29" customFormat="1" outlineLevel="1" collapsed="1" x14ac:dyDescent="0.3">
      <c r="A118" s="28"/>
      <c r="B118" s="14" t="str">
        <f>CONCATENATE("     ","Royalty &amp; Commissions                             ")</f>
        <v xml:space="preserve">     Royalty &amp; Commissions                             </v>
      </c>
      <c r="C118" s="14"/>
      <c r="D118" s="1">
        <f>SUM(OSRRefD22_17x_0)</f>
        <v>784.77</v>
      </c>
      <c r="E118" s="1"/>
      <c r="F118" s="5">
        <f t="shared" ref="F118:F122" si="70">IF(D$12=0,0,D118/D$12)</f>
        <v>2.0264353536213228E-3</v>
      </c>
      <c r="G118" s="1"/>
      <c r="H118" s="1">
        <f>SUM(OSRRefH22_17x_0)</f>
        <v>9014</v>
      </c>
      <c r="I118" s="1"/>
      <c r="J118" s="5">
        <f t="shared" ref="J118:J122" si="71">IF(H$12=0,0,H118/H$12)</f>
        <v>2.328296525894356E-2</v>
      </c>
      <c r="K118" s="1"/>
      <c r="L118" s="1">
        <f t="shared" ref="L118:L122" si="72">+D118-H118</f>
        <v>-8229.23</v>
      </c>
      <c r="M118" s="1"/>
      <c r="N118" s="5">
        <f t="shared" ref="N118:N122" si="73">IF(H118=0,0,L118/H118)</f>
        <v>-0.91293876192589296</v>
      </c>
      <c r="O118" s="14"/>
      <c r="P118" s="1">
        <f>SUM(OSRRefP22_17x_0)</f>
        <v>20625.7</v>
      </c>
      <c r="Q118" s="1"/>
      <c r="R118" s="5">
        <f t="shared" ref="R118:R122" si="74">IF(P$12=0,0,P118/P$12)</f>
        <v>5.1615671855007195E-3</v>
      </c>
      <c r="S118" s="1"/>
      <c r="T118" s="1">
        <f>SUM(OSRRefT22_17x_0)</f>
        <v>40186</v>
      </c>
      <c r="U118" s="1"/>
      <c r="V118" s="5">
        <f t="shared" ref="V118:V122" si="75">IF(T$12=0,0,T118/T$12)</f>
        <v>7.0954468793170177E-3</v>
      </c>
      <c r="W118" s="1"/>
      <c r="X118" s="1">
        <f t="shared" ref="X118:X122" si="76">+P118-T118</f>
        <v>-19560.3</v>
      </c>
      <c r="Y118" s="1"/>
      <c r="Z118" s="5">
        <f t="shared" ref="Z118:Z122" si="77">IF(T118=0,0,X118/T118)</f>
        <v>-0.48674413975016173</v>
      </c>
    </row>
    <row r="119" spans="1:26" s="24" customFormat="1" hidden="1" outlineLevel="2" x14ac:dyDescent="0.3">
      <c r="A119" s="27"/>
      <c r="B119" s="11" t="str">
        <f>CONCATENATE("          ", "6252", " - ", "ROYALTY DUE CSTV")</f>
        <v xml:space="preserve">          6252 - ROYALTY DUE CSTV</v>
      </c>
      <c r="C119" s="11"/>
      <c r="D119" s="6"/>
      <c r="E119" s="2"/>
      <c r="F119" s="7">
        <f t="shared" si="70"/>
        <v>0</v>
      </c>
      <c r="G119" s="2"/>
      <c r="H119" s="6">
        <v>3014</v>
      </c>
      <c r="I119" s="2"/>
      <c r="J119" s="7">
        <f t="shared" si="71"/>
        <v>7.7850962159369749E-3</v>
      </c>
      <c r="K119" s="2"/>
      <c r="L119" s="6">
        <f t="shared" si="72"/>
        <v>-3014</v>
      </c>
      <c r="M119" s="2"/>
      <c r="N119" s="7">
        <f t="shared" si="73"/>
        <v>-1</v>
      </c>
      <c r="O119" s="11"/>
      <c r="P119" s="6"/>
      <c r="Q119" s="2"/>
      <c r="R119" s="7">
        <f t="shared" si="74"/>
        <v>0</v>
      </c>
      <c r="S119" s="2"/>
      <c r="T119" s="6">
        <v>8324</v>
      </c>
      <c r="U119" s="2"/>
      <c r="V119" s="7">
        <f t="shared" si="75"/>
        <v>1.4697282591806813E-3</v>
      </c>
      <c r="W119" s="2"/>
      <c r="X119" s="6">
        <f t="shared" si="76"/>
        <v>-8324</v>
      </c>
      <c r="Y119" s="2"/>
      <c r="Z119" s="7">
        <f t="shared" si="77"/>
        <v>-1</v>
      </c>
    </row>
    <row r="120" spans="1:26" s="24" customFormat="1" hidden="1" outlineLevel="2" x14ac:dyDescent="0.3">
      <c r="A120" s="27"/>
      <c r="B120" s="11" t="str">
        <f>CONCATENATE("          ", "6253", " - ", "ROYALTY DUE ATHLETICS-LRG")</f>
        <v xml:space="preserve">          6253 - ROYALTY DUE ATHLETICS-LRG</v>
      </c>
      <c r="C120" s="11"/>
      <c r="D120" s="6"/>
      <c r="E120" s="2"/>
      <c r="F120" s="7">
        <f t="shared" si="70"/>
        <v>0</v>
      </c>
      <c r="G120" s="2"/>
      <c r="H120" s="6">
        <v>0</v>
      </c>
      <c r="I120" s="2"/>
      <c r="J120" s="7">
        <f t="shared" si="71"/>
        <v>0</v>
      </c>
      <c r="K120" s="2"/>
      <c r="L120" s="6">
        <f t="shared" si="72"/>
        <v>0</v>
      </c>
      <c r="M120" s="2"/>
      <c r="N120" s="7">
        <f t="shared" si="73"/>
        <v>0</v>
      </c>
      <c r="O120" s="11"/>
      <c r="P120" s="6">
        <v>23160.29</v>
      </c>
      <c r="Q120" s="2"/>
      <c r="R120" s="7">
        <f t="shared" si="74"/>
        <v>5.7958465831792596E-3</v>
      </c>
      <c r="S120" s="2"/>
      <c r="T120" s="6">
        <v>16162</v>
      </c>
      <c r="U120" s="2"/>
      <c r="V120" s="7">
        <f t="shared" si="75"/>
        <v>2.8536458583467289E-3</v>
      </c>
      <c r="W120" s="2"/>
      <c r="X120" s="6">
        <f t="shared" si="76"/>
        <v>6998.2900000000009</v>
      </c>
      <c r="Y120" s="2"/>
      <c r="Z120" s="7">
        <f t="shared" si="77"/>
        <v>0.43300890978839257</v>
      </c>
    </row>
    <row r="121" spans="1:26" s="24" customFormat="1" hidden="1" outlineLevel="2" x14ac:dyDescent="0.3">
      <c r="A121" s="27"/>
      <c r="B121" s="11" t="str">
        <f>CONCATENATE("          ", "6254", " - ", "ROYALTY &amp; COMMISSIONS")</f>
        <v xml:space="preserve">          6254 - ROYALTY &amp; COMMISSIONS</v>
      </c>
      <c r="C121" s="11"/>
      <c r="D121" s="6"/>
      <c r="E121" s="2"/>
      <c r="F121" s="7">
        <f t="shared" si="70"/>
        <v>0</v>
      </c>
      <c r="G121" s="2"/>
      <c r="H121" s="6">
        <v>0</v>
      </c>
      <c r="I121" s="2"/>
      <c r="J121" s="7">
        <f t="shared" si="71"/>
        <v>0</v>
      </c>
      <c r="K121" s="2"/>
      <c r="L121" s="6">
        <f t="shared" si="72"/>
        <v>0</v>
      </c>
      <c r="M121" s="2"/>
      <c r="N121" s="7">
        <f t="shared" si="73"/>
        <v>0</v>
      </c>
      <c r="O121" s="11"/>
      <c r="P121" s="6">
        <v>-7027.5</v>
      </c>
      <c r="Q121" s="2"/>
      <c r="R121" s="7">
        <f t="shared" si="74"/>
        <v>-1.758627023378906E-3</v>
      </c>
      <c r="S121" s="2"/>
      <c r="T121" s="6">
        <v>0</v>
      </c>
      <c r="U121" s="2"/>
      <c r="V121" s="7">
        <f t="shared" si="75"/>
        <v>0</v>
      </c>
      <c r="W121" s="2"/>
      <c r="X121" s="6">
        <f t="shared" si="76"/>
        <v>-7027.5</v>
      </c>
      <c r="Y121" s="2"/>
      <c r="Z121" s="7">
        <f t="shared" si="77"/>
        <v>0</v>
      </c>
    </row>
    <row r="122" spans="1:26" s="24" customFormat="1" hidden="1" outlineLevel="2" x14ac:dyDescent="0.3">
      <c r="A122" s="27"/>
      <c r="B122" s="11" t="str">
        <f>CONCATENATE("          ", "6259", " - ", "ROYALTY &amp; COMMISSIONS")</f>
        <v xml:space="preserve">          6259 - ROYALTY &amp; COMMISSIONS</v>
      </c>
      <c r="C122" s="11"/>
      <c r="D122" s="6">
        <v>784.77</v>
      </c>
      <c r="E122" s="2"/>
      <c r="F122" s="7">
        <f t="shared" si="70"/>
        <v>2.0264353536213228E-3</v>
      </c>
      <c r="G122" s="2"/>
      <c r="H122" s="6">
        <v>6000</v>
      </c>
      <c r="I122" s="2"/>
      <c r="J122" s="7">
        <f t="shared" si="71"/>
        <v>1.5497869043006587E-2</v>
      </c>
      <c r="K122" s="2"/>
      <c r="L122" s="6">
        <f t="shared" si="72"/>
        <v>-5215.2299999999996</v>
      </c>
      <c r="M122" s="2"/>
      <c r="N122" s="7">
        <f t="shared" si="73"/>
        <v>-0.86920499999999989</v>
      </c>
      <c r="O122" s="11"/>
      <c r="P122" s="6">
        <v>4492.91</v>
      </c>
      <c r="Q122" s="2"/>
      <c r="R122" s="7">
        <f t="shared" si="74"/>
        <v>1.1243476257003658E-3</v>
      </c>
      <c r="S122" s="2"/>
      <c r="T122" s="6">
        <v>15700</v>
      </c>
      <c r="U122" s="2"/>
      <c r="V122" s="7">
        <f t="shared" si="75"/>
        <v>2.7720727617896079E-3</v>
      </c>
      <c r="W122" s="2"/>
      <c r="X122" s="6">
        <f t="shared" si="76"/>
        <v>-11207.09</v>
      </c>
      <c r="Y122" s="2"/>
      <c r="Z122" s="7">
        <f t="shared" si="77"/>
        <v>-0.7138273885350318</v>
      </c>
    </row>
    <row r="123" spans="1:26" s="29" customFormat="1" outlineLevel="1" collapsed="1" x14ac:dyDescent="0.3">
      <c r="A123" s="28"/>
      <c r="B123" s="14" t="str">
        <f>CONCATENATE("     ","Services                                          ")</f>
        <v xml:space="preserve">     Services                                          </v>
      </c>
      <c r="C123" s="14"/>
      <c r="D123" s="1">
        <f>SUM(OSRRefD22_18x_0)</f>
        <v>4500.9799999999996</v>
      </c>
      <c r="E123" s="1"/>
      <c r="F123" s="5">
        <f t="shared" ref="F123:F126" si="78">IF(D$12=0,0,D123/D$12)</f>
        <v>1.1622443515861336E-2</v>
      </c>
      <c r="G123" s="1"/>
      <c r="H123" s="1">
        <f>SUM(OSRRefH22_18x_0)</f>
        <v>4360</v>
      </c>
      <c r="I123" s="1"/>
      <c r="J123" s="5">
        <f t="shared" ref="J123:J126" si="79">IF(H$12=0,0,H123/H$12)</f>
        <v>1.1261784837918119E-2</v>
      </c>
      <c r="K123" s="1"/>
      <c r="L123" s="1">
        <f t="shared" ref="L123:L126" si="80">+D123-H123</f>
        <v>140.97999999999956</v>
      </c>
      <c r="M123" s="1"/>
      <c r="N123" s="5">
        <f t="shared" ref="N123:N126" si="81">IF(H123=0,0,L123/H123)</f>
        <v>3.2334862385321003E-2</v>
      </c>
      <c r="O123" s="14"/>
      <c r="P123" s="1">
        <f>SUM(OSRRefP22_18x_0)</f>
        <v>30963.579999999998</v>
      </c>
      <c r="Q123" s="1"/>
      <c r="R123" s="5">
        <f t="shared" ref="R123:R126" si="82">IF(P$12=0,0,P123/P$12)</f>
        <v>7.7486145184709537E-3</v>
      </c>
      <c r="S123" s="1"/>
      <c r="T123" s="1">
        <f>SUM(OSRRefT22_18x_0)</f>
        <v>21860</v>
      </c>
      <c r="U123" s="1"/>
      <c r="V123" s="5">
        <f t="shared" ref="V123:V126" si="83">IF(T$12=0,0,T123/T$12)</f>
        <v>3.8597140492178869E-3</v>
      </c>
      <c r="W123" s="1"/>
      <c r="X123" s="1">
        <f t="shared" ref="X123:X126" si="84">+P123-T123</f>
        <v>9103.5799999999981</v>
      </c>
      <c r="Y123" s="1"/>
      <c r="Z123" s="5">
        <f t="shared" ref="Z123:Z126" si="85">IF(T123=0,0,X123/T123)</f>
        <v>0.41644922232387915</v>
      </c>
    </row>
    <row r="124" spans="1:26" s="24" customFormat="1" hidden="1" outlineLevel="2" x14ac:dyDescent="0.3">
      <c r="A124" s="27"/>
      <c r="B124" s="11" t="str">
        <f>CONCATENATE("          ", "6282", " - ", "JANITORIAL/EXTERMINATOR EXPENS")</f>
        <v xml:space="preserve">          6282 - JANITORIAL/EXTERMINATOR EXPENS</v>
      </c>
      <c r="C124" s="11"/>
      <c r="D124" s="6">
        <v>129</v>
      </c>
      <c r="E124" s="2"/>
      <c r="F124" s="7">
        <f t="shared" si="78"/>
        <v>3.3310417143513467E-4</v>
      </c>
      <c r="G124" s="2"/>
      <c r="H124" s="6">
        <v>4300</v>
      </c>
      <c r="I124" s="2"/>
      <c r="J124" s="7">
        <f t="shared" si="79"/>
        <v>1.1106806147488053E-2</v>
      </c>
      <c r="K124" s="2"/>
      <c r="L124" s="6">
        <f t="shared" si="80"/>
        <v>-4171</v>
      </c>
      <c r="M124" s="2"/>
      <c r="N124" s="7">
        <f t="shared" si="81"/>
        <v>-0.97</v>
      </c>
      <c r="O124" s="11"/>
      <c r="P124" s="6">
        <v>1857.68</v>
      </c>
      <c r="Q124" s="2"/>
      <c r="R124" s="7">
        <f t="shared" si="82"/>
        <v>4.6488313750132004E-4</v>
      </c>
      <c r="S124" s="2"/>
      <c r="T124" s="6">
        <v>21500</v>
      </c>
      <c r="U124" s="2"/>
      <c r="V124" s="7">
        <f t="shared" si="83"/>
        <v>3.7961505973551956E-3</v>
      </c>
      <c r="W124" s="2"/>
      <c r="X124" s="6">
        <f t="shared" si="84"/>
        <v>-19642.32</v>
      </c>
      <c r="Y124" s="2"/>
      <c r="Z124" s="7">
        <f t="shared" si="85"/>
        <v>-0.91359627906976748</v>
      </c>
    </row>
    <row r="125" spans="1:26" s="24" customFormat="1" hidden="1" outlineLevel="2" x14ac:dyDescent="0.3">
      <c r="A125" s="27"/>
      <c r="B125" s="11" t="str">
        <f>CONCATENATE("          ", "6284", " - ", "TRASH REMOVAL EXPENSE")</f>
        <v xml:space="preserve">          6284 - TRASH REMOVAL EXPENSE</v>
      </c>
      <c r="C125" s="11"/>
      <c r="D125" s="6">
        <v>149.69999999999999</v>
      </c>
      <c r="E125" s="2"/>
      <c r="F125" s="7">
        <f t="shared" si="78"/>
        <v>3.8655577103751673E-4</v>
      </c>
      <c r="G125" s="2"/>
      <c r="H125" s="6">
        <v>60</v>
      </c>
      <c r="I125" s="2"/>
      <c r="J125" s="7">
        <f t="shared" si="79"/>
        <v>1.5497869043006585E-4</v>
      </c>
      <c r="K125" s="2"/>
      <c r="L125" s="6">
        <f t="shared" si="80"/>
        <v>89.699999999999989</v>
      </c>
      <c r="M125" s="2"/>
      <c r="N125" s="7">
        <f t="shared" si="81"/>
        <v>1.4949999999999999</v>
      </c>
      <c r="O125" s="11"/>
      <c r="P125" s="6">
        <v>741.37</v>
      </c>
      <c r="Q125" s="2"/>
      <c r="R125" s="7">
        <f t="shared" si="82"/>
        <v>1.8552733067554887E-4</v>
      </c>
      <c r="S125" s="2"/>
      <c r="T125" s="6">
        <v>360</v>
      </c>
      <c r="U125" s="2"/>
      <c r="V125" s="7">
        <f t="shared" si="83"/>
        <v>6.3563451862691647E-5</v>
      </c>
      <c r="W125" s="2"/>
      <c r="X125" s="6">
        <f t="shared" si="84"/>
        <v>381.37</v>
      </c>
      <c r="Y125" s="2"/>
      <c r="Z125" s="7">
        <f t="shared" si="85"/>
        <v>1.0593611111111112</v>
      </c>
    </row>
    <row r="126" spans="1:26" s="24" customFormat="1" hidden="1" outlineLevel="2" x14ac:dyDescent="0.3">
      <c r="A126" s="27"/>
      <c r="B126" s="11" t="str">
        <f>CONCATENATE("          ", "6285", " - ", "JANITORIAL SERVICES")</f>
        <v xml:space="preserve">          6285 - JANITORIAL SERVICES</v>
      </c>
      <c r="C126" s="11"/>
      <c r="D126" s="6">
        <v>4222.28</v>
      </c>
      <c r="E126" s="2"/>
      <c r="F126" s="7">
        <f t="shared" si="78"/>
        <v>1.0902783573388685E-2</v>
      </c>
      <c r="G126" s="2"/>
      <c r="H126" s="6"/>
      <c r="I126" s="2"/>
      <c r="J126" s="7">
        <f t="shared" si="79"/>
        <v>0</v>
      </c>
      <c r="K126" s="2"/>
      <c r="L126" s="6">
        <f t="shared" si="80"/>
        <v>4222.28</v>
      </c>
      <c r="M126" s="2"/>
      <c r="N126" s="7">
        <f t="shared" si="81"/>
        <v>0</v>
      </c>
      <c r="O126" s="11"/>
      <c r="P126" s="6">
        <v>28364.53</v>
      </c>
      <c r="Q126" s="2"/>
      <c r="R126" s="7">
        <f t="shared" si="82"/>
        <v>7.0982040502940852E-3</v>
      </c>
      <c r="S126" s="2"/>
      <c r="T126" s="6"/>
      <c r="U126" s="2"/>
      <c r="V126" s="7">
        <f t="shared" si="83"/>
        <v>0</v>
      </c>
      <c r="W126" s="2"/>
      <c r="X126" s="6">
        <f t="shared" si="84"/>
        <v>28364.53</v>
      </c>
      <c r="Y126" s="2"/>
      <c r="Z126" s="7">
        <f t="shared" si="85"/>
        <v>0</v>
      </c>
    </row>
    <row r="127" spans="1:26" s="29" customFormat="1" outlineLevel="1" collapsed="1" x14ac:dyDescent="0.3">
      <c r="A127" s="28"/>
      <c r="B127" s="14" t="str">
        <f>CONCATENATE("     ","Subscriptions &amp; Dues                              ")</f>
        <v xml:space="preserve">     Subscriptions &amp; Dues                              </v>
      </c>
      <c r="C127" s="14"/>
      <c r="D127" s="1">
        <f>SUM(OSRRefD22_19x_0)</f>
        <v>148.66</v>
      </c>
      <c r="E127" s="1"/>
      <c r="F127" s="5">
        <f t="shared" ref="F127:F129" si="86">IF(D$12=0,0,D127/D$12)</f>
        <v>3.8387028004300091E-4</v>
      </c>
      <c r="G127" s="1"/>
      <c r="H127" s="1">
        <f>SUM(OSRRefH22_19x_0)</f>
        <v>381</v>
      </c>
      <c r="I127" s="1"/>
      <c r="J127" s="5">
        <f t="shared" ref="J127:J129" si="87">IF(H$12=0,0,H127/H$12)</f>
        <v>9.8411468423091814E-4</v>
      </c>
      <c r="K127" s="1"/>
      <c r="L127" s="1">
        <f t="shared" ref="L127:L129" si="88">+D127-H127</f>
        <v>-232.34</v>
      </c>
      <c r="M127" s="1"/>
      <c r="N127" s="5">
        <f t="shared" ref="N127:N129" si="89">IF(H127=0,0,L127/H127)</f>
        <v>-0.60981627296587926</v>
      </c>
      <c r="O127" s="14"/>
      <c r="P127" s="1">
        <f>SUM(OSRRefP22_19x_0)</f>
        <v>1105.5</v>
      </c>
      <c r="Q127" s="1"/>
      <c r="R127" s="5">
        <f t="shared" ref="R127:R129" si="90">IF(P$12=0,0,P127/P$12)</f>
        <v>2.766506117887415E-4</v>
      </c>
      <c r="S127" s="1"/>
      <c r="T127" s="1">
        <f>SUM(OSRRefT22_19x_0)</f>
        <v>5260</v>
      </c>
      <c r="U127" s="1"/>
      <c r="V127" s="5">
        <f t="shared" ref="V127:V129" si="91">IF(T$12=0,0,T127/T$12)</f>
        <v>9.2873265777155016E-4</v>
      </c>
      <c r="W127" s="1"/>
      <c r="X127" s="1">
        <f t="shared" ref="X127:X129" si="92">+P127-T127</f>
        <v>-4154.5</v>
      </c>
      <c r="Y127" s="1"/>
      <c r="Z127" s="5">
        <f t="shared" ref="Z127:Z129" si="93">IF(T127=0,0,X127/T127)</f>
        <v>-0.789828897338403</v>
      </c>
    </row>
    <row r="128" spans="1:26" s="24" customFormat="1" hidden="1" outlineLevel="2" x14ac:dyDescent="0.3">
      <c r="A128" s="27"/>
      <c r="B128" s="11" t="str">
        <f>CONCATENATE("          ", "6258", " - ", "MEMBERSHIP DUES")</f>
        <v xml:space="preserve">          6258 - MEMBERSHIP DUES</v>
      </c>
      <c r="C128" s="11"/>
      <c r="D128" s="6">
        <v>148.66</v>
      </c>
      <c r="E128" s="2"/>
      <c r="F128" s="7">
        <f t="shared" si="86"/>
        <v>3.8387028004300091E-4</v>
      </c>
      <c r="G128" s="2"/>
      <c r="H128" s="6">
        <v>300</v>
      </c>
      <c r="I128" s="2"/>
      <c r="J128" s="7">
        <f t="shared" si="87"/>
        <v>7.7489345215032935E-4</v>
      </c>
      <c r="K128" s="2"/>
      <c r="L128" s="6">
        <f t="shared" si="88"/>
        <v>-151.34</v>
      </c>
      <c r="M128" s="2"/>
      <c r="N128" s="7">
        <f t="shared" si="89"/>
        <v>-0.50446666666666673</v>
      </c>
      <c r="O128" s="11"/>
      <c r="P128" s="6">
        <v>1105.5</v>
      </c>
      <c r="Q128" s="2"/>
      <c r="R128" s="7">
        <f t="shared" si="90"/>
        <v>2.766506117887415E-4</v>
      </c>
      <c r="S128" s="2"/>
      <c r="T128" s="6">
        <v>4895</v>
      </c>
      <c r="U128" s="2"/>
      <c r="V128" s="7">
        <f t="shared" si="91"/>
        <v>8.6428638018854332E-4</v>
      </c>
      <c r="W128" s="2"/>
      <c r="X128" s="6">
        <f t="shared" si="92"/>
        <v>-3789.5</v>
      </c>
      <c r="Y128" s="2"/>
      <c r="Z128" s="7">
        <f t="shared" si="93"/>
        <v>-0.77415730337078648</v>
      </c>
    </row>
    <row r="129" spans="1:26" s="24" customFormat="1" hidden="1" outlineLevel="2" x14ac:dyDescent="0.3">
      <c r="A129" s="27"/>
      <c r="B129" s="11" t="str">
        <f>CONCATENATE("          ", "6275", " - ", "SUBSCRIPTIONS")</f>
        <v xml:space="preserve">          6275 - SUBSCRIPTIONS</v>
      </c>
      <c r="C129" s="11"/>
      <c r="D129" s="6"/>
      <c r="E129" s="2"/>
      <c r="F129" s="7">
        <f t="shared" si="86"/>
        <v>0</v>
      </c>
      <c r="G129" s="2"/>
      <c r="H129" s="6">
        <v>81</v>
      </c>
      <c r="I129" s="2"/>
      <c r="J129" s="7">
        <f t="shared" si="87"/>
        <v>2.0922123208058893E-4</v>
      </c>
      <c r="K129" s="2"/>
      <c r="L129" s="6">
        <f t="shared" si="88"/>
        <v>-81</v>
      </c>
      <c r="M129" s="2"/>
      <c r="N129" s="7">
        <f t="shared" si="89"/>
        <v>-1</v>
      </c>
      <c r="O129" s="11"/>
      <c r="P129" s="6"/>
      <c r="Q129" s="2"/>
      <c r="R129" s="7">
        <f t="shared" si="90"/>
        <v>0</v>
      </c>
      <c r="S129" s="2"/>
      <c r="T129" s="6">
        <v>365</v>
      </c>
      <c r="U129" s="2"/>
      <c r="V129" s="7">
        <f t="shared" si="91"/>
        <v>6.4446277583006805E-5</v>
      </c>
      <c r="W129" s="2"/>
      <c r="X129" s="6">
        <f t="shared" si="92"/>
        <v>-365</v>
      </c>
      <c r="Y129" s="2"/>
      <c r="Z129" s="7">
        <f t="shared" si="93"/>
        <v>-1</v>
      </c>
    </row>
    <row r="130" spans="1:26" s="29" customFormat="1" outlineLevel="1" collapsed="1" x14ac:dyDescent="0.3">
      <c r="A130" s="28"/>
      <c r="B130" s="14" t="str">
        <f>CONCATENATE("     ","Supplies                                          ")</f>
        <v xml:space="preserve">     Supplies                                          </v>
      </c>
      <c r="C130" s="14"/>
      <c r="D130" s="1">
        <f>SUM(OSRRefD22_20x_0)</f>
        <v>6962.4400000000005</v>
      </c>
      <c r="E130" s="1"/>
      <c r="F130" s="5">
        <f t="shared" ref="F130:F137" si="94">IF(D$12=0,0,D130/D$12)</f>
        <v>1.7978432615246814E-2</v>
      </c>
      <c r="G130" s="1"/>
      <c r="H130" s="1">
        <f>SUM(OSRRefH22_20x_0)</f>
        <v>8370</v>
      </c>
      <c r="I130" s="1"/>
      <c r="J130" s="5">
        <f t="shared" ref="J130:J137" si="95">IF(H$12=0,0,H130/H$12)</f>
        <v>2.161952731499419E-2</v>
      </c>
      <c r="K130" s="1"/>
      <c r="L130" s="1">
        <f t="shared" ref="L130:L137" si="96">+D130-H130</f>
        <v>-1407.5599999999995</v>
      </c>
      <c r="M130" s="1"/>
      <c r="N130" s="5">
        <f t="shared" ref="N130:N137" si="97">IF(H130=0,0,L130/H130)</f>
        <v>-0.16816726403823171</v>
      </c>
      <c r="O130" s="14"/>
      <c r="P130" s="1">
        <f>SUM(OSRRefP22_20x_0)</f>
        <v>50012.619999999995</v>
      </c>
      <c r="Q130" s="1"/>
      <c r="R130" s="5">
        <f t="shared" ref="R130:R137" si="98">IF(P$12=0,0,P130/P$12)</f>
        <v>1.2515623627460738E-2</v>
      </c>
      <c r="S130" s="1"/>
      <c r="T130" s="1">
        <f>SUM(OSRRefT22_20x_0)</f>
        <v>53380</v>
      </c>
      <c r="U130" s="1"/>
      <c r="V130" s="5">
        <f t="shared" ref="V130:V137" si="99">IF(T$12=0,0,T130/T$12)</f>
        <v>9.4250473900846666E-3</v>
      </c>
      <c r="W130" s="1"/>
      <c r="X130" s="1">
        <f t="shared" ref="X130:X137" si="100">+P130-T130</f>
        <v>-3367.3800000000047</v>
      </c>
      <c r="Y130" s="1"/>
      <c r="Z130" s="5">
        <f t="shared" ref="Z130:Z137" si="101">IF(T130=0,0,X130/T130)</f>
        <v>-6.3083177219932646E-2</v>
      </c>
    </row>
    <row r="131" spans="1:26" s="24" customFormat="1" hidden="1" outlineLevel="2" x14ac:dyDescent="0.3">
      <c r="A131" s="27"/>
      <c r="B131" s="11" t="str">
        <f>CONCATENATE("          ", "6234", " - ", "EXPENDABLE SUPPLIES &amp; EQUIPMEN")</f>
        <v xml:space="preserve">          6234 - EXPENDABLE SUPPLIES &amp; EQUIPMEN</v>
      </c>
      <c r="C131" s="11"/>
      <c r="D131" s="6">
        <v>2747.16</v>
      </c>
      <c r="E131" s="2"/>
      <c r="F131" s="7">
        <f t="shared" si="94"/>
        <v>7.093724462013523E-3</v>
      </c>
      <c r="G131" s="2"/>
      <c r="H131" s="6">
        <v>300</v>
      </c>
      <c r="I131" s="2"/>
      <c r="J131" s="7">
        <f t="shared" si="95"/>
        <v>7.7489345215032935E-4</v>
      </c>
      <c r="K131" s="2"/>
      <c r="L131" s="6">
        <f t="shared" si="96"/>
        <v>2447.16</v>
      </c>
      <c r="M131" s="2"/>
      <c r="N131" s="7">
        <f t="shared" si="97"/>
        <v>8.1571999999999996</v>
      </c>
      <c r="O131" s="11"/>
      <c r="P131" s="6">
        <v>5289.57</v>
      </c>
      <c r="Q131" s="2"/>
      <c r="R131" s="7">
        <f t="shared" si="98"/>
        <v>1.3237112407049961E-3</v>
      </c>
      <c r="S131" s="2"/>
      <c r="T131" s="6">
        <v>900</v>
      </c>
      <c r="U131" s="2"/>
      <c r="V131" s="7">
        <f t="shared" si="99"/>
        <v>1.589086296567291E-4</v>
      </c>
      <c r="W131" s="2"/>
      <c r="X131" s="6">
        <f t="shared" si="100"/>
        <v>4389.57</v>
      </c>
      <c r="Y131" s="2"/>
      <c r="Z131" s="7">
        <f t="shared" si="101"/>
        <v>4.8773</v>
      </c>
    </row>
    <row r="132" spans="1:26" s="24" customFormat="1" hidden="1" outlineLevel="2" x14ac:dyDescent="0.3">
      <c r="A132" s="27"/>
      <c r="B132" s="11" t="str">
        <f>CONCATENATE("          ", "6235", " - ", "COVID-19 EXPENSES")</f>
        <v xml:space="preserve">          6235 - COVID-19 EXPENSES</v>
      </c>
      <c r="C132" s="11"/>
      <c r="D132" s="6"/>
      <c r="E132" s="2"/>
      <c r="F132" s="7">
        <f t="shared" si="94"/>
        <v>0</v>
      </c>
      <c r="G132" s="2"/>
      <c r="H132" s="6">
        <v>125</v>
      </c>
      <c r="I132" s="2"/>
      <c r="J132" s="7">
        <f t="shared" si="95"/>
        <v>3.2287227172930386E-4</v>
      </c>
      <c r="K132" s="2"/>
      <c r="L132" s="6">
        <f t="shared" si="96"/>
        <v>-125</v>
      </c>
      <c r="M132" s="2"/>
      <c r="N132" s="7">
        <f t="shared" si="97"/>
        <v>-1</v>
      </c>
      <c r="O132" s="11"/>
      <c r="P132" s="6">
        <v>3430.32</v>
      </c>
      <c r="Q132" s="2"/>
      <c r="R132" s="7">
        <f t="shared" si="98"/>
        <v>8.5843521178756736E-4</v>
      </c>
      <c r="S132" s="2"/>
      <c r="T132" s="6">
        <v>625</v>
      </c>
      <c r="U132" s="2"/>
      <c r="V132" s="7">
        <f t="shared" si="99"/>
        <v>1.1035321503939522E-4</v>
      </c>
      <c r="W132" s="2"/>
      <c r="X132" s="6">
        <f t="shared" si="100"/>
        <v>2805.32</v>
      </c>
      <c r="Y132" s="2"/>
      <c r="Z132" s="7">
        <f t="shared" si="101"/>
        <v>4.4885120000000001</v>
      </c>
    </row>
    <row r="133" spans="1:26" s="24" customFormat="1" hidden="1" outlineLevel="2" x14ac:dyDescent="0.3">
      <c r="A133" s="27"/>
      <c r="B133" s="11" t="str">
        <f>CONCATENATE("          ", "6237", " - ", "JANITORIAL SUPPLIES")</f>
        <v xml:space="preserve">          6237 - JANITORIAL SUPPLIES</v>
      </c>
      <c r="C133" s="11"/>
      <c r="D133" s="6">
        <v>489.67</v>
      </c>
      <c r="E133" s="2"/>
      <c r="F133" s="7">
        <f t="shared" si="94"/>
        <v>1.2644272839274604E-3</v>
      </c>
      <c r="G133" s="2"/>
      <c r="H133" s="6">
        <v>10</v>
      </c>
      <c r="I133" s="2"/>
      <c r="J133" s="7">
        <f t="shared" si="95"/>
        <v>2.5829781738344311E-5</v>
      </c>
      <c r="K133" s="2"/>
      <c r="L133" s="6">
        <f t="shared" si="96"/>
        <v>479.67</v>
      </c>
      <c r="M133" s="2"/>
      <c r="N133" s="7">
        <f t="shared" si="97"/>
        <v>47.966999999999999</v>
      </c>
      <c r="O133" s="11"/>
      <c r="P133" s="6">
        <v>3866.14</v>
      </c>
      <c r="Q133" s="2"/>
      <c r="R133" s="7">
        <f t="shared" si="98"/>
        <v>9.6749886590766611E-4</v>
      </c>
      <c r="S133" s="2"/>
      <c r="T133" s="6">
        <v>90</v>
      </c>
      <c r="U133" s="2"/>
      <c r="V133" s="7">
        <f t="shared" si="99"/>
        <v>1.5890862965672912E-5</v>
      </c>
      <c r="W133" s="2"/>
      <c r="X133" s="6">
        <f t="shared" si="100"/>
        <v>3776.14</v>
      </c>
      <c r="Y133" s="2"/>
      <c r="Z133" s="7">
        <f t="shared" si="101"/>
        <v>41.957111111111111</v>
      </c>
    </row>
    <row r="134" spans="1:26" s="24" customFormat="1" hidden="1" outlineLevel="2" x14ac:dyDescent="0.3">
      <c r="A134" s="27"/>
      <c r="B134" s="11" t="str">
        <f>CONCATENATE("          ", "6241", " - ", "OFFICE EXPENSE")</f>
        <v xml:space="preserve">          6241 - OFFICE EXPENSE</v>
      </c>
      <c r="C134" s="11"/>
      <c r="D134" s="6">
        <v>569.61</v>
      </c>
      <c r="E134" s="2"/>
      <c r="F134" s="7">
        <f t="shared" si="94"/>
        <v>1.4708485821020702E-3</v>
      </c>
      <c r="G134" s="2"/>
      <c r="H134" s="6">
        <v>580</v>
      </c>
      <c r="I134" s="2"/>
      <c r="J134" s="7">
        <f t="shared" si="95"/>
        <v>1.4981273408239701E-3</v>
      </c>
      <c r="K134" s="2"/>
      <c r="L134" s="6">
        <f t="shared" si="96"/>
        <v>-10.389999999999986</v>
      </c>
      <c r="M134" s="2"/>
      <c r="N134" s="7">
        <f t="shared" si="97"/>
        <v>-1.7913793103448251E-2</v>
      </c>
      <c r="O134" s="11"/>
      <c r="P134" s="6">
        <v>7905.52</v>
      </c>
      <c r="Q134" s="2"/>
      <c r="R134" s="7">
        <f t="shared" si="98"/>
        <v>1.9783509222145016E-3</v>
      </c>
      <c r="S134" s="2"/>
      <c r="T134" s="6">
        <v>3200</v>
      </c>
      <c r="U134" s="2"/>
      <c r="V134" s="7">
        <f t="shared" si="99"/>
        <v>5.6500846100170348E-4</v>
      </c>
      <c r="W134" s="2"/>
      <c r="X134" s="6">
        <f t="shared" si="100"/>
        <v>4705.5200000000004</v>
      </c>
      <c r="Y134" s="2"/>
      <c r="Z134" s="7">
        <f t="shared" si="101"/>
        <v>1.4704750000000002</v>
      </c>
    </row>
    <row r="135" spans="1:26" s="24" customFormat="1" hidden="1" outlineLevel="2" x14ac:dyDescent="0.3">
      <c r="A135" s="27"/>
      <c r="B135" s="11" t="str">
        <f>CONCATENATE("          ", "6243", " - ", "PAPER SUPPLIES")</f>
        <v xml:space="preserve">          6243 - PAPER SUPPLIES</v>
      </c>
      <c r="C135" s="11"/>
      <c r="D135" s="6">
        <v>284.11</v>
      </c>
      <c r="E135" s="2"/>
      <c r="F135" s="7">
        <f t="shared" si="94"/>
        <v>7.3362966004989231E-4</v>
      </c>
      <c r="G135" s="2"/>
      <c r="H135" s="6">
        <v>1600</v>
      </c>
      <c r="I135" s="2"/>
      <c r="J135" s="7">
        <f t="shared" si="95"/>
        <v>4.1327650781350896E-3</v>
      </c>
      <c r="K135" s="2"/>
      <c r="L135" s="6">
        <f t="shared" si="96"/>
        <v>-1315.8899999999999</v>
      </c>
      <c r="M135" s="2"/>
      <c r="N135" s="7">
        <f t="shared" si="97"/>
        <v>-0.82243124999999995</v>
      </c>
      <c r="O135" s="11"/>
      <c r="P135" s="6">
        <v>4470.8999999999996</v>
      </c>
      <c r="Q135" s="2"/>
      <c r="R135" s="7">
        <f t="shared" si="98"/>
        <v>1.1188396383955534E-3</v>
      </c>
      <c r="S135" s="2"/>
      <c r="T135" s="6">
        <v>17700</v>
      </c>
      <c r="U135" s="2"/>
      <c r="V135" s="7">
        <f t="shared" si="99"/>
        <v>3.1252030499156723E-3</v>
      </c>
      <c r="W135" s="2"/>
      <c r="X135" s="6">
        <f t="shared" si="100"/>
        <v>-13229.1</v>
      </c>
      <c r="Y135" s="2"/>
      <c r="Z135" s="7">
        <f t="shared" si="101"/>
        <v>-0.74740677966101698</v>
      </c>
    </row>
    <row r="136" spans="1:26" s="24" customFormat="1" hidden="1" outlineLevel="2" x14ac:dyDescent="0.3">
      <c r="A136" s="27"/>
      <c r="B136" s="11" t="str">
        <f>CONCATENATE("          ", "6245", " - ", "PRINTING")</f>
        <v xml:space="preserve">          6245 - PRINTING</v>
      </c>
      <c r="C136" s="11"/>
      <c r="D136" s="6">
        <v>1092.56</v>
      </c>
      <c r="E136" s="2"/>
      <c r="F136" s="7">
        <f t="shared" si="94"/>
        <v>2.8212115778540364E-3</v>
      </c>
      <c r="G136" s="2"/>
      <c r="H136" s="6">
        <v>80</v>
      </c>
      <c r="I136" s="2"/>
      <c r="J136" s="7">
        <f t="shared" si="95"/>
        <v>2.0663825390675449E-4</v>
      </c>
      <c r="K136" s="2"/>
      <c r="L136" s="6">
        <f t="shared" si="96"/>
        <v>1012.56</v>
      </c>
      <c r="M136" s="2"/>
      <c r="N136" s="7">
        <f t="shared" si="97"/>
        <v>12.657</v>
      </c>
      <c r="O136" s="11"/>
      <c r="P136" s="6">
        <v>1065.49</v>
      </c>
      <c r="Q136" s="2"/>
      <c r="R136" s="7">
        <f t="shared" si="98"/>
        <v>2.666381369107066E-4</v>
      </c>
      <c r="S136" s="2"/>
      <c r="T136" s="6">
        <v>1985</v>
      </c>
      <c r="U136" s="2"/>
      <c r="V136" s="7">
        <f t="shared" si="99"/>
        <v>3.504818109651192E-4</v>
      </c>
      <c r="W136" s="2"/>
      <c r="X136" s="6">
        <f t="shared" si="100"/>
        <v>-919.51</v>
      </c>
      <c r="Y136" s="2"/>
      <c r="Z136" s="7">
        <f t="shared" si="101"/>
        <v>-0.46322921914357684</v>
      </c>
    </row>
    <row r="137" spans="1:26" s="24" customFormat="1" hidden="1" outlineLevel="2" x14ac:dyDescent="0.3">
      <c r="A137" s="27"/>
      <c r="B137" s="11" t="str">
        <f>CONCATENATE("          ", "6247", " - ", "STORE SUPPLIES")</f>
        <v xml:space="preserve">          6247 - STORE SUPPLIES</v>
      </c>
      <c r="C137" s="11"/>
      <c r="D137" s="6">
        <v>1779.33</v>
      </c>
      <c r="E137" s="2"/>
      <c r="F137" s="7">
        <f t="shared" si="94"/>
        <v>4.5945910492998301E-3</v>
      </c>
      <c r="G137" s="2"/>
      <c r="H137" s="6">
        <v>5675</v>
      </c>
      <c r="I137" s="2"/>
      <c r="J137" s="7">
        <f t="shared" si="95"/>
        <v>1.4658401136510396E-2</v>
      </c>
      <c r="K137" s="2"/>
      <c r="L137" s="6">
        <f t="shared" si="96"/>
        <v>-3895.67</v>
      </c>
      <c r="M137" s="2"/>
      <c r="N137" s="7">
        <f t="shared" si="97"/>
        <v>-0.68646167400881064</v>
      </c>
      <c r="O137" s="11"/>
      <c r="P137" s="6">
        <v>23984.68</v>
      </c>
      <c r="Q137" s="2"/>
      <c r="R137" s="7">
        <f t="shared" si="98"/>
        <v>6.0021496115397486E-3</v>
      </c>
      <c r="S137" s="2"/>
      <c r="T137" s="6">
        <v>28880</v>
      </c>
      <c r="U137" s="2"/>
      <c r="V137" s="7">
        <f t="shared" si="99"/>
        <v>5.0992013605403739E-3</v>
      </c>
      <c r="W137" s="2"/>
      <c r="X137" s="6">
        <f t="shared" si="100"/>
        <v>-4895.32</v>
      </c>
      <c r="Y137" s="2"/>
      <c r="Z137" s="7">
        <f t="shared" si="101"/>
        <v>-0.16950554016620498</v>
      </c>
    </row>
    <row r="138" spans="1:26" s="29" customFormat="1" outlineLevel="1" collapsed="1" x14ac:dyDescent="0.3">
      <c r="A138" s="28"/>
      <c r="B138" s="14" t="str">
        <f>CONCATENATE("     ","Telephone/Data Lines                              ")</f>
        <v xml:space="preserve">     Telephone/Data Lines                              </v>
      </c>
      <c r="C138" s="14"/>
      <c r="D138" s="1">
        <f>SUM(OSRRefD22_21x_0)</f>
        <v>2077.14</v>
      </c>
      <c r="E138" s="1"/>
      <c r="F138" s="5">
        <f t="shared" ref="F138:F140" si="102">IF(D$12=0,0,D138/D$12)</f>
        <v>5.3635968887967098E-3</v>
      </c>
      <c r="G138" s="1"/>
      <c r="H138" s="1">
        <f>SUM(OSRRefH22_21x_0)</f>
        <v>2060</v>
      </c>
      <c r="I138" s="1"/>
      <c r="J138" s="5">
        <f t="shared" ref="J138:J140" si="103">IF(H$12=0,0,H138/H$12)</f>
        <v>5.3209350380989283E-3</v>
      </c>
      <c r="K138" s="1"/>
      <c r="L138" s="1">
        <f t="shared" ref="L138:L140" si="104">+D138-H138</f>
        <v>17.139999999999873</v>
      </c>
      <c r="M138" s="1"/>
      <c r="N138" s="5">
        <f t="shared" ref="N138:N140" si="105">IF(H138=0,0,L138/H138)</f>
        <v>8.3203883495145022E-3</v>
      </c>
      <c r="O138" s="14"/>
      <c r="P138" s="1">
        <f>SUM(OSRRefP22_21x_0)</f>
        <v>10548.75</v>
      </c>
      <c r="Q138" s="1"/>
      <c r="R138" s="5">
        <f t="shared" ref="R138:R140" si="106">IF(P$12=0,0,P138/P$12)</f>
        <v>2.6398174048905352E-3</v>
      </c>
      <c r="S138" s="1"/>
      <c r="T138" s="1">
        <f>SUM(OSRRefT22_21x_0)</f>
        <v>10650</v>
      </c>
      <c r="U138" s="1"/>
      <c r="V138" s="5">
        <f t="shared" ref="V138:V140" si="107">IF(T$12=0,0,T138/T$12)</f>
        <v>1.8804187842712944E-3</v>
      </c>
      <c r="W138" s="1"/>
      <c r="X138" s="1">
        <f t="shared" ref="X138:X140" si="108">+P138-T138</f>
        <v>-101.25</v>
      </c>
      <c r="Y138" s="1"/>
      <c r="Z138" s="5">
        <f t="shared" ref="Z138:Z140" si="109">IF(T138=0,0,X138/T138)</f>
        <v>-9.5070422535211262E-3</v>
      </c>
    </row>
    <row r="139" spans="1:26" s="24" customFormat="1" hidden="1" outlineLevel="2" x14ac:dyDescent="0.3">
      <c r="A139" s="27"/>
      <c r="B139" s="11" t="str">
        <f>CONCATENATE("          ", "6303", " - ", "DATA PHONE LINES")</f>
        <v xml:space="preserve">          6303 - DATA PHONE LINES</v>
      </c>
      <c r="C139" s="11"/>
      <c r="D139" s="6"/>
      <c r="E139" s="2"/>
      <c r="F139" s="7">
        <f t="shared" si="102"/>
        <v>0</v>
      </c>
      <c r="G139" s="2"/>
      <c r="H139" s="6">
        <v>0</v>
      </c>
      <c r="I139" s="2"/>
      <c r="J139" s="7">
        <f t="shared" si="103"/>
        <v>0</v>
      </c>
      <c r="K139" s="2"/>
      <c r="L139" s="6">
        <f t="shared" si="104"/>
        <v>0</v>
      </c>
      <c r="M139" s="2"/>
      <c r="N139" s="7">
        <f t="shared" si="105"/>
        <v>0</v>
      </c>
      <c r="O139" s="11"/>
      <c r="P139" s="6">
        <v>295</v>
      </c>
      <c r="Q139" s="2"/>
      <c r="R139" s="7">
        <f t="shared" si="106"/>
        <v>7.3823546338922414E-5</v>
      </c>
      <c r="S139" s="2"/>
      <c r="T139" s="6">
        <v>0</v>
      </c>
      <c r="U139" s="2"/>
      <c r="V139" s="7">
        <f t="shared" si="107"/>
        <v>0</v>
      </c>
      <c r="W139" s="2"/>
      <c r="X139" s="6">
        <f t="shared" si="108"/>
        <v>295</v>
      </c>
      <c r="Y139" s="2"/>
      <c r="Z139" s="7">
        <f t="shared" si="109"/>
        <v>0</v>
      </c>
    </row>
    <row r="140" spans="1:26" s="24" customFormat="1" hidden="1" outlineLevel="2" x14ac:dyDescent="0.3">
      <c r="A140" s="27"/>
      <c r="B140" s="11" t="str">
        <f>CONCATENATE("          ", "6309", " - ", "TELEPHONE")</f>
        <v xml:space="preserve">          6309 - TELEPHONE</v>
      </c>
      <c r="C140" s="11"/>
      <c r="D140" s="6">
        <v>2077.14</v>
      </c>
      <c r="E140" s="2"/>
      <c r="F140" s="7">
        <f t="shared" si="102"/>
        <v>5.3635968887967098E-3</v>
      </c>
      <c r="G140" s="2"/>
      <c r="H140" s="6">
        <v>2060</v>
      </c>
      <c r="I140" s="2"/>
      <c r="J140" s="7">
        <f t="shared" si="103"/>
        <v>5.3209350380989283E-3</v>
      </c>
      <c r="K140" s="2"/>
      <c r="L140" s="6">
        <f t="shared" si="104"/>
        <v>17.139999999999873</v>
      </c>
      <c r="M140" s="2"/>
      <c r="N140" s="7">
        <f t="shared" si="105"/>
        <v>8.3203883495145022E-3</v>
      </c>
      <c r="O140" s="11"/>
      <c r="P140" s="6">
        <v>10253.75</v>
      </c>
      <c r="Q140" s="2"/>
      <c r="R140" s="7">
        <f t="shared" si="106"/>
        <v>2.5659938585516125E-3</v>
      </c>
      <c r="S140" s="2"/>
      <c r="T140" s="6">
        <v>10650</v>
      </c>
      <c r="U140" s="2"/>
      <c r="V140" s="7">
        <f t="shared" si="107"/>
        <v>1.8804187842712944E-3</v>
      </c>
      <c r="W140" s="2"/>
      <c r="X140" s="6">
        <f t="shared" si="108"/>
        <v>-396.25</v>
      </c>
      <c r="Y140" s="2"/>
      <c r="Z140" s="7">
        <f t="shared" si="109"/>
        <v>-3.7206572769953053E-2</v>
      </c>
    </row>
    <row r="141" spans="1:26" s="29" customFormat="1" outlineLevel="1" collapsed="1" x14ac:dyDescent="0.3">
      <c r="A141" s="28"/>
      <c r="B141" s="14" t="str">
        <f>CONCATENATE("     ","Training                                          ")</f>
        <v xml:space="preserve">     Training                                          </v>
      </c>
      <c r="C141" s="14"/>
      <c r="D141" s="1">
        <f>SUM(OSRRefD22_22x_0)</f>
        <v>0</v>
      </c>
      <c r="E141" s="1"/>
      <c r="F141" s="5">
        <f t="shared" ref="F141:F146" si="110">IF(D$12=0,0,D141/D$12)</f>
        <v>0</v>
      </c>
      <c r="G141" s="1"/>
      <c r="H141" s="1">
        <f>SUM(OSRRefH22_22x_0)</f>
        <v>0</v>
      </c>
      <c r="I141" s="1"/>
      <c r="J141" s="5">
        <f t="shared" ref="J141:J146" si="111">IF(H$12=0,0,H141/H$12)</f>
        <v>0</v>
      </c>
      <c r="K141" s="1"/>
      <c r="L141" s="1">
        <f t="shared" ref="L141:L146" si="112">+D141-H141</f>
        <v>0</v>
      </c>
      <c r="M141" s="1"/>
      <c r="N141" s="5">
        <f t="shared" ref="N141:N146" si="113">IF(H141=0,0,L141/H141)</f>
        <v>0</v>
      </c>
      <c r="O141" s="14"/>
      <c r="P141" s="1">
        <f>SUM(OSRRefP22_22x_0)</f>
        <v>595</v>
      </c>
      <c r="Q141" s="1"/>
      <c r="R141" s="5">
        <f t="shared" ref="R141:R146" si="114">IF(P$12=0,0,P141/P$12)</f>
        <v>1.4889833922596216E-4</v>
      </c>
      <c r="S141" s="1"/>
      <c r="T141" s="1">
        <f>SUM(OSRRefT22_22x_0)</f>
        <v>0</v>
      </c>
      <c r="U141" s="1"/>
      <c r="V141" s="5">
        <f t="shared" ref="V141:V146" si="115">IF(T$12=0,0,T141/T$12)</f>
        <v>0</v>
      </c>
      <c r="W141" s="1"/>
      <c r="X141" s="1">
        <f t="shared" ref="X141:X146" si="116">+P141-T141</f>
        <v>595</v>
      </c>
      <c r="Y141" s="1"/>
      <c r="Z141" s="5">
        <f t="shared" ref="Z141:Z146" si="117">IF(T141=0,0,X141/T141)</f>
        <v>0</v>
      </c>
    </row>
    <row r="142" spans="1:26" s="24" customFormat="1" hidden="1" outlineLevel="2" x14ac:dyDescent="0.3">
      <c r="A142" s="27"/>
      <c r="B142" s="11" t="str">
        <f>CONCATENATE("          ", "6376", " - ", "TRAINING")</f>
        <v xml:space="preserve">          6376 - TRAINING</v>
      </c>
      <c r="C142" s="11"/>
      <c r="D142" s="6"/>
      <c r="E142" s="2"/>
      <c r="F142" s="7">
        <f t="shared" si="110"/>
        <v>0</v>
      </c>
      <c r="G142" s="2"/>
      <c r="H142" s="6">
        <v>0</v>
      </c>
      <c r="I142" s="2"/>
      <c r="J142" s="7">
        <f t="shared" si="111"/>
        <v>0</v>
      </c>
      <c r="K142" s="2"/>
      <c r="L142" s="6">
        <f t="shared" si="112"/>
        <v>0</v>
      </c>
      <c r="M142" s="2"/>
      <c r="N142" s="7">
        <f t="shared" si="113"/>
        <v>0</v>
      </c>
      <c r="O142" s="11"/>
      <c r="P142" s="6">
        <v>595</v>
      </c>
      <c r="Q142" s="2"/>
      <c r="R142" s="7">
        <f t="shared" si="114"/>
        <v>1.4889833922596216E-4</v>
      </c>
      <c r="S142" s="2"/>
      <c r="T142" s="6">
        <v>0</v>
      </c>
      <c r="U142" s="2"/>
      <c r="V142" s="7">
        <f t="shared" si="115"/>
        <v>0</v>
      </c>
      <c r="W142" s="2"/>
      <c r="X142" s="6">
        <f t="shared" si="116"/>
        <v>595</v>
      </c>
      <c r="Y142" s="2"/>
      <c r="Z142" s="7">
        <f t="shared" si="117"/>
        <v>0</v>
      </c>
    </row>
    <row r="143" spans="1:26" s="29" customFormat="1" outlineLevel="1" collapsed="1" x14ac:dyDescent="0.3">
      <c r="A143" s="28"/>
      <c r="B143" s="14" t="str">
        <f>CONCATENATE("     ","Travel                                            ")</f>
        <v xml:space="preserve">     Travel                                            </v>
      </c>
      <c r="C143" s="14"/>
      <c r="D143" s="1">
        <f>SUM(OSRRefD22_23x_0)</f>
        <v>97.08</v>
      </c>
      <c r="E143" s="1"/>
      <c r="F143" s="5">
        <f t="shared" si="110"/>
        <v>2.5068025552653388E-4</v>
      </c>
      <c r="G143" s="1"/>
      <c r="H143" s="1">
        <f>SUM(OSRRefH22_23x_0)</f>
        <v>250</v>
      </c>
      <c r="I143" s="1"/>
      <c r="J143" s="5">
        <f t="shared" si="111"/>
        <v>6.4574454345860772E-4</v>
      </c>
      <c r="K143" s="1"/>
      <c r="L143" s="1">
        <f t="shared" si="112"/>
        <v>-152.92000000000002</v>
      </c>
      <c r="M143" s="1"/>
      <c r="N143" s="5">
        <f t="shared" si="113"/>
        <v>-0.61168000000000011</v>
      </c>
      <c r="O143" s="14"/>
      <c r="P143" s="1">
        <f>SUM(OSRRefP22_23x_0)</f>
        <v>857.61</v>
      </c>
      <c r="Q143" s="1"/>
      <c r="R143" s="5">
        <f t="shared" si="114"/>
        <v>2.1461631042618052E-4</v>
      </c>
      <c r="S143" s="1"/>
      <c r="T143" s="1">
        <f>SUM(OSRRefT22_23x_0)</f>
        <v>950</v>
      </c>
      <c r="U143" s="1"/>
      <c r="V143" s="5">
        <f t="shared" si="115"/>
        <v>1.6773688685988073E-4</v>
      </c>
      <c r="W143" s="1"/>
      <c r="X143" s="1">
        <f t="shared" si="116"/>
        <v>-92.389999999999986</v>
      </c>
      <c r="Y143" s="1"/>
      <c r="Z143" s="5">
        <f t="shared" si="117"/>
        <v>-9.7252631578947354E-2</v>
      </c>
    </row>
    <row r="144" spans="1:26" s="24" customFormat="1" hidden="1" outlineLevel="2" x14ac:dyDescent="0.3">
      <c r="A144" s="27"/>
      <c r="B144" s="11" t="str">
        <f>CONCATENATE("          ", "6292", " - ", "TRAVEL/CONFERENCE")</f>
        <v xml:space="preserve">          6292 - TRAVEL/CONFERENCE</v>
      </c>
      <c r="C144" s="11"/>
      <c r="D144" s="6"/>
      <c r="E144" s="2"/>
      <c r="F144" s="7">
        <f t="shared" si="110"/>
        <v>0</v>
      </c>
      <c r="G144" s="2"/>
      <c r="H144" s="6">
        <v>125</v>
      </c>
      <c r="I144" s="2"/>
      <c r="J144" s="7">
        <f t="shared" si="111"/>
        <v>3.2287227172930386E-4</v>
      </c>
      <c r="K144" s="2"/>
      <c r="L144" s="6">
        <f t="shared" si="112"/>
        <v>-125</v>
      </c>
      <c r="M144" s="2"/>
      <c r="N144" s="7">
        <f t="shared" si="113"/>
        <v>-1</v>
      </c>
      <c r="O144" s="11"/>
      <c r="P144" s="6">
        <v>495</v>
      </c>
      <c r="Q144" s="2"/>
      <c r="R144" s="7">
        <f t="shared" si="114"/>
        <v>1.2387340826361558E-4</v>
      </c>
      <c r="S144" s="2"/>
      <c r="T144" s="6">
        <v>625</v>
      </c>
      <c r="U144" s="2"/>
      <c r="V144" s="7">
        <f t="shared" si="115"/>
        <v>1.1035321503939522E-4</v>
      </c>
      <c r="W144" s="2"/>
      <c r="X144" s="6">
        <f t="shared" si="116"/>
        <v>-130</v>
      </c>
      <c r="Y144" s="2"/>
      <c r="Z144" s="7">
        <f t="shared" si="117"/>
        <v>-0.20799999999999999</v>
      </c>
    </row>
    <row r="145" spans="1:26" s="24" customFormat="1" hidden="1" outlineLevel="2" x14ac:dyDescent="0.3">
      <c r="A145" s="27"/>
      <c r="B145" s="11" t="str">
        <f>CONCATENATE("          ", "6294", " - ", "TRAVEL OPERATIONAL")</f>
        <v xml:space="preserve">          6294 - TRAVEL OPERATIONAL</v>
      </c>
      <c r="C145" s="11"/>
      <c r="D145" s="6"/>
      <c r="E145" s="2"/>
      <c r="F145" s="7">
        <f t="shared" si="110"/>
        <v>0</v>
      </c>
      <c r="G145" s="2"/>
      <c r="H145" s="6">
        <v>25</v>
      </c>
      <c r="I145" s="2"/>
      <c r="J145" s="7">
        <f t="shared" si="111"/>
        <v>6.4574454345860775E-5</v>
      </c>
      <c r="K145" s="2"/>
      <c r="L145" s="6">
        <f t="shared" si="112"/>
        <v>-25</v>
      </c>
      <c r="M145" s="2"/>
      <c r="N145" s="7">
        <f t="shared" si="113"/>
        <v>-1</v>
      </c>
      <c r="O145" s="11"/>
      <c r="P145" s="6">
        <v>215.53</v>
      </c>
      <c r="Q145" s="2"/>
      <c r="R145" s="7">
        <f t="shared" si="114"/>
        <v>5.3936233703145588E-5</v>
      </c>
      <c r="S145" s="2"/>
      <c r="T145" s="6">
        <v>125</v>
      </c>
      <c r="U145" s="2"/>
      <c r="V145" s="7">
        <f t="shared" si="115"/>
        <v>2.2070643007879042E-5</v>
      </c>
      <c r="W145" s="2"/>
      <c r="X145" s="6">
        <f t="shared" si="116"/>
        <v>90.53</v>
      </c>
      <c r="Y145" s="2"/>
      <c r="Z145" s="7">
        <f t="shared" si="117"/>
        <v>0.72423999999999999</v>
      </c>
    </row>
    <row r="146" spans="1:26" s="24" customFormat="1" hidden="1" outlineLevel="2" x14ac:dyDescent="0.3">
      <c r="A146" s="27"/>
      <c r="B146" s="11" t="str">
        <f>CONCATENATE("          ", "6298", " - ", "VEHICLE MILEAGE")</f>
        <v xml:space="preserve">          6298 - VEHICLE MILEAGE</v>
      </c>
      <c r="C146" s="11"/>
      <c r="D146" s="6">
        <v>97.08</v>
      </c>
      <c r="E146" s="2"/>
      <c r="F146" s="7">
        <f t="shared" si="110"/>
        <v>2.5068025552653388E-4</v>
      </c>
      <c r="G146" s="2"/>
      <c r="H146" s="6">
        <v>100</v>
      </c>
      <c r="I146" s="2"/>
      <c r="J146" s="7">
        <f t="shared" si="111"/>
        <v>2.582978173834431E-4</v>
      </c>
      <c r="K146" s="2"/>
      <c r="L146" s="6">
        <f t="shared" si="112"/>
        <v>-2.9200000000000017</v>
      </c>
      <c r="M146" s="2"/>
      <c r="N146" s="7">
        <f t="shared" si="113"/>
        <v>-2.9200000000000018E-2</v>
      </c>
      <c r="O146" s="11"/>
      <c r="P146" s="6">
        <v>147.08000000000001</v>
      </c>
      <c r="Q146" s="2"/>
      <c r="R146" s="7">
        <f t="shared" si="114"/>
        <v>3.6806668459419355E-5</v>
      </c>
      <c r="S146" s="2"/>
      <c r="T146" s="6">
        <v>200</v>
      </c>
      <c r="U146" s="2"/>
      <c r="V146" s="7">
        <f t="shared" si="115"/>
        <v>3.5313028812606468E-5</v>
      </c>
      <c r="W146" s="2"/>
      <c r="X146" s="6">
        <f t="shared" si="116"/>
        <v>-52.919999999999987</v>
      </c>
      <c r="Y146" s="2"/>
      <c r="Z146" s="7">
        <f t="shared" si="117"/>
        <v>-0.26459999999999995</v>
      </c>
    </row>
    <row r="147" spans="1:26" s="29" customFormat="1" outlineLevel="1" collapsed="1" x14ac:dyDescent="0.3">
      <c r="A147" s="28"/>
      <c r="B147" s="14" t="str">
        <f>CONCATENATE("     ","Utilities                                         ")</f>
        <v xml:space="preserve">     Utilities                                         </v>
      </c>
      <c r="C147" s="14"/>
      <c r="D147" s="1">
        <f>SUM(OSRRefD22_24x_0)</f>
        <v>6033.61</v>
      </c>
      <c r="E147" s="1"/>
      <c r="F147" s="5">
        <f t="shared" ref="F147:F148" si="118">IF(D$12=0,0,D147/D$12)</f>
        <v>1.5580005114827463E-2</v>
      </c>
      <c r="G147" s="1"/>
      <c r="H147" s="1">
        <f>SUM(OSRRefH22_24x_0)</f>
        <v>6120</v>
      </c>
      <c r="I147" s="1"/>
      <c r="J147" s="5">
        <f t="shared" ref="J147:J148" si="119">IF(H$12=0,0,H147/H$12)</f>
        <v>1.580782642386672E-2</v>
      </c>
      <c r="K147" s="1"/>
      <c r="L147" s="1">
        <f t="shared" ref="L147:L148" si="120">+D147-H147</f>
        <v>-86.390000000000327</v>
      </c>
      <c r="M147" s="1"/>
      <c r="N147" s="5">
        <f t="shared" ref="N147:N148" si="121">IF(H147=0,0,L147/H147)</f>
        <v>-1.4116013071895478E-2</v>
      </c>
      <c r="O147" s="14"/>
      <c r="P147" s="1">
        <f>SUM(OSRRefP22_24x_0)</f>
        <v>30183.59</v>
      </c>
      <c r="Q147" s="1"/>
      <c r="R147" s="5">
        <f t="shared" ref="R147:R148" si="122">IF(P$12=0,0,P147/P$12)</f>
        <v>7.5534225594577472E-3</v>
      </c>
      <c r="S147" s="1"/>
      <c r="T147" s="1">
        <f>SUM(OSRRefT22_24x_0)</f>
        <v>30600</v>
      </c>
      <c r="U147" s="1"/>
      <c r="V147" s="5">
        <f t="shared" ref="V147:V148" si="123">IF(T$12=0,0,T147/T$12)</f>
        <v>5.4028934083287898E-3</v>
      </c>
      <c r="W147" s="1"/>
      <c r="X147" s="1">
        <f t="shared" ref="X147:X148" si="124">+P147-T147</f>
        <v>-416.40999999999985</v>
      </c>
      <c r="Y147" s="1"/>
      <c r="Z147" s="5">
        <f t="shared" ref="Z147:Z148" si="125">IF(T147=0,0,X147/T147)</f>
        <v>-1.3608169934640518E-2</v>
      </c>
    </row>
    <row r="148" spans="1:26" s="24" customFormat="1" hidden="1" outlineLevel="2" x14ac:dyDescent="0.3">
      <c r="A148" s="27"/>
      <c r="B148" s="11" t="str">
        <f>CONCATENATE("          ", "6274", " - ", "UTILITIES")</f>
        <v xml:space="preserve">          6274 - UTILITIES</v>
      </c>
      <c r="C148" s="11"/>
      <c r="D148" s="6">
        <v>6033.61</v>
      </c>
      <c r="E148" s="2"/>
      <c r="F148" s="7">
        <f t="shared" si="118"/>
        <v>1.5580005114827463E-2</v>
      </c>
      <c r="G148" s="2"/>
      <c r="H148" s="6">
        <v>6120</v>
      </c>
      <c r="I148" s="2"/>
      <c r="J148" s="7">
        <f t="shared" si="119"/>
        <v>1.580782642386672E-2</v>
      </c>
      <c r="K148" s="2"/>
      <c r="L148" s="6">
        <f t="shared" si="120"/>
        <v>-86.390000000000327</v>
      </c>
      <c r="M148" s="2"/>
      <c r="N148" s="7">
        <f t="shared" si="121"/>
        <v>-1.4116013071895478E-2</v>
      </c>
      <c r="O148" s="11"/>
      <c r="P148" s="6">
        <v>30183.59</v>
      </c>
      <c r="Q148" s="2"/>
      <c r="R148" s="7">
        <f t="shared" si="122"/>
        <v>7.5534225594577472E-3</v>
      </c>
      <c r="S148" s="2"/>
      <c r="T148" s="6">
        <v>30600</v>
      </c>
      <c r="U148" s="2"/>
      <c r="V148" s="7">
        <f t="shared" si="123"/>
        <v>5.4028934083287898E-3</v>
      </c>
      <c r="W148" s="2"/>
      <c r="X148" s="6">
        <f t="shared" si="124"/>
        <v>-416.40999999999985</v>
      </c>
      <c r="Y148" s="2"/>
      <c r="Z148" s="7">
        <f t="shared" si="125"/>
        <v>-1.3608169934640518E-2</v>
      </c>
    </row>
    <row r="149" spans="1:26" s="63" customFormat="1" x14ac:dyDescent="0.3">
      <c r="A149" s="36"/>
      <c r="B149" s="36"/>
      <c r="C149" s="36"/>
      <c r="D149" s="1"/>
      <c r="E149" s="1"/>
      <c r="F149" s="5"/>
      <c r="G149" s="1"/>
      <c r="H149" s="1"/>
      <c r="I149" s="1"/>
      <c r="J149" s="5"/>
      <c r="K149" s="1"/>
      <c r="L149" s="1"/>
      <c r="M149" s="1"/>
      <c r="N149" s="5"/>
      <c r="O149" s="36"/>
      <c r="P149" s="1"/>
      <c r="Q149" s="1"/>
      <c r="R149" s="5"/>
      <c r="S149" s="1"/>
      <c r="T149" s="1"/>
      <c r="U149" s="1"/>
      <c r="V149" s="5"/>
      <c r="W149" s="1"/>
      <c r="X149" s="1"/>
      <c r="Y149" s="1"/>
      <c r="Z149" s="5"/>
    </row>
    <row r="150" spans="1:26" s="23" customFormat="1" collapsed="1" x14ac:dyDescent="0.3">
      <c r="A150" s="10"/>
      <c r="B150" s="25" t="s">
        <v>293</v>
      </c>
      <c r="C150" s="10"/>
      <c r="D150" s="4">
        <f>SUM(OSRRefD25x_0)</f>
        <v>54509.97</v>
      </c>
      <c r="E150" s="4"/>
      <c r="F150" s="12">
        <f t="shared" ref="F150:F157" si="126">IF(D$12=0,0,D150/D$12)</f>
        <v>0.14075580148685307</v>
      </c>
      <c r="G150" s="4"/>
      <c r="H150" s="4">
        <f>SUM(OSRRefH25x_0)</f>
        <v>52426</v>
      </c>
      <c r="I150" s="4"/>
      <c r="J150" s="12">
        <f t="shared" ref="J150:J157" si="127">IF(H$12=0,0,H150/H$12)</f>
        <v>0.13541521374144389</v>
      </c>
      <c r="K150" s="4"/>
      <c r="L150" s="4">
        <f t="shared" ref="L150:L157" si="128">+D150-H150</f>
        <v>2083.9700000000012</v>
      </c>
      <c r="M150" s="4"/>
      <c r="N150" s="12">
        <f t="shared" ref="N150:N157" si="129">IF(H150=0,0,L150/H150)</f>
        <v>3.9750696219433126E-2</v>
      </c>
      <c r="O150" s="10"/>
      <c r="P150" s="4">
        <f>SUM(OSRRefP25x_0)</f>
        <v>457956.19999999995</v>
      </c>
      <c r="Q150" s="4"/>
      <c r="R150" s="12">
        <f t="shared" ref="R150:R157" si="130">IF(P$12=0,0,P150/P$12)</f>
        <v>0.11460322288778584</v>
      </c>
      <c r="S150" s="4"/>
      <c r="T150" s="4">
        <f>SUM(OSRRefT25x_0)</f>
        <v>347267.5</v>
      </c>
      <c r="U150" s="4"/>
      <c r="V150" s="12">
        <f t="shared" ref="V150:V157" si="131">IF(T$12=0,0,T150/T$12)</f>
        <v>6.1315336165909083E-2</v>
      </c>
      <c r="W150" s="4"/>
      <c r="X150" s="4">
        <f t="shared" ref="X150:X157" si="132">+P150-T150</f>
        <v>110688.69999999995</v>
      </c>
      <c r="Y150" s="4"/>
      <c r="Z150" s="12">
        <f t="shared" ref="Z150:Z157" si="133">IF(T150=0,0,X150/T150)</f>
        <v>0.3187418920572756</v>
      </c>
    </row>
    <row r="151" spans="1:26" s="24" customFormat="1" hidden="1" outlineLevel="1" x14ac:dyDescent="0.3">
      <c r="A151" s="44"/>
      <c r="B151" s="11" t="str">
        <f>CONCATENATE("          ", "4187", " - ", "NON-TAXABLE SALES-COMPUTER REP")</f>
        <v xml:space="preserve">          4187 - NON-TAXABLE SALES-COMPUTER REP</v>
      </c>
      <c r="C151" s="11"/>
      <c r="D151" s="2">
        <f>0</f>
        <v>0</v>
      </c>
      <c r="E151" s="2"/>
      <c r="F151" s="19">
        <f t="shared" si="126"/>
        <v>0</v>
      </c>
      <c r="G151" s="2"/>
      <c r="H151" s="2"/>
      <c r="I151" s="2"/>
      <c r="J151" s="19">
        <f t="shared" si="127"/>
        <v>0</v>
      </c>
      <c r="K151" s="2"/>
      <c r="L151" s="2">
        <f t="shared" si="128"/>
        <v>0</v>
      </c>
      <c r="M151" s="2"/>
      <c r="N151" s="19">
        <f t="shared" si="129"/>
        <v>0</v>
      </c>
      <c r="O151" s="11"/>
      <c r="P151" s="2">
        <f>0</f>
        <v>0</v>
      </c>
      <c r="Q151" s="2"/>
      <c r="R151" s="19">
        <f t="shared" si="130"/>
        <v>0</v>
      </c>
      <c r="S151" s="2"/>
      <c r="T151" s="2"/>
      <c r="U151" s="2"/>
      <c r="V151" s="19">
        <f t="shared" si="131"/>
        <v>0</v>
      </c>
      <c r="W151" s="2"/>
      <c r="X151" s="2">
        <f t="shared" si="132"/>
        <v>0</v>
      </c>
      <c r="Y151" s="2"/>
      <c r="Z151" s="19">
        <f t="shared" si="133"/>
        <v>0</v>
      </c>
    </row>
    <row r="152" spans="1:26" s="24" customFormat="1" hidden="1" outlineLevel="1" x14ac:dyDescent="0.3">
      <c r="A152" s="44"/>
      <c r="B152" s="11" t="str">
        <f>CONCATENATE("          ", "9087", " - ", "")</f>
        <v xml:space="preserve">          9087 - </v>
      </c>
      <c r="C152" s="11"/>
      <c r="D152" s="2">
        <f>--74.01</f>
        <v>74.010000000000005</v>
      </c>
      <c r="E152" s="2"/>
      <c r="F152" s="19">
        <f t="shared" si="126"/>
        <v>1.91108835100111E-4</v>
      </c>
      <c r="G152" s="2"/>
      <c r="H152" s="2"/>
      <c r="I152" s="2"/>
      <c r="J152" s="19">
        <f t="shared" si="127"/>
        <v>0</v>
      </c>
      <c r="K152" s="2"/>
      <c r="L152" s="2">
        <f t="shared" si="128"/>
        <v>74.010000000000005</v>
      </c>
      <c r="M152" s="2"/>
      <c r="N152" s="19">
        <f t="shared" si="129"/>
        <v>0</v>
      </c>
      <c r="O152" s="11"/>
      <c r="P152" s="2">
        <f>-392.38</f>
        <v>-392.38</v>
      </c>
      <c r="Q152" s="2"/>
      <c r="R152" s="19">
        <f t="shared" si="130"/>
        <v>-9.8192824110055518E-5</v>
      </c>
      <c r="S152" s="2"/>
      <c r="T152" s="2"/>
      <c r="U152" s="2"/>
      <c r="V152" s="19">
        <f t="shared" si="131"/>
        <v>0</v>
      </c>
      <c r="W152" s="2"/>
      <c r="X152" s="2">
        <f t="shared" si="132"/>
        <v>-392.38</v>
      </c>
      <c r="Y152" s="2"/>
      <c r="Z152" s="19">
        <f t="shared" si="133"/>
        <v>0</v>
      </c>
    </row>
    <row r="153" spans="1:26" s="24" customFormat="1" hidden="1" outlineLevel="1" x14ac:dyDescent="0.3">
      <c r="A153" s="44"/>
      <c r="B153" s="11" t="str">
        <f>CONCATENATE("          ", "9150", " - ", "MISC. INCOME")</f>
        <v xml:space="preserve">          9150 - MISC. INCOME</v>
      </c>
      <c r="C153" s="11"/>
      <c r="D153" s="2">
        <f>--54435.96</f>
        <v>54435.96</v>
      </c>
      <c r="E153" s="2"/>
      <c r="F153" s="19">
        <f t="shared" si="126"/>
        <v>0.14056469265175298</v>
      </c>
      <c r="G153" s="2"/>
      <c r="H153" s="2">
        <v>9426</v>
      </c>
      <c r="I153" s="2"/>
      <c r="J153" s="19">
        <f t="shared" si="127"/>
        <v>2.4347152266563348E-2</v>
      </c>
      <c r="K153" s="2"/>
      <c r="L153" s="2">
        <f t="shared" si="128"/>
        <v>45009.96</v>
      </c>
      <c r="M153" s="2"/>
      <c r="N153" s="19">
        <f t="shared" si="129"/>
        <v>4.7750859325270527</v>
      </c>
      <c r="O153" s="11"/>
      <c r="P153" s="2">
        <f>--214941.61</f>
        <v>214941.61</v>
      </c>
      <c r="Q153" s="2"/>
      <c r="R153" s="19">
        <f t="shared" si="130"/>
        <v>5.3788989511856233E-2</v>
      </c>
      <c r="S153" s="2"/>
      <c r="T153" s="2">
        <v>99287</v>
      </c>
      <c r="U153" s="2"/>
      <c r="V153" s="19">
        <f t="shared" si="131"/>
        <v>1.7530623458586293E-2</v>
      </c>
      <c r="W153" s="2"/>
      <c r="X153" s="2">
        <f t="shared" si="132"/>
        <v>115654.60999999999</v>
      </c>
      <c r="Y153" s="2"/>
      <c r="Z153" s="19">
        <f t="shared" si="133"/>
        <v>1.1648514911317693</v>
      </c>
    </row>
    <row r="154" spans="1:26" s="24" customFormat="1" hidden="1" outlineLevel="1" x14ac:dyDescent="0.3">
      <c r="A154" s="44"/>
      <c r="B154" s="11" t="str">
        <f>CONCATENATE("          ", "9151", " - ", "MISC. INCOME")</f>
        <v xml:space="preserve">          9151 - MISC. INCOME</v>
      </c>
      <c r="C154" s="11"/>
      <c r="D154" s="2">
        <f t="shared" ref="D154:D157" si="134">0</f>
        <v>0</v>
      </c>
      <c r="E154" s="2"/>
      <c r="F154" s="19">
        <f t="shared" si="126"/>
        <v>0</v>
      </c>
      <c r="G154" s="2"/>
      <c r="H154" s="2">
        <v>43000</v>
      </c>
      <c r="I154" s="2"/>
      <c r="J154" s="19">
        <f t="shared" si="127"/>
        <v>0.11106806147488053</v>
      </c>
      <c r="K154" s="2"/>
      <c r="L154" s="2">
        <f t="shared" si="128"/>
        <v>-43000</v>
      </c>
      <c r="M154" s="2"/>
      <c r="N154" s="19">
        <f t="shared" si="129"/>
        <v>-1</v>
      </c>
      <c r="O154" s="11"/>
      <c r="P154" s="2">
        <f>--168463.36</f>
        <v>168463.35999999999</v>
      </c>
      <c r="Q154" s="2"/>
      <c r="R154" s="19">
        <f t="shared" si="130"/>
        <v>4.2157839536849387E-2</v>
      </c>
      <c r="S154" s="2"/>
      <c r="T154" s="2">
        <v>247980.5</v>
      </c>
      <c r="U154" s="2"/>
      <c r="V154" s="19">
        <f t="shared" si="131"/>
        <v>4.3784712707322794E-2</v>
      </c>
      <c r="W154" s="2"/>
      <c r="X154" s="2">
        <f t="shared" si="132"/>
        <v>-79517.140000000014</v>
      </c>
      <c r="Y154" s="2"/>
      <c r="Z154" s="19">
        <f t="shared" si="133"/>
        <v>-0.32065884212669954</v>
      </c>
    </row>
    <row r="155" spans="1:26" s="24" customFormat="1" hidden="1" outlineLevel="1" x14ac:dyDescent="0.3">
      <c r="A155" s="44"/>
      <c r="B155" s="11" t="str">
        <f>CONCATENATE("          ", "9152", " - ", "MISC. INCOME")</f>
        <v xml:space="preserve">          9152 - MISC. INCOME</v>
      </c>
      <c r="C155" s="11"/>
      <c r="D155" s="2">
        <f t="shared" si="134"/>
        <v>0</v>
      </c>
      <c r="E155" s="2"/>
      <c r="F155" s="19">
        <f t="shared" si="126"/>
        <v>0</v>
      </c>
      <c r="G155" s="2"/>
      <c r="H155" s="2"/>
      <c r="I155" s="2"/>
      <c r="J155" s="19">
        <f t="shared" si="127"/>
        <v>0</v>
      </c>
      <c r="K155" s="2"/>
      <c r="L155" s="2">
        <f t="shared" si="128"/>
        <v>0</v>
      </c>
      <c r="M155" s="2"/>
      <c r="N155" s="19">
        <f t="shared" si="129"/>
        <v>0</v>
      </c>
      <c r="O155" s="11"/>
      <c r="P155" s="2">
        <f>--2195.41</f>
        <v>2195.41</v>
      </c>
      <c r="Q155" s="2"/>
      <c r="R155" s="19">
        <f t="shared" si="130"/>
        <v>5.4939983684045306E-4</v>
      </c>
      <c r="S155" s="2"/>
      <c r="T155" s="2"/>
      <c r="U155" s="2"/>
      <c r="V155" s="19">
        <f t="shared" si="131"/>
        <v>0</v>
      </c>
      <c r="W155" s="2"/>
      <c r="X155" s="2">
        <f t="shared" si="132"/>
        <v>2195.41</v>
      </c>
      <c r="Y155" s="2"/>
      <c r="Z155" s="19">
        <f t="shared" si="133"/>
        <v>0</v>
      </c>
    </row>
    <row r="156" spans="1:26" s="24" customFormat="1" hidden="1" outlineLevel="1" x14ac:dyDescent="0.3">
      <c r="A156" s="44"/>
      <c r="B156" s="11" t="str">
        <f>CONCATENATE("          ", "9160", " - ", "MISC. INCOME")</f>
        <v xml:space="preserve">          9160 - MISC. INCOME</v>
      </c>
      <c r="C156" s="11"/>
      <c r="D156" s="2">
        <f t="shared" si="134"/>
        <v>0</v>
      </c>
      <c r="E156" s="2"/>
      <c r="F156" s="19">
        <f t="shared" si="126"/>
        <v>0</v>
      </c>
      <c r="G156" s="2"/>
      <c r="H156" s="2">
        <v>0</v>
      </c>
      <c r="I156" s="2"/>
      <c r="J156" s="19">
        <f t="shared" si="127"/>
        <v>0</v>
      </c>
      <c r="K156" s="2"/>
      <c r="L156" s="2">
        <f t="shared" si="128"/>
        <v>0</v>
      </c>
      <c r="M156" s="2"/>
      <c r="N156" s="19">
        <f t="shared" si="129"/>
        <v>0</v>
      </c>
      <c r="O156" s="11"/>
      <c r="P156" s="2">
        <f>0</f>
        <v>0</v>
      </c>
      <c r="Q156" s="2"/>
      <c r="R156" s="19">
        <f t="shared" si="130"/>
        <v>0</v>
      </c>
      <c r="S156" s="2"/>
      <c r="T156" s="2">
        <v>0</v>
      </c>
      <c r="U156" s="2"/>
      <c r="V156" s="19">
        <f t="shared" si="131"/>
        <v>0</v>
      </c>
      <c r="W156" s="2"/>
      <c r="X156" s="2">
        <f t="shared" si="132"/>
        <v>0</v>
      </c>
      <c r="Y156" s="2"/>
      <c r="Z156" s="19">
        <f t="shared" si="133"/>
        <v>0</v>
      </c>
    </row>
    <row r="157" spans="1:26" s="24" customFormat="1" hidden="1" outlineLevel="1" x14ac:dyDescent="0.3">
      <c r="A157" s="44"/>
      <c r="B157" s="11" t="str">
        <f>CONCATENATE("          ", "9163", " - ", "MISC. INCOME")</f>
        <v xml:space="preserve">          9163 - MISC. INCOME</v>
      </c>
      <c r="C157" s="11"/>
      <c r="D157" s="2">
        <f t="shared" si="134"/>
        <v>0</v>
      </c>
      <c r="E157" s="2"/>
      <c r="F157" s="19">
        <f t="shared" si="126"/>
        <v>0</v>
      </c>
      <c r="G157" s="2"/>
      <c r="H157" s="2"/>
      <c r="I157" s="2"/>
      <c r="J157" s="19">
        <f t="shared" si="127"/>
        <v>0</v>
      </c>
      <c r="K157" s="2"/>
      <c r="L157" s="2">
        <f t="shared" si="128"/>
        <v>0</v>
      </c>
      <c r="M157" s="2"/>
      <c r="N157" s="19">
        <f t="shared" si="129"/>
        <v>0</v>
      </c>
      <c r="O157" s="11"/>
      <c r="P157" s="2">
        <f>--72748.2</f>
        <v>72748.2</v>
      </c>
      <c r="Q157" s="2"/>
      <c r="R157" s="19">
        <f t="shared" si="130"/>
        <v>1.8205186826349817E-2</v>
      </c>
      <c r="S157" s="2"/>
      <c r="T157" s="2"/>
      <c r="U157" s="2"/>
      <c r="V157" s="19">
        <f t="shared" si="131"/>
        <v>0</v>
      </c>
      <c r="W157" s="2"/>
      <c r="X157" s="2">
        <f t="shared" si="132"/>
        <v>72748.2</v>
      </c>
      <c r="Y157" s="2"/>
      <c r="Z157" s="19">
        <f t="shared" si="133"/>
        <v>0</v>
      </c>
    </row>
    <row r="158" spans="1:26" x14ac:dyDescent="0.3">
      <c r="A158" s="9"/>
      <c r="B158" s="10"/>
      <c r="C158" s="10"/>
      <c r="D158" s="3"/>
      <c r="E158" s="3"/>
      <c r="F158" s="8"/>
      <c r="G158" s="3"/>
      <c r="H158" s="3"/>
      <c r="I158" s="3"/>
      <c r="J158" s="8"/>
      <c r="K158" s="3"/>
      <c r="L158" s="3"/>
      <c r="M158" s="3"/>
      <c r="N158" s="8"/>
      <c r="O158" s="10"/>
      <c r="P158" s="3"/>
      <c r="Q158" s="3"/>
      <c r="R158" s="8"/>
      <c r="S158" s="3"/>
      <c r="T158" s="3"/>
      <c r="U158" s="3"/>
      <c r="V158" s="8"/>
      <c r="W158" s="3"/>
      <c r="X158" s="3"/>
      <c r="Y158" s="3"/>
      <c r="Z158" s="8"/>
    </row>
    <row r="159" spans="1:26" s="23" customFormat="1" x14ac:dyDescent="0.3">
      <c r="A159" s="10"/>
      <c r="B159" s="26" t="s">
        <v>277</v>
      </c>
      <c r="C159" s="26"/>
      <c r="D159" s="20">
        <f>+D56-D58+D150</f>
        <v>-56864.959999999905</v>
      </c>
      <c r="E159" s="13"/>
      <c r="F159" s="22">
        <f>IF(D$12=0,0,D159/D$12)</f>
        <v>-0.14683686344567476</v>
      </c>
      <c r="G159" s="13"/>
      <c r="H159" s="20">
        <f>+H56-H58+H150</f>
        <v>-101231.63643447508</v>
      </c>
      <c r="I159" s="13"/>
      <c r="J159" s="22">
        <f>IF(H$12=0,0,H159/H$12)</f>
        <v>-0.26147910741179148</v>
      </c>
      <c r="K159" s="15"/>
      <c r="L159" s="20">
        <f>+D159-H159</f>
        <v>44366.676434475172</v>
      </c>
      <c r="M159" s="15"/>
      <c r="N159" s="22">
        <f>IF(H159=0,0,L159/H159)</f>
        <v>-0.4382688850751979</v>
      </c>
      <c r="O159" s="25"/>
      <c r="P159" s="20">
        <f>+P56-P58+P150</f>
        <v>134366.07000000053</v>
      </c>
      <c r="Q159" s="13"/>
      <c r="R159" s="22">
        <f>IF(P$12=0,0,P159/P$12)</f>
        <v>3.3625016254318414E-2</v>
      </c>
      <c r="S159" s="13"/>
      <c r="T159" s="20">
        <f>+T56-T58+T150</f>
        <v>313414.20174769429</v>
      </c>
      <c r="U159" s="13"/>
      <c r="V159" s="22">
        <f>IF(T$12=0,0,T159/T$12)</f>
        <v>5.5338023682981928E-2</v>
      </c>
      <c r="W159" s="15"/>
      <c r="X159" s="20">
        <f>+P159-T159</f>
        <v>-179048.13174769375</v>
      </c>
      <c r="Y159" s="15"/>
      <c r="Z159" s="22">
        <f>IF(T159=0,0,X159/T159)</f>
        <v>-0.57128276494576868</v>
      </c>
    </row>
    <row r="160" spans="1:26" x14ac:dyDescent="0.3">
      <c r="A160" s="9"/>
      <c r="B160" s="10"/>
      <c r="C160" s="9"/>
      <c r="D160" s="3"/>
      <c r="E160" s="3"/>
      <c r="F160" s="8"/>
      <c r="G160" s="3"/>
      <c r="H160" s="3"/>
      <c r="I160" s="3"/>
      <c r="J160" s="8"/>
      <c r="K160" s="3"/>
      <c r="L160" s="3"/>
      <c r="M160" s="3"/>
      <c r="N160" s="8"/>
      <c r="P160" s="3"/>
      <c r="Q160" s="3"/>
      <c r="R160" s="8"/>
      <c r="S160" s="3"/>
      <c r="T160" s="3"/>
      <c r="U160" s="3"/>
      <c r="V160" s="8"/>
      <c r="W160" s="3"/>
      <c r="X160" s="3"/>
      <c r="Y160" s="3"/>
      <c r="Z160" s="8"/>
    </row>
    <row r="161" spans="1:26" s="23" customFormat="1" x14ac:dyDescent="0.3">
      <c r="A161" s="52"/>
      <c r="B161" s="10" t="s">
        <v>128</v>
      </c>
      <c r="C161" s="10"/>
      <c r="D161" s="4">
        <v>58830.74</v>
      </c>
      <c r="E161" s="4"/>
      <c r="F161" s="12">
        <f>IF(D$12=0,0,D161/D$12)</f>
        <v>0.15191290622182815</v>
      </c>
      <c r="G161" s="4"/>
      <c r="H161" s="4">
        <v>101279</v>
      </c>
      <c r="I161" s="4"/>
      <c r="J161" s="12">
        <f>IF(H$12=0,0,H161/H$12)</f>
        <v>0.26160144646777733</v>
      </c>
      <c r="K161" s="4"/>
      <c r="L161" s="4">
        <f>+D161-H161</f>
        <v>-42448.26</v>
      </c>
      <c r="M161" s="4"/>
      <c r="N161" s="12">
        <f>IF(H161=0,0,L161/H161)</f>
        <v>-0.41912202924594438</v>
      </c>
      <c r="O161" s="10"/>
      <c r="P161" s="4">
        <v>475972.29</v>
      </c>
      <c r="Q161" s="4"/>
      <c r="R161" s="12">
        <f>IF(P$12=0,0,P161/P$12)</f>
        <v>0.11911173697240006</v>
      </c>
      <c r="S161" s="4"/>
      <c r="T161" s="4">
        <v>708027</v>
      </c>
      <c r="U161" s="4"/>
      <c r="V161" s="12">
        <f>IF(T$12=0,0,T161/T$12)</f>
        <v>0.1250128892555166</v>
      </c>
      <c r="W161" s="4"/>
      <c r="X161" s="4">
        <f>+P161-T161</f>
        <v>-232054.71000000002</v>
      </c>
      <c r="Y161" s="4"/>
      <c r="Z161" s="12">
        <f>IF(T161=0,0,X161/T161)</f>
        <v>-0.32774839095119257</v>
      </c>
    </row>
    <row r="162" spans="1:26" x14ac:dyDescent="0.3">
      <c r="A162" s="9"/>
      <c r="B162" s="10"/>
      <c r="C162" s="10"/>
      <c r="D162" s="3"/>
      <c r="E162" s="3"/>
      <c r="F162" s="8"/>
      <c r="G162" s="3"/>
      <c r="H162" s="3"/>
      <c r="I162" s="3"/>
      <c r="J162" s="8"/>
      <c r="K162" s="3"/>
      <c r="L162" s="3"/>
      <c r="M162" s="3"/>
      <c r="N162" s="8"/>
      <c r="O162" s="10"/>
      <c r="P162" s="3"/>
      <c r="Q162" s="3"/>
      <c r="R162" s="8"/>
      <c r="S162" s="3"/>
      <c r="T162" s="3"/>
      <c r="U162" s="3"/>
      <c r="V162" s="8"/>
      <c r="W162" s="3"/>
      <c r="X162" s="3"/>
      <c r="Y162" s="3"/>
      <c r="Z162" s="8"/>
    </row>
    <row r="163" spans="1:26" s="23" customFormat="1" ht="15" thickBot="1" x14ac:dyDescent="0.35">
      <c r="A163" s="10"/>
      <c r="B163" s="26" t="s">
        <v>126</v>
      </c>
      <c r="C163" s="26"/>
      <c r="D163" s="33">
        <f>+D159-D161</f>
        <v>-115695.6999999999</v>
      </c>
      <c r="E163" s="13"/>
      <c r="F163" s="34">
        <f>IF(D$12=0,0,D163/D$12)</f>
        <v>-0.29874976966750288</v>
      </c>
      <c r="G163" s="13"/>
      <c r="H163" s="33">
        <f>+H159-H161</f>
        <v>-202510.63643447508</v>
      </c>
      <c r="I163" s="13"/>
      <c r="J163" s="34">
        <f>IF(H$12=0,0,H163/H$12)</f>
        <v>-0.52308055387956887</v>
      </c>
      <c r="K163" s="15"/>
      <c r="L163" s="33">
        <f>D163-H163</f>
        <v>86814.936434475181</v>
      </c>
      <c r="M163" s="15"/>
      <c r="N163" s="34">
        <f>IF(H163=0,0,L163/H163)</f>
        <v>-0.42869321810938693</v>
      </c>
      <c r="O163" s="25"/>
      <c r="P163" s="33">
        <f>+P159-P161</f>
        <v>-341606.21999999945</v>
      </c>
      <c r="Q163" s="13"/>
      <c r="R163" s="34">
        <f>IF(P$12=0,0,P163/P$12)</f>
        <v>-8.5486720718081652E-2</v>
      </c>
      <c r="S163" s="13"/>
      <c r="T163" s="33">
        <f>+T159-T161</f>
        <v>-394612.79825230571</v>
      </c>
      <c r="U163" s="13"/>
      <c r="V163" s="34">
        <f>IF(T$12=0,0,T163/T$12)</f>
        <v>-6.9674865572534675E-2</v>
      </c>
      <c r="W163" s="15"/>
      <c r="X163" s="33">
        <f>P163-T163</f>
        <v>53006.578252306266</v>
      </c>
      <c r="Y163" s="15"/>
      <c r="Z163" s="34">
        <f>IF(T163=0,0,X163/T163)</f>
        <v>-0.13432554262574922</v>
      </c>
    </row>
    <row r="164" spans="1:26" ht="15" thickTop="1" x14ac:dyDescent="0.3">
      <c r="A164" s="9"/>
      <c r="B164" s="9"/>
      <c r="C164" s="9"/>
      <c r="D164" s="3"/>
      <c r="E164" s="3"/>
      <c r="F164" s="8"/>
      <c r="G164" s="3"/>
      <c r="H164" s="3"/>
      <c r="I164" s="3"/>
      <c r="J164" s="8"/>
      <c r="K164" s="3"/>
      <c r="L164" s="3"/>
      <c r="M164" s="3"/>
      <c r="N164" s="8"/>
      <c r="P164" s="3"/>
      <c r="Q164" s="3"/>
      <c r="R164" s="8"/>
      <c r="S164" s="3"/>
      <c r="T164" s="3"/>
      <c r="U164" s="3"/>
      <c r="V164" s="8"/>
      <c r="W164" s="3"/>
      <c r="X164" s="3"/>
      <c r="Y164" s="3"/>
      <c r="Z164" s="8"/>
    </row>
    <row r="165" spans="1:26" x14ac:dyDescent="0.3">
      <c r="A165" s="9"/>
      <c r="B165" s="9"/>
      <c r="C165" s="9"/>
      <c r="D165" s="3"/>
      <c r="E165" s="3"/>
      <c r="F165" s="8"/>
      <c r="G165" s="3"/>
      <c r="H165" s="3"/>
      <c r="I165" s="3"/>
      <c r="J165" s="8"/>
      <c r="K165" s="3"/>
      <c r="L165" s="3"/>
      <c r="M165" s="3"/>
      <c r="N165" s="8"/>
      <c r="P165" s="3"/>
      <c r="Q165" s="3"/>
      <c r="R165" s="8"/>
      <c r="S165" s="3"/>
      <c r="T165" s="3"/>
      <c r="U165" s="3"/>
      <c r="V165" s="8"/>
      <c r="W165" s="3"/>
      <c r="X165" s="3"/>
      <c r="Y165" s="3"/>
      <c r="Z165" s="8"/>
    </row>
    <row r="166" spans="1:26" s="23" customFormat="1" ht="15" thickBot="1" x14ac:dyDescent="0.35">
      <c r="A166" s="10"/>
      <c r="B166" s="26" t="s">
        <v>294</v>
      </c>
      <c r="C166" s="26"/>
      <c r="D166" s="35">
        <f>SUM(D163:D165)</f>
        <v>-115695.6999999999</v>
      </c>
      <c r="E166" s="13"/>
      <c r="F166" s="32">
        <f>IF(D$12=0,0,D166/D$12)</f>
        <v>-0.29874976966750288</v>
      </c>
      <c r="G166" s="13"/>
      <c r="H166" s="35">
        <f>SUM(H163:H165)</f>
        <v>-202510.63643447508</v>
      </c>
      <c r="I166" s="13"/>
      <c r="J166" s="32">
        <f>IF(H$12=0,0,H166/H$12)</f>
        <v>-0.52308055387956887</v>
      </c>
      <c r="K166" s="15"/>
      <c r="L166" s="35">
        <f>+D166-H166</f>
        <v>86814.936434475181</v>
      </c>
      <c r="M166" s="15"/>
      <c r="N166" s="32">
        <f>IF(H166=0,0,L166/H166)</f>
        <v>-0.42869321810938693</v>
      </c>
      <c r="O166" s="25"/>
      <c r="P166" s="35">
        <f>SUM(P163:P165)</f>
        <v>-341606.21999999945</v>
      </c>
      <c r="Q166" s="13"/>
      <c r="R166" s="32">
        <f>IF(P$12=0,0,P166/P$12)</f>
        <v>-8.5486720718081652E-2</v>
      </c>
      <c r="S166" s="13"/>
      <c r="T166" s="35">
        <f>SUM(T163:T165)</f>
        <v>-394612.79825230571</v>
      </c>
      <c r="U166" s="13"/>
      <c r="V166" s="32">
        <f>IF(T$12=0,0,T166/T$12)</f>
        <v>-6.9674865572534675E-2</v>
      </c>
      <c r="W166" s="15"/>
      <c r="X166" s="35">
        <f>+P166-T166</f>
        <v>53006.578252306266</v>
      </c>
      <c r="Y166" s="15"/>
      <c r="Z166" s="32">
        <f>IF(T166=0,0,X166/T166)</f>
        <v>-0.13432554262574922</v>
      </c>
    </row>
    <row r="167" spans="1:26" ht="15" thickTop="1" x14ac:dyDescent="0.3">
      <c r="A167" s="9"/>
      <c r="C167" s="9"/>
      <c r="D167" s="17"/>
      <c r="E167" s="17"/>
      <c r="G167" s="17"/>
      <c r="H167" s="17"/>
      <c r="I167" s="17"/>
      <c r="J167" s="42"/>
      <c r="K167" s="17"/>
      <c r="L167" s="17"/>
      <c r="M167" s="17"/>
      <c r="P167" s="17"/>
      <c r="Q167" s="17"/>
      <c r="R167" s="42"/>
      <c r="S167" s="17"/>
      <c r="T167" s="17"/>
      <c r="U167" s="17"/>
      <c r="V167" s="42"/>
      <c r="W167" s="17"/>
      <c r="X167" s="17"/>
    </row>
    <row r="168" spans="1:26" x14ac:dyDescent="0.3">
      <c r="A168" s="9"/>
      <c r="B168" s="60">
        <v>44543.753097569446</v>
      </c>
      <c r="D168" s="17"/>
      <c r="E168" s="17"/>
      <c r="G168" s="17"/>
      <c r="H168" s="17"/>
      <c r="I168" s="17"/>
      <c r="J168" s="42"/>
      <c r="K168" s="17"/>
      <c r="L168" s="17"/>
      <c r="M168" s="17"/>
      <c r="P168" s="17"/>
      <c r="Q168" s="17"/>
      <c r="R168" s="42"/>
      <c r="S168" s="17"/>
      <c r="T168" s="17"/>
      <c r="U168" s="17"/>
      <c r="V168" s="42"/>
      <c r="W168" s="17"/>
      <c r="X168" s="17"/>
    </row>
    <row r="169" spans="1:26" x14ac:dyDescent="0.3">
      <c r="A169" s="9"/>
      <c r="B169" s="58" t="s">
        <v>56</v>
      </c>
      <c r="D169" s="17"/>
      <c r="E169" s="17"/>
      <c r="G169" s="17"/>
      <c r="H169" s="17"/>
      <c r="I169" s="17"/>
      <c r="J169" s="42"/>
      <c r="K169" s="17"/>
      <c r="L169" s="17"/>
      <c r="M169" s="17"/>
      <c r="P169" s="17"/>
      <c r="Q169" s="17"/>
      <c r="R169" s="42"/>
      <c r="S169" s="17"/>
      <c r="T169" s="17"/>
      <c r="U169" s="17"/>
      <c r="V169" s="42"/>
      <c r="W169" s="17"/>
      <c r="X169" s="17"/>
    </row>
    <row r="170" spans="1:26" x14ac:dyDescent="0.3">
      <c r="A170" s="9"/>
      <c r="B170" s="55"/>
      <c r="D170" s="17"/>
      <c r="E170" s="17"/>
      <c r="G170" s="17"/>
      <c r="H170" s="17"/>
      <c r="I170" s="17"/>
      <c r="J170" s="42"/>
      <c r="K170" s="17"/>
      <c r="L170" s="17"/>
      <c r="M170" s="17"/>
      <c r="P170" s="17"/>
      <c r="Q170" s="17"/>
      <c r="R170" s="42"/>
      <c r="S170" s="17"/>
      <c r="T170" s="17"/>
      <c r="U170" s="17"/>
      <c r="V170" s="42"/>
      <c r="W170" s="17"/>
      <c r="X170" s="17"/>
    </row>
    <row r="171" spans="1:26" x14ac:dyDescent="0.3">
      <c r="D171" s="17"/>
      <c r="E171" s="17"/>
      <c r="G171" s="17"/>
      <c r="H171" s="17"/>
      <c r="I171" s="17"/>
      <c r="J171" s="42"/>
      <c r="K171" s="17"/>
      <c r="L171" s="17"/>
      <c r="M171" s="17"/>
      <c r="P171" s="17"/>
      <c r="Q171" s="17"/>
      <c r="R171" s="42"/>
      <c r="S171" s="17"/>
      <c r="T171" s="17"/>
      <c r="U171" s="17"/>
      <c r="V171" s="42"/>
      <c r="W171" s="17"/>
      <c r="X171" s="17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92D050"/>
    <outlinePr summaryBelow="0" summaryRight="0"/>
  </sheetPr>
  <dimension ref="A2:Z11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","301", " - ", "Bookstore Operations")</f>
        <v>Department 301 - Bookstore Operations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3">
      <c r="A14" s="10"/>
      <c r="B14" s="25" t="s">
        <v>257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0</v>
      </c>
      <c r="M14" s="4"/>
      <c r="N14" s="12">
        <f t="shared" ref="N14:N15" si="3">IF(H14=0,0,L14/H14)</f>
        <v>0</v>
      </c>
      <c r="O14" s="10"/>
      <c r="P14" s="4">
        <f>SUM(OSRRefP16x_0)</f>
        <v>0</v>
      </c>
      <c r="Q14" s="4"/>
      <c r="R14" s="12">
        <f t="shared" ref="R14:R15" si="4">IF(P$12=0,0,P14/P$12)</f>
        <v>0</v>
      </c>
      <c r="S14" s="4"/>
      <c r="T14" s="4">
        <f>SUM(OSRRefT16x_0)</f>
        <v>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0</v>
      </c>
      <c r="Y14" s="4"/>
      <c r="Z14" s="12">
        <f t="shared" ref="Z14:Z15" si="7">IF(T14=0,0,X14/T14)</f>
        <v>0</v>
      </c>
    </row>
    <row r="15" spans="1:26" s="24" customFormat="1" hidden="1" outlineLevel="1" x14ac:dyDescent="0.3">
      <c r="A15" s="44"/>
      <c r="B15" s="11" t="str">
        <f>CONCATENATE("          ", "5000", " - ", "PURCHASES @ COST")</f>
        <v xml:space="preserve">          5000 - PURCHASES @ COST</v>
      </c>
      <c r="C15" s="11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>
        <v>0</v>
      </c>
      <c r="Q15" s="2"/>
      <c r="R15" s="19">
        <f t="shared" si="4"/>
        <v>0</v>
      </c>
      <c r="S15" s="2"/>
      <c r="T15" s="2"/>
      <c r="U15" s="2"/>
      <c r="V15" s="19">
        <f t="shared" si="5"/>
        <v>0</v>
      </c>
      <c r="W15" s="2"/>
      <c r="X15" s="2">
        <f t="shared" si="6"/>
        <v>0</v>
      </c>
      <c r="Y15" s="2"/>
      <c r="Z15" s="19">
        <f t="shared" si="7"/>
        <v>0</v>
      </c>
    </row>
    <row r="16" spans="1:26" x14ac:dyDescent="0.3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3">
      <c r="A17" s="10"/>
      <c r="B17" s="26" t="s">
        <v>108</v>
      </c>
      <c r="C17" s="26"/>
      <c r="D17" s="20">
        <f>D12-D14</f>
        <v>0</v>
      </c>
      <c r="E17" s="13"/>
      <c r="F17" s="22">
        <f>IF(D$12=0,0,D17/D$12)</f>
        <v>0</v>
      </c>
      <c r="G17" s="13"/>
      <c r="H17" s="20">
        <f>H12-H14</f>
        <v>0</v>
      </c>
      <c r="I17" s="13"/>
      <c r="J17" s="22">
        <f>IF(H$12=0,0,H17/H$12)</f>
        <v>0</v>
      </c>
      <c r="K17" s="15"/>
      <c r="L17" s="20">
        <f>+D17-H17</f>
        <v>0</v>
      </c>
      <c r="M17" s="15"/>
      <c r="N17" s="22">
        <f>IF(H17=0,0,L17/H17)</f>
        <v>0</v>
      </c>
      <c r="O17" s="25"/>
      <c r="P17" s="20">
        <f>P12-P14</f>
        <v>0</v>
      </c>
      <c r="Q17" s="13"/>
      <c r="R17" s="22">
        <f>IF(P$12=0,0,P17/P$12)</f>
        <v>0</v>
      </c>
      <c r="S17" s="13"/>
      <c r="T17" s="20">
        <f>T12-T14</f>
        <v>0</v>
      </c>
      <c r="U17" s="13"/>
      <c r="V17" s="22">
        <f>IF(T$12=0,0,T17/T$12)</f>
        <v>0</v>
      </c>
      <c r="W17" s="15"/>
      <c r="X17" s="20">
        <f>+P17-T17</f>
        <v>0</v>
      </c>
      <c r="Y17" s="15"/>
      <c r="Z17" s="22">
        <f>IF(T17=0,0,X17/T17)</f>
        <v>0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5" t="s">
        <v>295</v>
      </c>
      <c r="C19" s="10"/>
      <c r="D19" s="21">
        <f>SUM(OSRRefD22x_0)</f>
        <v>124679.02999999998</v>
      </c>
      <c r="E19" s="21"/>
      <c r="F19" s="30">
        <f t="shared" ref="F19:F30" si="8">IF(D$12=0,0,D19/D$12)</f>
        <v>0</v>
      </c>
      <c r="G19" s="21"/>
      <c r="H19" s="21">
        <f>SUM(OSRRefH22x_0)</f>
        <v>97166.259773307684</v>
      </c>
      <c r="I19" s="21"/>
      <c r="J19" s="30">
        <f t="shared" ref="J19:J30" si="9">IF(H$12=0,0,H19/H$12)</f>
        <v>0</v>
      </c>
      <c r="K19" s="4"/>
      <c r="L19" s="21">
        <f t="shared" ref="L19:L30" si="10">+D19-H19</f>
        <v>27512.770226692301</v>
      </c>
      <c r="M19" s="4"/>
      <c r="N19" s="30">
        <f t="shared" ref="N19:N30" si="11">IF(H19=0,0,L19/H19)</f>
        <v>0.28315147964818821</v>
      </c>
      <c r="O19" s="10"/>
      <c r="P19" s="21">
        <f>SUM(OSRRefP22x_0)</f>
        <v>745338.94999999972</v>
      </c>
      <c r="Q19" s="21"/>
      <c r="R19" s="30">
        <f t="shared" ref="R19:R30" si="12">IF(P$12=0,0,P19/P$12)</f>
        <v>0</v>
      </c>
      <c r="S19" s="21"/>
      <c r="T19" s="21">
        <f>SUM(OSRRefT22x_0)</f>
        <v>688925.92145569227</v>
      </c>
      <c r="U19" s="21"/>
      <c r="V19" s="30">
        <f t="shared" ref="V19:V30" si="13">IF(T$12=0,0,T19/T$12)</f>
        <v>0</v>
      </c>
      <c r="W19" s="4"/>
      <c r="X19" s="21">
        <f t="shared" ref="X19:X30" si="14">+P19-T19</f>
        <v>56413.028544307454</v>
      </c>
      <c r="Y19" s="4"/>
      <c r="Z19" s="30">
        <f t="shared" ref="Z19:Z30" si="15">IF(T19=0,0,X19/T19)</f>
        <v>8.188547823125511E-2</v>
      </c>
    </row>
    <row r="20" spans="1:26" s="29" customFormat="1" outlineLevel="1" collapsed="1" x14ac:dyDescent="0.3">
      <c r="A20" s="28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13803.459999999997</v>
      </c>
      <c r="E20" s="1"/>
      <c r="F20" s="5">
        <f t="shared" si="8"/>
        <v>0</v>
      </c>
      <c r="G20" s="1"/>
      <c r="H20" s="1">
        <f>SUM(OSRRefH22_0x_0)</f>
        <v>4215.9575809999988</v>
      </c>
      <c r="I20" s="1"/>
      <c r="J20" s="5">
        <f t="shared" si="9"/>
        <v>0</v>
      </c>
      <c r="K20" s="1"/>
      <c r="L20" s="1">
        <f t="shared" si="10"/>
        <v>9587.5024189999986</v>
      </c>
      <c r="M20" s="1"/>
      <c r="N20" s="5">
        <f t="shared" si="11"/>
        <v>2.2740984070162069</v>
      </c>
      <c r="O20" s="14"/>
      <c r="P20" s="1">
        <f>SUM(OSRRefP22_0x_0)</f>
        <v>71770.599999999991</v>
      </c>
      <c r="Q20" s="1"/>
      <c r="R20" s="5">
        <f t="shared" si="12"/>
        <v>0</v>
      </c>
      <c r="S20" s="1"/>
      <c r="T20" s="1">
        <f>SUM(OSRRefT22_0x_0)</f>
        <v>31367.753148000018</v>
      </c>
      <c r="U20" s="1"/>
      <c r="V20" s="5">
        <f t="shared" si="13"/>
        <v>0</v>
      </c>
      <c r="W20" s="1"/>
      <c r="X20" s="1">
        <f t="shared" si="14"/>
        <v>40402.846851999973</v>
      </c>
      <c r="Y20" s="1"/>
      <c r="Z20" s="5">
        <f t="shared" si="15"/>
        <v>1.2880376436708865</v>
      </c>
    </row>
    <row r="21" spans="1:26" s="24" customFormat="1" hidden="1" outlineLevel="2" x14ac:dyDescent="0.3">
      <c r="A21" s="27"/>
      <c r="B21" s="11" t="str">
        <f>CONCATENATE("          ", "6111", " - ", "F.I.C.A.")</f>
        <v xml:space="preserve">          6111 - F.I.C.A.</v>
      </c>
      <c r="C21" s="11"/>
      <c r="D21" s="6">
        <v>1945.46</v>
      </c>
      <c r="E21" s="2"/>
      <c r="F21" s="7">
        <f t="shared" si="8"/>
        <v>0</v>
      </c>
      <c r="G21" s="2"/>
      <c r="H21" s="6">
        <v>976.89720830769204</v>
      </c>
      <c r="I21" s="2"/>
      <c r="J21" s="7">
        <f t="shared" si="9"/>
        <v>0</v>
      </c>
      <c r="K21" s="2"/>
      <c r="L21" s="6">
        <f t="shared" si="10"/>
        <v>968.562791692308</v>
      </c>
      <c r="M21" s="2"/>
      <c r="N21" s="7">
        <f t="shared" si="11"/>
        <v>0.99146848148965228</v>
      </c>
      <c r="O21" s="11"/>
      <c r="P21" s="6">
        <v>14435.84</v>
      </c>
      <c r="Q21" s="2"/>
      <c r="R21" s="7">
        <f t="shared" si="12"/>
        <v>0</v>
      </c>
      <c r="S21" s="2"/>
      <c r="T21" s="6">
        <v>9935.1175356923104</v>
      </c>
      <c r="U21" s="2"/>
      <c r="V21" s="7">
        <f t="shared" si="13"/>
        <v>0</v>
      </c>
      <c r="W21" s="2"/>
      <c r="X21" s="6">
        <f t="shared" si="14"/>
        <v>4500.7224643076897</v>
      </c>
      <c r="Y21" s="2"/>
      <c r="Z21" s="7">
        <f t="shared" si="15"/>
        <v>0.45301149665705137</v>
      </c>
    </row>
    <row r="22" spans="1:26" s="24" customFormat="1" hidden="1" outlineLevel="2" x14ac:dyDescent="0.3">
      <c r="A22" s="27"/>
      <c r="B22" s="11" t="str">
        <f>CONCATENATE("          ", "6112", " - ", "COMPENSATION INSURANCE")</f>
        <v xml:space="preserve">          6112 - COMPENSATION INSURANCE</v>
      </c>
      <c r="C22" s="11"/>
      <c r="D22" s="6">
        <v>587.38</v>
      </c>
      <c r="E22" s="2"/>
      <c r="F22" s="7">
        <f t="shared" si="8"/>
        <v>0</v>
      </c>
      <c r="G22" s="2"/>
      <c r="H22" s="6">
        <v>456.23982000000001</v>
      </c>
      <c r="I22" s="2"/>
      <c r="J22" s="7">
        <f t="shared" si="9"/>
        <v>0</v>
      </c>
      <c r="K22" s="2"/>
      <c r="L22" s="6">
        <f t="shared" si="10"/>
        <v>131.14017999999999</v>
      </c>
      <c r="M22" s="2"/>
      <c r="N22" s="7">
        <f t="shared" si="11"/>
        <v>0.28743694489446359</v>
      </c>
      <c r="O22" s="11"/>
      <c r="P22" s="6">
        <v>3887.65</v>
      </c>
      <c r="Q22" s="2"/>
      <c r="R22" s="7">
        <f t="shared" si="12"/>
        <v>0</v>
      </c>
      <c r="S22" s="2"/>
      <c r="T22" s="6">
        <v>3805.4937599999998</v>
      </c>
      <c r="U22" s="2"/>
      <c r="V22" s="7">
        <f t="shared" si="13"/>
        <v>0</v>
      </c>
      <c r="W22" s="2"/>
      <c r="X22" s="6">
        <f t="shared" si="14"/>
        <v>82.156240000000253</v>
      </c>
      <c r="Y22" s="2"/>
      <c r="Z22" s="7">
        <f t="shared" si="15"/>
        <v>2.1588851587027766E-2</v>
      </c>
    </row>
    <row r="23" spans="1:26" s="24" customFormat="1" hidden="1" outlineLevel="2" x14ac:dyDescent="0.3">
      <c r="A23" s="27"/>
      <c r="B23" s="11" t="str">
        <f>CONCATENATE("          ", "6113", " - ", "GROUP INSURANCE")</f>
        <v xml:space="preserve">          6113 - GROUP INSURANCE</v>
      </c>
      <c r="C23" s="11"/>
      <c r="D23" s="6">
        <v>5752.3</v>
      </c>
      <c r="E23" s="2"/>
      <c r="F23" s="7">
        <f t="shared" si="8"/>
        <v>0</v>
      </c>
      <c r="G23" s="2"/>
      <c r="H23" s="6">
        <v>1303</v>
      </c>
      <c r="I23" s="2"/>
      <c r="J23" s="7">
        <f t="shared" si="9"/>
        <v>0</v>
      </c>
      <c r="K23" s="2"/>
      <c r="L23" s="6">
        <f t="shared" si="10"/>
        <v>4449.3</v>
      </c>
      <c r="M23" s="2"/>
      <c r="N23" s="7">
        <f t="shared" si="11"/>
        <v>3.4146584804297775</v>
      </c>
      <c r="O23" s="11"/>
      <c r="P23" s="6">
        <v>26648.78</v>
      </c>
      <c r="Q23" s="2"/>
      <c r="R23" s="7">
        <f t="shared" si="12"/>
        <v>0</v>
      </c>
      <c r="S23" s="2"/>
      <c r="T23" s="6">
        <v>6821</v>
      </c>
      <c r="U23" s="2"/>
      <c r="V23" s="7">
        <f t="shared" si="13"/>
        <v>0</v>
      </c>
      <c r="W23" s="2"/>
      <c r="X23" s="6">
        <f t="shared" si="14"/>
        <v>19827.78</v>
      </c>
      <c r="Y23" s="2"/>
      <c r="Z23" s="7">
        <f t="shared" si="15"/>
        <v>2.9068728925377507</v>
      </c>
    </row>
    <row r="24" spans="1:26" s="24" customFormat="1" hidden="1" outlineLevel="2" x14ac:dyDescent="0.3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6">
        <v>104.73</v>
      </c>
      <c r="E24" s="2"/>
      <c r="F24" s="7">
        <f t="shared" si="8"/>
        <v>0</v>
      </c>
      <c r="G24" s="2"/>
      <c r="H24" s="6">
        <v>61.416898846153799</v>
      </c>
      <c r="I24" s="2"/>
      <c r="J24" s="7">
        <f t="shared" si="9"/>
        <v>0</v>
      </c>
      <c r="K24" s="2"/>
      <c r="L24" s="6">
        <f t="shared" si="10"/>
        <v>43.313101153846205</v>
      </c>
      <c r="M24" s="2"/>
      <c r="N24" s="7">
        <f t="shared" si="11"/>
        <v>0.70523100266497196</v>
      </c>
      <c r="O24" s="11"/>
      <c r="P24" s="6">
        <v>694.84</v>
      </c>
      <c r="Q24" s="2"/>
      <c r="R24" s="7">
        <f t="shared" si="12"/>
        <v>0</v>
      </c>
      <c r="S24" s="2"/>
      <c r="T24" s="6">
        <v>512.27800615384604</v>
      </c>
      <c r="U24" s="2"/>
      <c r="V24" s="7">
        <f t="shared" si="13"/>
        <v>0</v>
      </c>
      <c r="W24" s="2"/>
      <c r="X24" s="6">
        <f t="shared" si="14"/>
        <v>182.561993846154</v>
      </c>
      <c r="Y24" s="2"/>
      <c r="Z24" s="7">
        <f t="shared" si="15"/>
        <v>0.35637289060449617</v>
      </c>
    </row>
    <row r="25" spans="1:26" s="24" customFormat="1" hidden="1" outlineLevel="2" x14ac:dyDescent="0.3">
      <c r="A25" s="27"/>
      <c r="B25" s="11" t="str">
        <f>CONCATENATE("          ", "6115", " - ", "P.E.R.S.")</f>
        <v xml:space="preserve">          6115 - P.E.R.S.</v>
      </c>
      <c r="C25" s="11"/>
      <c r="D25" s="6">
        <v>1579.6</v>
      </c>
      <c r="E25" s="2"/>
      <c r="F25" s="7">
        <f t="shared" si="8"/>
        <v>0</v>
      </c>
      <c r="G25" s="2"/>
      <c r="H25" s="6">
        <v>374.76153846153801</v>
      </c>
      <c r="I25" s="2"/>
      <c r="J25" s="7">
        <f t="shared" si="9"/>
        <v>0</v>
      </c>
      <c r="K25" s="2"/>
      <c r="L25" s="6">
        <f t="shared" si="10"/>
        <v>1204.8384615384618</v>
      </c>
      <c r="M25" s="2"/>
      <c r="N25" s="7">
        <f t="shared" si="11"/>
        <v>3.2149469406186544</v>
      </c>
      <c r="O25" s="11"/>
      <c r="P25" s="6">
        <v>8414.4599999999991</v>
      </c>
      <c r="Q25" s="2"/>
      <c r="R25" s="7">
        <f t="shared" si="12"/>
        <v>0</v>
      </c>
      <c r="S25" s="2"/>
      <c r="T25" s="6">
        <v>2061.1884615384602</v>
      </c>
      <c r="U25" s="2"/>
      <c r="V25" s="7">
        <f t="shared" si="13"/>
        <v>0</v>
      </c>
      <c r="W25" s="2"/>
      <c r="X25" s="6">
        <f t="shared" si="14"/>
        <v>6353.2715384615385</v>
      </c>
      <c r="Y25" s="2"/>
      <c r="Z25" s="7">
        <f t="shared" si="15"/>
        <v>3.0823341276224157</v>
      </c>
    </row>
    <row r="26" spans="1:26" s="24" customFormat="1" hidden="1" outlineLevel="2" x14ac:dyDescent="0.3">
      <c r="A26" s="27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8"/>
        <v>0</v>
      </c>
      <c r="G26" s="2"/>
      <c r="H26" s="6">
        <v>0</v>
      </c>
      <c r="I26" s="2"/>
      <c r="J26" s="7">
        <f t="shared" si="9"/>
        <v>0</v>
      </c>
      <c r="K26" s="2"/>
      <c r="L26" s="6">
        <f t="shared" si="10"/>
        <v>0</v>
      </c>
      <c r="M26" s="2"/>
      <c r="N26" s="7">
        <f t="shared" si="11"/>
        <v>0</v>
      </c>
      <c r="O26" s="11"/>
      <c r="P26" s="6"/>
      <c r="Q26" s="2"/>
      <c r="R26" s="7">
        <f t="shared" si="12"/>
        <v>0</v>
      </c>
      <c r="S26" s="2"/>
      <c r="T26" s="6">
        <v>0</v>
      </c>
      <c r="U26" s="2"/>
      <c r="V26" s="7">
        <f t="shared" si="13"/>
        <v>0</v>
      </c>
      <c r="W26" s="2"/>
      <c r="X26" s="6">
        <f t="shared" si="14"/>
        <v>0</v>
      </c>
      <c r="Y26" s="2"/>
      <c r="Z26" s="7">
        <f t="shared" si="15"/>
        <v>0</v>
      </c>
    </row>
    <row r="27" spans="1:26" s="24" customFormat="1" hidden="1" outlineLevel="2" x14ac:dyDescent="0.3">
      <c r="A27" s="27"/>
      <c r="B27" s="11" t="str">
        <f>CONCATENATE("          ", "6117", " - ", "RETIREMENT STAFF HOURLY")</f>
        <v xml:space="preserve">          6117 - RETIREMENT STAFF HOURLY</v>
      </c>
      <c r="C27" s="11"/>
      <c r="D27" s="6">
        <v>313.81</v>
      </c>
      <c r="E27" s="2"/>
      <c r="F27" s="7">
        <f t="shared" si="8"/>
        <v>0</v>
      </c>
      <c r="G27" s="2"/>
      <c r="H27" s="6"/>
      <c r="I27" s="2"/>
      <c r="J27" s="7">
        <f t="shared" si="9"/>
        <v>0</v>
      </c>
      <c r="K27" s="2"/>
      <c r="L27" s="6">
        <f t="shared" si="10"/>
        <v>313.81</v>
      </c>
      <c r="M27" s="2"/>
      <c r="N27" s="7">
        <f t="shared" si="11"/>
        <v>0</v>
      </c>
      <c r="O27" s="11"/>
      <c r="P27" s="6">
        <v>1581.28</v>
      </c>
      <c r="Q27" s="2"/>
      <c r="R27" s="7">
        <f t="shared" si="12"/>
        <v>0</v>
      </c>
      <c r="S27" s="2"/>
      <c r="T27" s="6"/>
      <c r="U27" s="2"/>
      <c r="V27" s="7">
        <f t="shared" si="13"/>
        <v>0</v>
      </c>
      <c r="W27" s="2"/>
      <c r="X27" s="6">
        <f t="shared" si="14"/>
        <v>1581.28</v>
      </c>
      <c r="Y27" s="2"/>
      <c r="Z27" s="7">
        <f t="shared" si="15"/>
        <v>0</v>
      </c>
    </row>
    <row r="28" spans="1:26" s="24" customFormat="1" hidden="1" outlineLevel="2" x14ac:dyDescent="0.3">
      <c r="A28" s="27"/>
      <c r="B28" s="11" t="str">
        <f>CONCATENATE("          ", "6118", " - ", "VACATION")</f>
        <v xml:space="preserve">          6118 - VACATION</v>
      </c>
      <c r="C28" s="11"/>
      <c r="D28" s="6">
        <v>1623.97</v>
      </c>
      <c r="E28" s="2"/>
      <c r="F28" s="7">
        <f t="shared" si="8"/>
        <v>0</v>
      </c>
      <c r="G28" s="2"/>
      <c r="H28" s="6">
        <v>249.386769230769</v>
      </c>
      <c r="I28" s="2"/>
      <c r="J28" s="7">
        <f t="shared" si="9"/>
        <v>0</v>
      </c>
      <c r="K28" s="2"/>
      <c r="L28" s="6">
        <f t="shared" si="10"/>
        <v>1374.583230769231</v>
      </c>
      <c r="M28" s="2"/>
      <c r="N28" s="7">
        <f t="shared" si="11"/>
        <v>5.5118530746804222</v>
      </c>
      <c r="O28" s="11"/>
      <c r="P28" s="6">
        <v>7235.72</v>
      </c>
      <c r="Q28" s="2"/>
      <c r="R28" s="7">
        <f t="shared" si="12"/>
        <v>0</v>
      </c>
      <c r="S28" s="2"/>
      <c r="T28" s="6">
        <v>1371.62723076923</v>
      </c>
      <c r="U28" s="2"/>
      <c r="V28" s="7">
        <f t="shared" si="13"/>
        <v>0</v>
      </c>
      <c r="W28" s="2"/>
      <c r="X28" s="6">
        <f t="shared" si="14"/>
        <v>5864.0927692307705</v>
      </c>
      <c r="Y28" s="2"/>
      <c r="Z28" s="7">
        <f t="shared" si="15"/>
        <v>4.2752816783479108</v>
      </c>
    </row>
    <row r="29" spans="1:26" s="24" customFormat="1" hidden="1" outlineLevel="2" x14ac:dyDescent="0.3">
      <c r="A29" s="27"/>
      <c r="B29" s="11" t="str">
        <f>CONCATENATE("          ", "6119", " - ", "SICK LEAVE")</f>
        <v xml:space="preserve">          6119 - SICK LEAVE</v>
      </c>
      <c r="C29" s="11"/>
      <c r="D29" s="6">
        <v>1115.22</v>
      </c>
      <c r="E29" s="2"/>
      <c r="F29" s="7">
        <f t="shared" si="8"/>
        <v>0</v>
      </c>
      <c r="G29" s="2"/>
      <c r="H29" s="6">
        <v>794.25534615384595</v>
      </c>
      <c r="I29" s="2"/>
      <c r="J29" s="7">
        <f t="shared" si="9"/>
        <v>0</v>
      </c>
      <c r="K29" s="2"/>
      <c r="L29" s="6">
        <f t="shared" si="10"/>
        <v>320.96465384615408</v>
      </c>
      <c r="M29" s="2"/>
      <c r="N29" s="7">
        <f t="shared" si="11"/>
        <v>0.40410764044638076</v>
      </c>
      <c r="O29" s="11"/>
      <c r="P29" s="6">
        <v>5784.44</v>
      </c>
      <c r="Q29" s="2"/>
      <c r="R29" s="7">
        <f t="shared" si="12"/>
        <v>0</v>
      </c>
      <c r="S29" s="2"/>
      <c r="T29" s="6">
        <v>6861.04815384617</v>
      </c>
      <c r="U29" s="2"/>
      <c r="V29" s="7">
        <f t="shared" si="13"/>
        <v>0</v>
      </c>
      <c r="W29" s="2"/>
      <c r="X29" s="6">
        <f t="shared" si="14"/>
        <v>-1076.6081538461704</v>
      </c>
      <c r="Y29" s="2"/>
      <c r="Z29" s="7">
        <f t="shared" si="15"/>
        <v>-0.15691598859317796</v>
      </c>
    </row>
    <row r="30" spans="1:26" s="24" customFormat="1" hidden="1" outlineLevel="2" x14ac:dyDescent="0.3">
      <c r="A30" s="27"/>
      <c r="B30" s="11" t="str">
        <f>CONCATENATE("          ", "6156", " - ", "EMPLOYEE MEALS")</f>
        <v xml:space="preserve">          6156 - EMPLOYEE MEALS</v>
      </c>
      <c r="C30" s="11"/>
      <c r="D30" s="6">
        <v>780.99</v>
      </c>
      <c r="E30" s="2"/>
      <c r="F30" s="7">
        <f t="shared" si="8"/>
        <v>0</v>
      </c>
      <c r="G30" s="2"/>
      <c r="H30" s="6"/>
      <c r="I30" s="2"/>
      <c r="J30" s="7">
        <f t="shared" si="9"/>
        <v>0</v>
      </c>
      <c r="K30" s="2"/>
      <c r="L30" s="6">
        <f t="shared" si="10"/>
        <v>780.99</v>
      </c>
      <c r="M30" s="2"/>
      <c r="N30" s="7">
        <f t="shared" si="11"/>
        <v>0</v>
      </c>
      <c r="O30" s="11"/>
      <c r="P30" s="6">
        <v>3087.59</v>
      </c>
      <c r="Q30" s="2"/>
      <c r="R30" s="7">
        <f t="shared" si="12"/>
        <v>0</v>
      </c>
      <c r="S30" s="2"/>
      <c r="T30" s="6"/>
      <c r="U30" s="2"/>
      <c r="V30" s="7">
        <f t="shared" si="13"/>
        <v>0</v>
      </c>
      <c r="W30" s="2"/>
      <c r="X30" s="6">
        <f t="shared" si="14"/>
        <v>3087.59</v>
      </c>
      <c r="Y30" s="2"/>
      <c r="Z30" s="7">
        <f t="shared" si="15"/>
        <v>0</v>
      </c>
    </row>
    <row r="31" spans="1:26" s="29" customFormat="1" outlineLevel="1" collapsed="1" x14ac:dyDescent="0.3">
      <c r="A31" s="28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39015.51</v>
      </c>
      <c r="E31" s="1"/>
      <c r="F31" s="5">
        <f t="shared" ref="F31:F41" si="16">IF(D$12=0,0,D31/D$12)</f>
        <v>0</v>
      </c>
      <c r="G31" s="1"/>
      <c r="H31" s="1">
        <f>SUM(OSRRefH22_1x_0)</f>
        <v>28901.302192307689</v>
      </c>
      <c r="I31" s="1"/>
      <c r="J31" s="5">
        <f t="shared" ref="J31:J41" si="17">IF(H$12=0,0,H31/H$12)</f>
        <v>0</v>
      </c>
      <c r="K31" s="1"/>
      <c r="L31" s="1">
        <f t="shared" ref="L31:L41" si="18">+D31-H31</f>
        <v>10114.207807692314</v>
      </c>
      <c r="M31" s="1"/>
      <c r="N31" s="5">
        <f t="shared" ref="N31:N41" si="19">IF(H31=0,0,L31/H31)</f>
        <v>0.34995681995201899</v>
      </c>
      <c r="O31" s="14"/>
      <c r="P31" s="1">
        <f>SUM(OSRRefP22_1x_0)</f>
        <v>263739.28000000003</v>
      </c>
      <c r="Q31" s="1"/>
      <c r="R31" s="5">
        <f t="shared" ref="R31:R41" si="20">IF(P$12=0,0,P31/P$12)</f>
        <v>0</v>
      </c>
      <c r="S31" s="1"/>
      <c r="T31" s="1">
        <f>SUM(OSRRefT22_1x_0)</f>
        <v>242876.16830769231</v>
      </c>
      <c r="U31" s="1"/>
      <c r="V31" s="5">
        <f t="shared" ref="V31:V41" si="21">IF(T$12=0,0,T31/T$12)</f>
        <v>0</v>
      </c>
      <c r="W31" s="1"/>
      <c r="X31" s="1">
        <f t="shared" ref="X31:X41" si="22">+P31-T31</f>
        <v>20863.111692307721</v>
      </c>
      <c r="Y31" s="1"/>
      <c r="Z31" s="5">
        <f t="shared" ref="Z31:Z41" si="23">IF(T31=0,0,X31/T31)</f>
        <v>8.5900201068212209E-2</v>
      </c>
    </row>
    <row r="32" spans="1:26" s="24" customFormat="1" hidden="1" outlineLevel="2" x14ac:dyDescent="0.3">
      <c r="A32" s="27"/>
      <c r="B32" s="11" t="str">
        <f>CONCATENATE("          ", "6001", " - ", "ADMINISTRATIVE SALARIES")</f>
        <v xml:space="preserve">          6001 - ADMINISTRATIVE SALARIES</v>
      </c>
      <c r="C32" s="11"/>
      <c r="D32" s="6">
        <v>4192.43</v>
      </c>
      <c r="E32" s="2"/>
      <c r="F32" s="7">
        <f t="shared" si="16"/>
        <v>0</v>
      </c>
      <c r="G32" s="2"/>
      <c r="H32" s="6">
        <v>4139.8076923076896</v>
      </c>
      <c r="I32" s="2"/>
      <c r="J32" s="7">
        <f t="shared" si="17"/>
        <v>0</v>
      </c>
      <c r="K32" s="2"/>
      <c r="L32" s="6">
        <f t="shared" si="18"/>
        <v>52.622307692310642</v>
      </c>
      <c r="M32" s="2"/>
      <c r="N32" s="7">
        <f t="shared" si="19"/>
        <v>1.2711292795095253E-2</v>
      </c>
      <c r="O32" s="11"/>
      <c r="P32" s="6">
        <v>23676.51</v>
      </c>
      <c r="Q32" s="2"/>
      <c r="R32" s="7">
        <f t="shared" si="20"/>
        <v>0</v>
      </c>
      <c r="S32" s="2"/>
      <c r="T32" s="6">
        <v>22768.942307692301</v>
      </c>
      <c r="U32" s="2"/>
      <c r="V32" s="7">
        <f t="shared" si="21"/>
        <v>0</v>
      </c>
      <c r="W32" s="2"/>
      <c r="X32" s="6">
        <f t="shared" si="22"/>
        <v>907.56769230769714</v>
      </c>
      <c r="Y32" s="2"/>
      <c r="Z32" s="7">
        <f t="shared" si="23"/>
        <v>3.9859896873693727E-2</v>
      </c>
    </row>
    <row r="33" spans="1:26" s="24" customFormat="1" hidden="1" outlineLevel="2" x14ac:dyDescent="0.3">
      <c r="A33" s="27"/>
      <c r="B33" s="11" t="str">
        <f>CONCATENATE("          ", "6002", " - ", "STAFF SALARIES")</f>
        <v xml:space="preserve">          6002 - STAFF SALARIES</v>
      </c>
      <c r="C33" s="11"/>
      <c r="D33" s="6">
        <v>10400.02</v>
      </c>
      <c r="E33" s="2"/>
      <c r="F33" s="7">
        <f t="shared" si="16"/>
        <v>0</v>
      </c>
      <c r="G33" s="2"/>
      <c r="H33" s="6">
        <v>0</v>
      </c>
      <c r="I33" s="2"/>
      <c r="J33" s="7">
        <f t="shared" si="17"/>
        <v>0</v>
      </c>
      <c r="K33" s="2"/>
      <c r="L33" s="6">
        <f t="shared" si="18"/>
        <v>10400.02</v>
      </c>
      <c r="M33" s="2"/>
      <c r="N33" s="7">
        <f t="shared" si="19"/>
        <v>0</v>
      </c>
      <c r="O33" s="11"/>
      <c r="P33" s="6">
        <v>54192.43</v>
      </c>
      <c r="Q33" s="2"/>
      <c r="R33" s="7">
        <f t="shared" si="20"/>
        <v>0</v>
      </c>
      <c r="S33" s="2"/>
      <c r="T33" s="6">
        <v>0</v>
      </c>
      <c r="U33" s="2"/>
      <c r="V33" s="7">
        <f t="shared" si="21"/>
        <v>0</v>
      </c>
      <c r="W33" s="2"/>
      <c r="X33" s="6">
        <f t="shared" si="22"/>
        <v>54192.43</v>
      </c>
      <c r="Y33" s="2"/>
      <c r="Z33" s="7">
        <f t="shared" si="23"/>
        <v>0</v>
      </c>
    </row>
    <row r="34" spans="1:26" s="24" customFormat="1" hidden="1" outlineLevel="2" x14ac:dyDescent="0.3">
      <c r="A34" s="27"/>
      <c r="B34" s="11" t="str">
        <f>CONCATENATE("          ", "6003", " - ", "STAFF HOURLY-9 MONTH")</f>
        <v xml:space="preserve">          6003 - STAFF HOURLY-9 MONTH</v>
      </c>
      <c r="C34" s="11"/>
      <c r="D34" s="6"/>
      <c r="E34" s="2"/>
      <c r="F34" s="7">
        <f t="shared" si="16"/>
        <v>0</v>
      </c>
      <c r="G34" s="2"/>
      <c r="H34" s="6">
        <v>0</v>
      </c>
      <c r="I34" s="2"/>
      <c r="J34" s="7">
        <f t="shared" si="17"/>
        <v>0</v>
      </c>
      <c r="K34" s="2"/>
      <c r="L34" s="6">
        <f t="shared" si="18"/>
        <v>0</v>
      </c>
      <c r="M34" s="2"/>
      <c r="N34" s="7">
        <f t="shared" si="19"/>
        <v>0</v>
      </c>
      <c r="O34" s="11"/>
      <c r="P34" s="6"/>
      <c r="Q34" s="2"/>
      <c r="R34" s="7">
        <f t="shared" si="20"/>
        <v>0</v>
      </c>
      <c r="S34" s="2"/>
      <c r="T34" s="6">
        <v>0</v>
      </c>
      <c r="U34" s="2"/>
      <c r="V34" s="7">
        <f t="shared" si="21"/>
        <v>0</v>
      </c>
      <c r="W34" s="2"/>
      <c r="X34" s="6">
        <f t="shared" si="22"/>
        <v>0</v>
      </c>
      <c r="Y34" s="2"/>
      <c r="Z34" s="7">
        <f t="shared" si="23"/>
        <v>0</v>
      </c>
    </row>
    <row r="35" spans="1:26" s="24" customFormat="1" hidden="1" outlineLevel="2" x14ac:dyDescent="0.3">
      <c r="A35" s="27"/>
      <c r="B35" s="11" t="str">
        <f>CONCATENATE("          ", "6004", " - ", "STAFF HOURLY")</f>
        <v xml:space="preserve">          6004 - STAFF HOURLY</v>
      </c>
      <c r="C35" s="11"/>
      <c r="D35" s="6">
        <v>7599.34</v>
      </c>
      <c r="E35" s="2"/>
      <c r="F35" s="7">
        <f t="shared" si="16"/>
        <v>0</v>
      </c>
      <c r="G35" s="2"/>
      <c r="H35" s="6">
        <v>8115.4319999999998</v>
      </c>
      <c r="I35" s="2"/>
      <c r="J35" s="7">
        <f t="shared" si="17"/>
        <v>0</v>
      </c>
      <c r="K35" s="2"/>
      <c r="L35" s="6">
        <f t="shared" si="18"/>
        <v>-516.09199999999964</v>
      </c>
      <c r="M35" s="2"/>
      <c r="N35" s="7">
        <f t="shared" si="19"/>
        <v>-6.3593903565454024E-2</v>
      </c>
      <c r="O35" s="11"/>
      <c r="P35" s="6">
        <v>35113.870000000003</v>
      </c>
      <c r="Q35" s="2"/>
      <c r="R35" s="7">
        <f t="shared" si="20"/>
        <v>0</v>
      </c>
      <c r="S35" s="2"/>
      <c r="T35" s="6">
        <v>44634.875999999997</v>
      </c>
      <c r="U35" s="2"/>
      <c r="V35" s="7">
        <f t="shared" si="21"/>
        <v>0</v>
      </c>
      <c r="W35" s="2"/>
      <c r="X35" s="6">
        <f t="shared" si="22"/>
        <v>-9521.0059999999939</v>
      </c>
      <c r="Y35" s="2"/>
      <c r="Z35" s="7">
        <f t="shared" si="23"/>
        <v>-0.21330866921194078</v>
      </c>
    </row>
    <row r="36" spans="1:26" s="24" customFormat="1" hidden="1" outlineLevel="2" x14ac:dyDescent="0.3">
      <c r="A36" s="27"/>
      <c r="B36" s="11" t="str">
        <f>CONCATENATE("          ", "6005", " - ", "TEMPORARY WAGES-HOURLY")</f>
        <v xml:space="preserve">          6005 - TEMPORARY WAGES-HOURLY</v>
      </c>
      <c r="C36" s="11"/>
      <c r="D36" s="6">
        <v>1976.27</v>
      </c>
      <c r="E36" s="2"/>
      <c r="F36" s="7">
        <f t="shared" si="16"/>
        <v>0</v>
      </c>
      <c r="G36" s="2"/>
      <c r="H36" s="6">
        <v>0</v>
      </c>
      <c r="I36" s="2"/>
      <c r="J36" s="7">
        <f t="shared" si="17"/>
        <v>0</v>
      </c>
      <c r="K36" s="2"/>
      <c r="L36" s="6">
        <f t="shared" si="18"/>
        <v>1976.27</v>
      </c>
      <c r="M36" s="2"/>
      <c r="N36" s="7">
        <f t="shared" si="19"/>
        <v>0</v>
      </c>
      <c r="O36" s="11"/>
      <c r="P36" s="6">
        <v>15842.48</v>
      </c>
      <c r="Q36" s="2"/>
      <c r="R36" s="7">
        <f t="shared" si="20"/>
        <v>0</v>
      </c>
      <c r="S36" s="2"/>
      <c r="T36" s="6">
        <v>0</v>
      </c>
      <c r="U36" s="2"/>
      <c r="V36" s="7">
        <f t="shared" si="21"/>
        <v>0</v>
      </c>
      <c r="W36" s="2"/>
      <c r="X36" s="6">
        <f t="shared" si="22"/>
        <v>15842.48</v>
      </c>
      <c r="Y36" s="2"/>
      <c r="Z36" s="7">
        <f t="shared" si="23"/>
        <v>0</v>
      </c>
    </row>
    <row r="37" spans="1:26" s="24" customFormat="1" hidden="1" outlineLevel="2" x14ac:dyDescent="0.3">
      <c r="A37" s="27"/>
      <c r="B37" s="11" t="str">
        <f>CONCATENATE("          ", "6006", " - ", "TEMPORARY PART TIME")</f>
        <v xml:space="preserve">          6006 - TEMPORARY PART TIME</v>
      </c>
      <c r="C37" s="11"/>
      <c r="D37" s="6"/>
      <c r="E37" s="2"/>
      <c r="F37" s="7">
        <f t="shared" si="16"/>
        <v>0</v>
      </c>
      <c r="G37" s="2"/>
      <c r="H37" s="6">
        <v>0</v>
      </c>
      <c r="I37" s="2"/>
      <c r="J37" s="7">
        <f t="shared" si="17"/>
        <v>0</v>
      </c>
      <c r="K37" s="2"/>
      <c r="L37" s="6">
        <f t="shared" si="18"/>
        <v>0</v>
      </c>
      <c r="M37" s="2"/>
      <c r="N37" s="7">
        <f t="shared" si="19"/>
        <v>0</v>
      </c>
      <c r="O37" s="11"/>
      <c r="P37" s="6">
        <v>9877.6200000000008</v>
      </c>
      <c r="Q37" s="2"/>
      <c r="R37" s="7">
        <f t="shared" si="20"/>
        <v>0</v>
      </c>
      <c r="S37" s="2"/>
      <c r="T37" s="6">
        <v>0</v>
      </c>
      <c r="U37" s="2"/>
      <c r="V37" s="7">
        <f t="shared" si="21"/>
        <v>0</v>
      </c>
      <c r="W37" s="2"/>
      <c r="X37" s="6">
        <f t="shared" si="22"/>
        <v>9877.6200000000008</v>
      </c>
      <c r="Y37" s="2"/>
      <c r="Z37" s="7">
        <f t="shared" si="23"/>
        <v>0</v>
      </c>
    </row>
    <row r="38" spans="1:26" s="24" customFormat="1" hidden="1" outlineLevel="2" x14ac:dyDescent="0.3">
      <c r="A38" s="27"/>
      <c r="B38" s="11" t="str">
        <f>CONCATENATE("          ", "6007", " - ", "STUDENT HOURLY")</f>
        <v xml:space="preserve">          6007 - STUDENT HOURLY</v>
      </c>
      <c r="C38" s="11"/>
      <c r="D38" s="6">
        <v>14386.71</v>
      </c>
      <c r="E38" s="2"/>
      <c r="F38" s="7">
        <f t="shared" si="16"/>
        <v>0</v>
      </c>
      <c r="G38" s="2"/>
      <c r="H38" s="6">
        <v>0</v>
      </c>
      <c r="I38" s="2"/>
      <c r="J38" s="7">
        <f t="shared" si="17"/>
        <v>0</v>
      </c>
      <c r="K38" s="2"/>
      <c r="L38" s="6">
        <f t="shared" si="18"/>
        <v>14386.71</v>
      </c>
      <c r="M38" s="2"/>
      <c r="N38" s="7">
        <f t="shared" si="19"/>
        <v>0</v>
      </c>
      <c r="O38" s="11"/>
      <c r="P38" s="6">
        <v>115243.44</v>
      </c>
      <c r="Q38" s="2"/>
      <c r="R38" s="7">
        <f t="shared" si="20"/>
        <v>0</v>
      </c>
      <c r="S38" s="2"/>
      <c r="T38" s="6">
        <v>60209.13</v>
      </c>
      <c r="U38" s="2"/>
      <c r="V38" s="7">
        <f t="shared" si="21"/>
        <v>0</v>
      </c>
      <c r="W38" s="2"/>
      <c r="X38" s="6">
        <f t="shared" si="22"/>
        <v>55034.310000000005</v>
      </c>
      <c r="Y38" s="2"/>
      <c r="Z38" s="7">
        <f t="shared" si="23"/>
        <v>0.91405256976807348</v>
      </c>
    </row>
    <row r="39" spans="1:26" s="24" customFormat="1" hidden="1" outlineLevel="2" x14ac:dyDescent="0.3">
      <c r="A39" s="27"/>
      <c r="B39" s="11" t="str">
        <f>CONCATENATE("          ", "6008", " - ", "STUDENT HOURLY-FICA EXEMPT")</f>
        <v xml:space="preserve">          6008 - STUDENT HOURLY-FICA EXEMPT</v>
      </c>
      <c r="C39" s="11"/>
      <c r="D39" s="6">
        <v>460.74</v>
      </c>
      <c r="E39" s="2"/>
      <c r="F39" s="7">
        <f t="shared" si="16"/>
        <v>0</v>
      </c>
      <c r="G39" s="2"/>
      <c r="H39" s="6">
        <v>16646.0625</v>
      </c>
      <c r="I39" s="2"/>
      <c r="J39" s="7">
        <f t="shared" si="17"/>
        <v>0</v>
      </c>
      <c r="K39" s="2"/>
      <c r="L39" s="6">
        <f t="shared" si="18"/>
        <v>-16185.3225</v>
      </c>
      <c r="M39" s="2"/>
      <c r="N39" s="7">
        <f t="shared" si="19"/>
        <v>-0.97232138230887932</v>
      </c>
      <c r="O39" s="11"/>
      <c r="P39" s="6">
        <v>9792.93</v>
      </c>
      <c r="Q39" s="2"/>
      <c r="R39" s="7">
        <f t="shared" si="20"/>
        <v>0</v>
      </c>
      <c r="S39" s="2"/>
      <c r="T39" s="6">
        <v>115263.22</v>
      </c>
      <c r="U39" s="2"/>
      <c r="V39" s="7">
        <f t="shared" si="21"/>
        <v>0</v>
      </c>
      <c r="W39" s="2"/>
      <c r="X39" s="6">
        <f t="shared" si="22"/>
        <v>-105470.29000000001</v>
      </c>
      <c r="Y39" s="2"/>
      <c r="Z39" s="7">
        <f t="shared" si="23"/>
        <v>-0.91503855262762923</v>
      </c>
    </row>
    <row r="40" spans="1:26" s="24" customFormat="1" hidden="1" outlineLevel="2" x14ac:dyDescent="0.3">
      <c r="A40" s="27"/>
      <c r="B40" s="11" t="str">
        <f>CONCATENATE("          ", "6009", " - ", "TEMPORARY-SEASONAL")</f>
        <v xml:space="preserve">          6009 - TEMPORARY-SEASONAL</v>
      </c>
      <c r="C40" s="11"/>
      <c r="D40" s="6"/>
      <c r="E40" s="2"/>
      <c r="F40" s="7">
        <f t="shared" si="16"/>
        <v>0</v>
      </c>
      <c r="G40" s="2"/>
      <c r="H40" s="6">
        <v>0</v>
      </c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1"/>
      <c r="P40" s="6"/>
      <c r="Q40" s="2"/>
      <c r="R40" s="7">
        <f t="shared" si="20"/>
        <v>0</v>
      </c>
      <c r="S40" s="2"/>
      <c r="T40" s="6">
        <v>0</v>
      </c>
      <c r="U40" s="2"/>
      <c r="V40" s="7">
        <f t="shared" si="21"/>
        <v>0</v>
      </c>
      <c r="W40" s="2"/>
      <c r="X40" s="6">
        <f t="shared" si="22"/>
        <v>0</v>
      </c>
      <c r="Y40" s="2"/>
      <c r="Z40" s="7">
        <f t="shared" si="23"/>
        <v>0</v>
      </c>
    </row>
    <row r="41" spans="1:26" s="24" customFormat="1" hidden="1" outlineLevel="2" x14ac:dyDescent="0.3">
      <c r="A41" s="27"/>
      <c r="B41" s="11" t="str">
        <f>CONCATENATE("          ", "6010", " - ", "GRATUITY")</f>
        <v xml:space="preserve">          6010 - GRATUITY</v>
      </c>
      <c r="C41" s="11"/>
      <c r="D41" s="6"/>
      <c r="E41" s="2"/>
      <c r="F41" s="7">
        <f t="shared" si="16"/>
        <v>0</v>
      </c>
      <c r="G41" s="2"/>
      <c r="H41" s="6">
        <v>0</v>
      </c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1"/>
      <c r="P41" s="6"/>
      <c r="Q41" s="2"/>
      <c r="R41" s="7">
        <f t="shared" si="20"/>
        <v>0</v>
      </c>
      <c r="S41" s="2"/>
      <c r="T41" s="6">
        <v>0</v>
      </c>
      <c r="U41" s="2"/>
      <c r="V41" s="7">
        <f t="shared" si="21"/>
        <v>0</v>
      </c>
      <c r="W41" s="2"/>
      <c r="X41" s="6">
        <f t="shared" si="22"/>
        <v>0</v>
      </c>
      <c r="Y41" s="2"/>
      <c r="Z41" s="7">
        <f t="shared" si="23"/>
        <v>0</v>
      </c>
    </row>
    <row r="42" spans="1:26" s="29" customFormat="1" outlineLevel="1" collapsed="1" x14ac:dyDescent="0.3">
      <c r="A42" s="28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0</v>
      </c>
      <c r="E42" s="1"/>
      <c r="F42" s="5">
        <f t="shared" ref="F42:F50" si="24">IF(D$12=0,0,D42/D$12)</f>
        <v>0</v>
      </c>
      <c r="G42" s="1"/>
      <c r="H42" s="1">
        <f>SUM(OSRRefH22_2x_0)</f>
        <v>0</v>
      </c>
      <c r="I42" s="1"/>
      <c r="J42" s="5">
        <f t="shared" ref="J42:J50" si="25">IF(H$12=0,0,H42/H$12)</f>
        <v>0</v>
      </c>
      <c r="K42" s="1"/>
      <c r="L42" s="1">
        <f t="shared" ref="L42:L50" si="26">+D42-H42</f>
        <v>0</v>
      </c>
      <c r="M42" s="1"/>
      <c r="N42" s="5">
        <f t="shared" ref="N42:N50" si="27">IF(H42=0,0,L42/H42)</f>
        <v>0</v>
      </c>
      <c r="O42" s="14"/>
      <c r="P42" s="1">
        <f>SUM(OSRRefP22_2x_0)</f>
        <v>160</v>
      </c>
      <c r="Q42" s="1"/>
      <c r="R42" s="5">
        <f t="shared" ref="R42:R50" si="28">IF(P$12=0,0,P42/P$12)</f>
        <v>0</v>
      </c>
      <c r="S42" s="1"/>
      <c r="T42" s="1">
        <f>SUM(OSRRefT22_2x_0)</f>
        <v>0</v>
      </c>
      <c r="U42" s="1"/>
      <c r="V42" s="5">
        <f t="shared" ref="V42:V50" si="29">IF(T$12=0,0,T42/T$12)</f>
        <v>0</v>
      </c>
      <c r="W42" s="1"/>
      <c r="X42" s="1">
        <f t="shared" ref="X42:X50" si="30">+P42-T42</f>
        <v>160</v>
      </c>
      <c r="Y42" s="1"/>
      <c r="Z42" s="5">
        <f t="shared" ref="Z42:Z50" si="31">IF(T42=0,0,X42/T42)</f>
        <v>0</v>
      </c>
    </row>
    <row r="43" spans="1:26" s="24" customFormat="1" hidden="1" outlineLevel="2" x14ac:dyDescent="0.3">
      <c r="A43" s="27"/>
      <c r="B43" s="11" t="str">
        <f>CONCATENATE("          ", "6362", " - ", "ADVERTISING EXPENSE")</f>
        <v xml:space="preserve">          6362 - ADVERTISING EXPENSE</v>
      </c>
      <c r="C43" s="11"/>
      <c r="D43" s="6"/>
      <c r="E43" s="2"/>
      <c r="F43" s="7">
        <f t="shared" si="24"/>
        <v>0</v>
      </c>
      <c r="G43" s="2"/>
      <c r="H43" s="6"/>
      <c r="I43" s="2"/>
      <c r="J43" s="7">
        <f t="shared" si="25"/>
        <v>0</v>
      </c>
      <c r="K43" s="2"/>
      <c r="L43" s="6">
        <f t="shared" si="26"/>
        <v>0</v>
      </c>
      <c r="M43" s="2"/>
      <c r="N43" s="7">
        <f t="shared" si="27"/>
        <v>0</v>
      </c>
      <c r="O43" s="11"/>
      <c r="P43" s="6">
        <v>160</v>
      </c>
      <c r="Q43" s="2"/>
      <c r="R43" s="7">
        <f t="shared" si="28"/>
        <v>0</v>
      </c>
      <c r="S43" s="2"/>
      <c r="T43" s="6"/>
      <c r="U43" s="2"/>
      <c r="V43" s="7">
        <f t="shared" si="29"/>
        <v>0</v>
      </c>
      <c r="W43" s="2"/>
      <c r="X43" s="6">
        <f t="shared" si="30"/>
        <v>160</v>
      </c>
      <c r="Y43" s="2"/>
      <c r="Z43" s="7">
        <f t="shared" si="31"/>
        <v>0</v>
      </c>
    </row>
    <row r="44" spans="1:26" s="29" customFormat="1" outlineLevel="1" collapsed="1" x14ac:dyDescent="0.3">
      <c r="A44" s="28"/>
      <c r="B44" s="14" t="str">
        <f>CONCATENATE("     ","Bad Debts/Over/Short                              ")</f>
        <v xml:space="preserve">     Bad Debts/Over/Short                              </v>
      </c>
      <c r="C44" s="14"/>
      <c r="D44" s="1">
        <f>SUM(OSRRefD22_3x_0)</f>
        <v>-39.53</v>
      </c>
      <c r="E44" s="1"/>
      <c r="F44" s="5">
        <f t="shared" si="24"/>
        <v>0</v>
      </c>
      <c r="G44" s="1"/>
      <c r="H44" s="1">
        <f>SUM(OSRRefH22_3x_0)</f>
        <v>200</v>
      </c>
      <c r="I44" s="1"/>
      <c r="J44" s="5">
        <f t="shared" si="25"/>
        <v>0</v>
      </c>
      <c r="K44" s="1"/>
      <c r="L44" s="1">
        <f t="shared" si="26"/>
        <v>-239.53</v>
      </c>
      <c r="M44" s="1"/>
      <c r="N44" s="5">
        <f t="shared" si="27"/>
        <v>-1.1976500000000001</v>
      </c>
      <c r="O44" s="14"/>
      <c r="P44" s="1">
        <f>SUM(OSRRefP22_3x_0)</f>
        <v>190.21</v>
      </c>
      <c r="Q44" s="1"/>
      <c r="R44" s="5">
        <f t="shared" si="28"/>
        <v>0</v>
      </c>
      <c r="S44" s="1"/>
      <c r="T44" s="1">
        <f>SUM(OSRRefT22_3x_0)</f>
        <v>1000</v>
      </c>
      <c r="U44" s="1"/>
      <c r="V44" s="5">
        <f t="shared" si="29"/>
        <v>0</v>
      </c>
      <c r="W44" s="1"/>
      <c r="X44" s="1">
        <f t="shared" si="30"/>
        <v>-809.79</v>
      </c>
      <c r="Y44" s="1"/>
      <c r="Z44" s="5">
        <f t="shared" si="31"/>
        <v>-0.80979000000000001</v>
      </c>
    </row>
    <row r="45" spans="1:26" s="24" customFormat="1" hidden="1" outlineLevel="2" x14ac:dyDescent="0.3">
      <c r="A45" s="27"/>
      <c r="B45" s="11" t="str">
        <f>CONCATENATE("          ", "6272", " - ", "CASH (OVER/SHORT)")</f>
        <v xml:space="preserve">          6272 - CASH (OVER/SHORT)</v>
      </c>
      <c r="C45" s="11"/>
      <c r="D45" s="6">
        <v>-39.53</v>
      </c>
      <c r="E45" s="2"/>
      <c r="F45" s="7">
        <f t="shared" si="24"/>
        <v>0</v>
      </c>
      <c r="G45" s="2"/>
      <c r="H45" s="6">
        <v>200</v>
      </c>
      <c r="I45" s="2"/>
      <c r="J45" s="7">
        <f t="shared" si="25"/>
        <v>0</v>
      </c>
      <c r="K45" s="2"/>
      <c r="L45" s="6">
        <f t="shared" si="26"/>
        <v>-239.53</v>
      </c>
      <c r="M45" s="2"/>
      <c r="N45" s="7">
        <f t="shared" si="27"/>
        <v>-1.1976500000000001</v>
      </c>
      <c r="O45" s="11"/>
      <c r="P45" s="6">
        <v>190.21</v>
      </c>
      <c r="Q45" s="2"/>
      <c r="R45" s="7">
        <f t="shared" si="28"/>
        <v>0</v>
      </c>
      <c r="S45" s="2"/>
      <c r="T45" s="6">
        <v>1000</v>
      </c>
      <c r="U45" s="2"/>
      <c r="V45" s="7">
        <f t="shared" si="29"/>
        <v>0</v>
      </c>
      <c r="W45" s="2"/>
      <c r="X45" s="6">
        <f t="shared" si="30"/>
        <v>-809.79</v>
      </c>
      <c r="Y45" s="2"/>
      <c r="Z45" s="7">
        <f t="shared" si="31"/>
        <v>-0.80979000000000001</v>
      </c>
    </row>
    <row r="46" spans="1:26" s="29" customFormat="1" outlineLevel="1" collapsed="1" x14ac:dyDescent="0.3">
      <c r="A46" s="28"/>
      <c r="B46" s="14" t="str">
        <f>CONCATENATE("     ","Bank/card Fees                                    ")</f>
        <v xml:space="preserve">     Bank/card Fees                                    </v>
      </c>
      <c r="C46" s="14"/>
      <c r="D46" s="1">
        <f>SUM(OSRRefD22_4x_0)</f>
        <v>7325.16</v>
      </c>
      <c r="E46" s="1"/>
      <c r="F46" s="5">
        <f t="shared" si="24"/>
        <v>0</v>
      </c>
      <c r="G46" s="1"/>
      <c r="H46" s="1">
        <f>SUM(OSRRefH22_4x_0)</f>
        <v>5700</v>
      </c>
      <c r="I46" s="1"/>
      <c r="J46" s="5">
        <f t="shared" si="25"/>
        <v>0</v>
      </c>
      <c r="K46" s="1"/>
      <c r="L46" s="1">
        <f t="shared" si="26"/>
        <v>1625.1599999999999</v>
      </c>
      <c r="M46" s="1"/>
      <c r="N46" s="5">
        <f t="shared" si="27"/>
        <v>0.28511578947368421</v>
      </c>
      <c r="O46" s="14"/>
      <c r="P46" s="1">
        <f>SUM(OSRRefP22_4x_0)</f>
        <v>55732.71</v>
      </c>
      <c r="Q46" s="1"/>
      <c r="R46" s="5">
        <f t="shared" si="28"/>
        <v>0</v>
      </c>
      <c r="S46" s="1"/>
      <c r="T46" s="1">
        <f>SUM(OSRRefT22_4x_0)</f>
        <v>85600</v>
      </c>
      <c r="U46" s="1"/>
      <c r="V46" s="5">
        <f t="shared" si="29"/>
        <v>0</v>
      </c>
      <c r="W46" s="1"/>
      <c r="X46" s="1">
        <f t="shared" si="30"/>
        <v>-29867.29</v>
      </c>
      <c r="Y46" s="1"/>
      <c r="Z46" s="5">
        <f t="shared" si="31"/>
        <v>-0.34891693925233647</v>
      </c>
    </row>
    <row r="47" spans="1:26" s="24" customFormat="1" hidden="1" outlineLevel="2" x14ac:dyDescent="0.3">
      <c r="A47" s="27"/>
      <c r="B47" s="11" t="str">
        <f>CONCATENATE("          ", "6381", " - ", "BANK/CREDIT CARD FEES")</f>
        <v xml:space="preserve">          6381 - BANK/CREDIT CARD FEES</v>
      </c>
      <c r="C47" s="11"/>
      <c r="D47" s="6">
        <v>7325.16</v>
      </c>
      <c r="E47" s="2"/>
      <c r="F47" s="7">
        <f t="shared" si="24"/>
        <v>0</v>
      </c>
      <c r="G47" s="2"/>
      <c r="H47" s="6">
        <v>5700</v>
      </c>
      <c r="I47" s="2"/>
      <c r="J47" s="7">
        <f t="shared" si="25"/>
        <v>0</v>
      </c>
      <c r="K47" s="2"/>
      <c r="L47" s="6">
        <f t="shared" si="26"/>
        <v>1625.1599999999999</v>
      </c>
      <c r="M47" s="2"/>
      <c r="N47" s="7">
        <f t="shared" si="27"/>
        <v>0.28511578947368421</v>
      </c>
      <c r="O47" s="11"/>
      <c r="P47" s="6">
        <v>55732.71</v>
      </c>
      <c r="Q47" s="2"/>
      <c r="R47" s="7">
        <f t="shared" si="28"/>
        <v>0</v>
      </c>
      <c r="S47" s="2"/>
      <c r="T47" s="6">
        <v>85600</v>
      </c>
      <c r="U47" s="2"/>
      <c r="V47" s="7">
        <f t="shared" si="29"/>
        <v>0</v>
      </c>
      <c r="W47" s="2"/>
      <c r="X47" s="6">
        <f t="shared" si="30"/>
        <v>-29867.29</v>
      </c>
      <c r="Y47" s="2"/>
      <c r="Z47" s="7">
        <f t="shared" si="31"/>
        <v>-0.34891693925233647</v>
      </c>
    </row>
    <row r="48" spans="1:26" s="29" customFormat="1" outlineLevel="1" collapsed="1" x14ac:dyDescent="0.3">
      <c r="A48" s="28"/>
      <c r="B48" s="14" t="str">
        <f>CONCATENATE("     ","Depreciation                                      ")</f>
        <v xml:space="preserve">     Depreciation                                      </v>
      </c>
      <c r="C48" s="14"/>
      <c r="D48" s="1">
        <f>SUM(OSRRefD22_5x_0)</f>
        <v>30444.97</v>
      </c>
      <c r="E48" s="1"/>
      <c r="F48" s="5">
        <f t="shared" si="24"/>
        <v>0</v>
      </c>
      <c r="G48" s="1"/>
      <c r="H48" s="1">
        <f>SUM(OSRRefH22_5x_0)</f>
        <v>30324</v>
      </c>
      <c r="I48" s="1"/>
      <c r="J48" s="5">
        <f t="shared" si="25"/>
        <v>0</v>
      </c>
      <c r="K48" s="1"/>
      <c r="L48" s="1">
        <f t="shared" si="26"/>
        <v>120.97000000000116</v>
      </c>
      <c r="M48" s="1"/>
      <c r="N48" s="5">
        <f t="shared" si="27"/>
        <v>3.989249439387982E-3</v>
      </c>
      <c r="O48" s="14"/>
      <c r="P48" s="1">
        <f>SUM(OSRRefP22_5x_0)</f>
        <v>152542.35</v>
      </c>
      <c r="Q48" s="1"/>
      <c r="R48" s="5">
        <f t="shared" si="28"/>
        <v>0</v>
      </c>
      <c r="S48" s="1"/>
      <c r="T48" s="1">
        <f>SUM(OSRRefT22_5x_0)</f>
        <v>151937</v>
      </c>
      <c r="U48" s="1"/>
      <c r="V48" s="5">
        <f t="shared" si="29"/>
        <v>0</v>
      </c>
      <c r="W48" s="1"/>
      <c r="X48" s="1">
        <f t="shared" si="30"/>
        <v>605.35000000000582</v>
      </c>
      <c r="Y48" s="1"/>
      <c r="Z48" s="5">
        <f t="shared" si="31"/>
        <v>3.9842171426315237E-3</v>
      </c>
    </row>
    <row r="49" spans="1:26" s="24" customFormat="1" hidden="1" outlineLevel="2" x14ac:dyDescent="0.3">
      <c r="A49" s="27"/>
      <c r="B49" s="11" t="str">
        <f>CONCATENATE("          ", "6321", " - ", "BUILDING DEPRECIATION")</f>
        <v xml:space="preserve">          6321 - BUILDING DEPRECIATION</v>
      </c>
      <c r="C49" s="11"/>
      <c r="D49" s="6">
        <v>16396.52</v>
      </c>
      <c r="E49" s="2"/>
      <c r="F49" s="7">
        <f t="shared" si="24"/>
        <v>0</v>
      </c>
      <c r="G49" s="2"/>
      <c r="H49" s="6"/>
      <c r="I49" s="2"/>
      <c r="J49" s="7">
        <f t="shared" si="25"/>
        <v>0</v>
      </c>
      <c r="K49" s="2"/>
      <c r="L49" s="6">
        <f t="shared" si="26"/>
        <v>16396.52</v>
      </c>
      <c r="M49" s="2"/>
      <c r="N49" s="7">
        <f t="shared" si="27"/>
        <v>0</v>
      </c>
      <c r="O49" s="11"/>
      <c r="P49" s="6">
        <v>81982.600000000006</v>
      </c>
      <c r="Q49" s="2"/>
      <c r="R49" s="7">
        <f t="shared" si="28"/>
        <v>0</v>
      </c>
      <c r="S49" s="2"/>
      <c r="T49" s="6"/>
      <c r="U49" s="2"/>
      <c r="V49" s="7">
        <f t="shared" si="29"/>
        <v>0</v>
      </c>
      <c r="W49" s="2"/>
      <c r="X49" s="6">
        <f t="shared" si="30"/>
        <v>81982.600000000006</v>
      </c>
      <c r="Y49" s="2"/>
      <c r="Z49" s="7">
        <f t="shared" si="31"/>
        <v>0</v>
      </c>
    </row>
    <row r="50" spans="1:26" s="24" customFormat="1" hidden="1" outlineLevel="2" x14ac:dyDescent="0.3">
      <c r="A50" s="27"/>
      <c r="B50" s="11" t="str">
        <f>CONCATENATE("          ", "6322", " - ", "EQUIPMENT DEPRECIATION EXPENSE")</f>
        <v xml:space="preserve">          6322 - EQUIPMENT DEPRECIATION EXPENSE</v>
      </c>
      <c r="C50" s="11"/>
      <c r="D50" s="6">
        <v>14048.45</v>
      </c>
      <c r="E50" s="2"/>
      <c r="F50" s="7">
        <f t="shared" si="24"/>
        <v>0</v>
      </c>
      <c r="G50" s="2"/>
      <c r="H50" s="6">
        <v>30324</v>
      </c>
      <c r="I50" s="2"/>
      <c r="J50" s="7">
        <f t="shared" si="25"/>
        <v>0</v>
      </c>
      <c r="K50" s="2"/>
      <c r="L50" s="6">
        <f t="shared" si="26"/>
        <v>-16275.55</v>
      </c>
      <c r="M50" s="2"/>
      <c r="N50" s="7">
        <f t="shared" si="27"/>
        <v>-0.53672173855691863</v>
      </c>
      <c r="O50" s="11"/>
      <c r="P50" s="6">
        <v>70559.75</v>
      </c>
      <c r="Q50" s="2"/>
      <c r="R50" s="7">
        <f t="shared" si="28"/>
        <v>0</v>
      </c>
      <c r="S50" s="2"/>
      <c r="T50" s="6">
        <v>151937</v>
      </c>
      <c r="U50" s="2"/>
      <c r="V50" s="7">
        <f t="shared" si="29"/>
        <v>0</v>
      </c>
      <c r="W50" s="2"/>
      <c r="X50" s="6">
        <f t="shared" si="30"/>
        <v>-81377.25</v>
      </c>
      <c r="Y50" s="2"/>
      <c r="Z50" s="7">
        <f t="shared" si="31"/>
        <v>-0.53559863627687787</v>
      </c>
    </row>
    <row r="51" spans="1:26" s="29" customFormat="1" outlineLevel="1" collapsed="1" x14ac:dyDescent="0.3">
      <c r="A51" s="28"/>
      <c r="B51" s="14" t="str">
        <f>CONCATENATE("     ","Discounts and Markdowns                           ")</f>
        <v xml:space="preserve">     Discounts and Markdowns                           </v>
      </c>
      <c r="C51" s="14"/>
      <c r="D51" s="1">
        <f>SUM(OSRRefD22_6x_0)</f>
        <v>3407.68</v>
      </c>
      <c r="E51" s="1"/>
      <c r="F51" s="5">
        <f t="shared" ref="F51:F53" si="32">IF(D$12=0,0,D51/D$12)</f>
        <v>0</v>
      </c>
      <c r="G51" s="1"/>
      <c r="H51" s="1">
        <f>SUM(OSRRefH22_6x_0)</f>
        <v>0</v>
      </c>
      <c r="I51" s="1"/>
      <c r="J51" s="5">
        <f t="shared" ref="J51:J53" si="33">IF(H$12=0,0,H51/H$12)</f>
        <v>0</v>
      </c>
      <c r="K51" s="1"/>
      <c r="L51" s="1">
        <f t="shared" ref="L51:L53" si="34">+D51-H51</f>
        <v>3407.68</v>
      </c>
      <c r="M51" s="1"/>
      <c r="N51" s="5">
        <f t="shared" ref="N51:N53" si="35">IF(H51=0,0,L51/H51)</f>
        <v>0</v>
      </c>
      <c r="O51" s="14"/>
      <c r="P51" s="1">
        <f>SUM(OSRRefP22_6x_0)</f>
        <v>3384.98</v>
      </c>
      <c r="Q51" s="1"/>
      <c r="R51" s="5">
        <f t="shared" ref="R51:R53" si="36">IF(P$12=0,0,P51/P$12)</f>
        <v>0</v>
      </c>
      <c r="S51" s="1"/>
      <c r="T51" s="1">
        <f>SUM(OSRRefT22_6x_0)</f>
        <v>0</v>
      </c>
      <c r="U51" s="1"/>
      <c r="V51" s="5">
        <f t="shared" ref="V51:V53" si="37">IF(T$12=0,0,T51/T$12)</f>
        <v>0</v>
      </c>
      <c r="W51" s="1"/>
      <c r="X51" s="1">
        <f t="shared" ref="X51:X53" si="38">+P51-T51</f>
        <v>3384.98</v>
      </c>
      <c r="Y51" s="1"/>
      <c r="Z51" s="5">
        <f t="shared" ref="Z51:Z53" si="39">IF(T51=0,0,X51/T51)</f>
        <v>0</v>
      </c>
    </row>
    <row r="52" spans="1:26" s="24" customFormat="1" hidden="1" outlineLevel="2" x14ac:dyDescent="0.3">
      <c r="A52" s="27"/>
      <c r="B52" s="11" t="str">
        <f>CONCATENATE("          ", "6382", " - ", "DISCOUNTS/MARK DOWNS")</f>
        <v xml:space="preserve">          6382 - DISCOUNTS/MARK DOWNS</v>
      </c>
      <c r="C52" s="11"/>
      <c r="D52" s="6">
        <v>3410</v>
      </c>
      <c r="E52" s="2"/>
      <c r="F52" s="7">
        <f t="shared" si="32"/>
        <v>0</v>
      </c>
      <c r="G52" s="2"/>
      <c r="H52" s="6"/>
      <c r="I52" s="2"/>
      <c r="J52" s="7">
        <f t="shared" si="33"/>
        <v>0</v>
      </c>
      <c r="K52" s="2"/>
      <c r="L52" s="6">
        <f t="shared" si="34"/>
        <v>3410</v>
      </c>
      <c r="M52" s="2"/>
      <c r="N52" s="7">
        <f t="shared" si="35"/>
        <v>0</v>
      </c>
      <c r="O52" s="11"/>
      <c r="P52" s="6">
        <v>3410</v>
      </c>
      <c r="Q52" s="2"/>
      <c r="R52" s="7">
        <f t="shared" si="36"/>
        <v>0</v>
      </c>
      <c r="S52" s="2"/>
      <c r="T52" s="6"/>
      <c r="U52" s="2"/>
      <c r="V52" s="7">
        <f t="shared" si="37"/>
        <v>0</v>
      </c>
      <c r="W52" s="2"/>
      <c r="X52" s="6">
        <f t="shared" si="38"/>
        <v>3410</v>
      </c>
      <c r="Y52" s="2"/>
      <c r="Z52" s="7">
        <f t="shared" si="39"/>
        <v>0</v>
      </c>
    </row>
    <row r="53" spans="1:26" s="24" customFormat="1" hidden="1" outlineLevel="2" x14ac:dyDescent="0.3">
      <c r="A53" s="27"/>
      <c r="B53" s="11" t="str">
        <f>CONCATENATE("          ", "9175", " - ", "EARNED DISCOUNTS")</f>
        <v xml:space="preserve">          9175 - EARNED DISCOUNTS</v>
      </c>
      <c r="C53" s="11"/>
      <c r="D53" s="6">
        <v>-2.3199999999999998</v>
      </c>
      <c r="E53" s="2"/>
      <c r="F53" s="7">
        <f t="shared" si="32"/>
        <v>0</v>
      </c>
      <c r="G53" s="2"/>
      <c r="H53" s="6"/>
      <c r="I53" s="2"/>
      <c r="J53" s="7">
        <f t="shared" si="33"/>
        <v>0</v>
      </c>
      <c r="K53" s="2"/>
      <c r="L53" s="6">
        <f t="shared" si="34"/>
        <v>-2.3199999999999998</v>
      </c>
      <c r="M53" s="2"/>
      <c r="N53" s="7">
        <f t="shared" si="35"/>
        <v>0</v>
      </c>
      <c r="O53" s="11"/>
      <c r="P53" s="6">
        <v>-25.02</v>
      </c>
      <c r="Q53" s="2"/>
      <c r="R53" s="7">
        <f t="shared" si="36"/>
        <v>0</v>
      </c>
      <c r="S53" s="2"/>
      <c r="T53" s="6"/>
      <c r="U53" s="2"/>
      <c r="V53" s="7">
        <f t="shared" si="37"/>
        <v>0</v>
      </c>
      <c r="W53" s="2"/>
      <c r="X53" s="6">
        <f t="shared" si="38"/>
        <v>-25.02</v>
      </c>
      <c r="Y53" s="2"/>
      <c r="Z53" s="7">
        <f t="shared" si="39"/>
        <v>0</v>
      </c>
    </row>
    <row r="54" spans="1:26" s="29" customFormat="1" outlineLevel="1" collapsed="1" x14ac:dyDescent="0.3">
      <c r="A54" s="28"/>
      <c r="B54" s="14" t="str">
        <f>CONCATENATE("     ","Donations                                         ")</f>
        <v xml:space="preserve">     Donations                                         </v>
      </c>
      <c r="C54" s="14"/>
      <c r="D54" s="1">
        <f>SUM(OSRRefD22_7x_0)</f>
        <v>1336.74</v>
      </c>
      <c r="E54" s="1"/>
      <c r="F54" s="5">
        <f t="shared" ref="F54:F74" si="40">IF(D$12=0,0,D54/D$12)</f>
        <v>0</v>
      </c>
      <c r="G54" s="1"/>
      <c r="H54" s="1">
        <f>SUM(OSRRefH22_7x_0)</f>
        <v>1250</v>
      </c>
      <c r="I54" s="1"/>
      <c r="J54" s="5">
        <f t="shared" ref="J54:J74" si="41">IF(H$12=0,0,H54/H$12)</f>
        <v>0</v>
      </c>
      <c r="K54" s="1"/>
      <c r="L54" s="1">
        <f t="shared" ref="L54:L74" si="42">+D54-H54</f>
        <v>86.740000000000009</v>
      </c>
      <c r="M54" s="1"/>
      <c r="N54" s="5">
        <f t="shared" ref="N54:N74" si="43">IF(H54=0,0,L54/H54)</f>
        <v>6.9392000000000009E-2</v>
      </c>
      <c r="O54" s="14"/>
      <c r="P54" s="1">
        <f>SUM(OSRRefP22_7x_0)</f>
        <v>2820.22</v>
      </c>
      <c r="Q54" s="1"/>
      <c r="R54" s="5">
        <f t="shared" ref="R54:R74" si="44">IF(P$12=0,0,P54/P$12)</f>
        <v>0</v>
      </c>
      <c r="S54" s="1"/>
      <c r="T54" s="1">
        <f>SUM(OSRRefT22_7x_0)</f>
        <v>6250</v>
      </c>
      <c r="U54" s="1"/>
      <c r="V54" s="5">
        <f t="shared" ref="V54:V74" si="45">IF(T$12=0,0,T54/T$12)</f>
        <v>0</v>
      </c>
      <c r="W54" s="1"/>
      <c r="X54" s="1">
        <f t="shared" ref="X54:X74" si="46">+P54-T54</f>
        <v>-3429.78</v>
      </c>
      <c r="Y54" s="1"/>
      <c r="Z54" s="5">
        <f t="shared" ref="Z54:Z74" si="47">IF(T54=0,0,X54/T54)</f>
        <v>-0.54876480000000005</v>
      </c>
    </row>
    <row r="55" spans="1:26" s="24" customFormat="1" hidden="1" outlineLevel="2" x14ac:dyDescent="0.3">
      <c r="A55" s="27"/>
      <c r="B55" s="11" t="str">
        <f>CONCATENATE("          ", "6399", " - ", "DONATION-ON CAMPUS")</f>
        <v xml:space="preserve">          6399 - DONATION-ON CAMPUS</v>
      </c>
      <c r="C55" s="11"/>
      <c r="D55" s="6">
        <v>1336.74</v>
      </c>
      <c r="E55" s="2"/>
      <c r="F55" s="7">
        <f t="shared" si="40"/>
        <v>0</v>
      </c>
      <c r="G55" s="2"/>
      <c r="H55" s="6">
        <v>1250</v>
      </c>
      <c r="I55" s="2"/>
      <c r="J55" s="7">
        <f t="shared" si="41"/>
        <v>0</v>
      </c>
      <c r="K55" s="2"/>
      <c r="L55" s="6">
        <f t="shared" si="42"/>
        <v>86.740000000000009</v>
      </c>
      <c r="M55" s="2"/>
      <c r="N55" s="7">
        <f t="shared" si="43"/>
        <v>6.9392000000000009E-2</v>
      </c>
      <c r="O55" s="11"/>
      <c r="P55" s="6">
        <v>2820.22</v>
      </c>
      <c r="Q55" s="2"/>
      <c r="R55" s="7">
        <f t="shared" si="44"/>
        <v>0</v>
      </c>
      <c r="S55" s="2"/>
      <c r="T55" s="6">
        <v>6250</v>
      </c>
      <c r="U55" s="2"/>
      <c r="V55" s="7">
        <f t="shared" si="45"/>
        <v>0</v>
      </c>
      <c r="W55" s="2"/>
      <c r="X55" s="6">
        <f t="shared" si="46"/>
        <v>-3429.78</v>
      </c>
      <c r="Y55" s="2"/>
      <c r="Z55" s="7">
        <f t="shared" si="47"/>
        <v>-0.54876480000000005</v>
      </c>
    </row>
    <row r="56" spans="1:26" s="29" customFormat="1" outlineLevel="1" collapsed="1" x14ac:dyDescent="0.3">
      <c r="A56" s="28"/>
      <c r="B56" s="14" t="str">
        <f>CONCATENATE("     ","Employees' Appreciation                           ")</f>
        <v xml:space="preserve">     Employees' Appreciation                           </v>
      </c>
      <c r="C56" s="14"/>
      <c r="D56" s="1">
        <f>SUM(OSRRefD22_8x_0)</f>
        <v>490.02</v>
      </c>
      <c r="E56" s="1"/>
      <c r="F56" s="5">
        <f t="shared" si="40"/>
        <v>0</v>
      </c>
      <c r="G56" s="1"/>
      <c r="H56" s="1">
        <f>SUM(OSRRefH22_8x_0)</f>
        <v>100</v>
      </c>
      <c r="I56" s="1"/>
      <c r="J56" s="5">
        <f t="shared" si="41"/>
        <v>0</v>
      </c>
      <c r="K56" s="1"/>
      <c r="L56" s="1">
        <f t="shared" si="42"/>
        <v>390.02</v>
      </c>
      <c r="M56" s="1"/>
      <c r="N56" s="5">
        <f t="shared" si="43"/>
        <v>3.9001999999999999</v>
      </c>
      <c r="O56" s="14"/>
      <c r="P56" s="1">
        <f>SUM(OSRRefP22_8x_0)</f>
        <v>1658.21</v>
      </c>
      <c r="Q56" s="1"/>
      <c r="R56" s="5">
        <f t="shared" si="44"/>
        <v>0</v>
      </c>
      <c r="S56" s="1"/>
      <c r="T56" s="1">
        <f>SUM(OSRRefT22_8x_0)</f>
        <v>500</v>
      </c>
      <c r="U56" s="1"/>
      <c r="V56" s="5">
        <f t="shared" si="45"/>
        <v>0</v>
      </c>
      <c r="W56" s="1"/>
      <c r="X56" s="1">
        <f t="shared" si="46"/>
        <v>1158.21</v>
      </c>
      <c r="Y56" s="1"/>
      <c r="Z56" s="5">
        <f t="shared" si="47"/>
        <v>2.3164199999999999</v>
      </c>
    </row>
    <row r="57" spans="1:26" s="24" customFormat="1" hidden="1" outlineLevel="2" x14ac:dyDescent="0.3">
      <c r="A57" s="27"/>
      <c r="B57" s="11" t="str">
        <f>CONCATENATE("          ", "6277", " - ", "EMPLOYEE APPRECIATION")</f>
        <v xml:space="preserve">          6277 - EMPLOYEE APPRECIATION</v>
      </c>
      <c r="C57" s="11"/>
      <c r="D57" s="6">
        <v>490.02</v>
      </c>
      <c r="E57" s="2"/>
      <c r="F57" s="7">
        <f t="shared" si="40"/>
        <v>0</v>
      </c>
      <c r="G57" s="2"/>
      <c r="H57" s="6">
        <v>100</v>
      </c>
      <c r="I57" s="2"/>
      <c r="J57" s="7">
        <f t="shared" si="41"/>
        <v>0</v>
      </c>
      <c r="K57" s="2"/>
      <c r="L57" s="6">
        <f t="shared" si="42"/>
        <v>390.02</v>
      </c>
      <c r="M57" s="2"/>
      <c r="N57" s="7">
        <f t="shared" si="43"/>
        <v>3.9001999999999999</v>
      </c>
      <c r="O57" s="11"/>
      <c r="P57" s="6">
        <v>1658.21</v>
      </c>
      <c r="Q57" s="2"/>
      <c r="R57" s="7">
        <f t="shared" si="44"/>
        <v>0</v>
      </c>
      <c r="S57" s="2"/>
      <c r="T57" s="6">
        <v>500</v>
      </c>
      <c r="U57" s="2"/>
      <c r="V57" s="7">
        <f t="shared" si="45"/>
        <v>0</v>
      </c>
      <c r="W57" s="2"/>
      <c r="X57" s="6">
        <f t="shared" si="46"/>
        <v>1158.21</v>
      </c>
      <c r="Y57" s="2"/>
      <c r="Z57" s="7">
        <f t="shared" si="47"/>
        <v>2.3164199999999999</v>
      </c>
    </row>
    <row r="58" spans="1:26" s="29" customFormat="1" outlineLevel="1" collapsed="1" x14ac:dyDescent="0.3">
      <c r="A58" s="28"/>
      <c r="B58" s="14" t="str">
        <f>CONCATENATE("     ","Equipment Rental                                  ")</f>
        <v xml:space="preserve">     Equipment Rental                                  </v>
      </c>
      <c r="C58" s="14"/>
      <c r="D58" s="1">
        <f>SUM(OSRRefD22_9x_0)</f>
        <v>415.15</v>
      </c>
      <c r="E58" s="1"/>
      <c r="F58" s="5">
        <f t="shared" si="40"/>
        <v>0</v>
      </c>
      <c r="G58" s="1"/>
      <c r="H58" s="1">
        <f>SUM(OSRRefH22_9x_0)</f>
        <v>300</v>
      </c>
      <c r="I58" s="1"/>
      <c r="J58" s="5">
        <f t="shared" si="41"/>
        <v>0</v>
      </c>
      <c r="K58" s="1"/>
      <c r="L58" s="1">
        <f t="shared" si="42"/>
        <v>115.14999999999998</v>
      </c>
      <c r="M58" s="1"/>
      <c r="N58" s="5">
        <f t="shared" si="43"/>
        <v>0.38383333333333325</v>
      </c>
      <c r="O58" s="14"/>
      <c r="P58" s="1">
        <f>SUM(OSRRefP22_9x_0)</f>
        <v>1838.95</v>
      </c>
      <c r="Q58" s="1"/>
      <c r="R58" s="5">
        <f t="shared" si="44"/>
        <v>0</v>
      </c>
      <c r="S58" s="1"/>
      <c r="T58" s="1">
        <f>SUM(OSRRefT22_9x_0)</f>
        <v>1500</v>
      </c>
      <c r="U58" s="1"/>
      <c r="V58" s="5">
        <f t="shared" si="45"/>
        <v>0</v>
      </c>
      <c r="W58" s="1"/>
      <c r="X58" s="1">
        <f t="shared" si="46"/>
        <v>338.95000000000005</v>
      </c>
      <c r="Y58" s="1"/>
      <c r="Z58" s="5">
        <f t="shared" si="47"/>
        <v>0.2259666666666667</v>
      </c>
    </row>
    <row r="59" spans="1:26" s="24" customFormat="1" hidden="1" outlineLevel="2" x14ac:dyDescent="0.3">
      <c r="A59" s="27"/>
      <c r="B59" s="11" t="str">
        <f>CONCATENATE("          ", "6351", " - ", "EQUIPMENT RENTAL")</f>
        <v xml:space="preserve">          6351 - EQUIPMENT RENTAL</v>
      </c>
      <c r="C59" s="11"/>
      <c r="D59" s="6">
        <v>415.15</v>
      </c>
      <c r="E59" s="2"/>
      <c r="F59" s="7">
        <f t="shared" si="40"/>
        <v>0</v>
      </c>
      <c r="G59" s="2"/>
      <c r="H59" s="6">
        <v>300</v>
      </c>
      <c r="I59" s="2"/>
      <c r="J59" s="7">
        <f t="shared" si="41"/>
        <v>0</v>
      </c>
      <c r="K59" s="2"/>
      <c r="L59" s="6">
        <f t="shared" si="42"/>
        <v>115.14999999999998</v>
      </c>
      <c r="M59" s="2"/>
      <c r="N59" s="7">
        <f t="shared" si="43"/>
        <v>0.38383333333333325</v>
      </c>
      <c r="O59" s="11"/>
      <c r="P59" s="6">
        <v>1838.95</v>
      </c>
      <c r="Q59" s="2"/>
      <c r="R59" s="7">
        <f t="shared" si="44"/>
        <v>0</v>
      </c>
      <c r="S59" s="2"/>
      <c r="T59" s="6">
        <v>1500</v>
      </c>
      <c r="U59" s="2"/>
      <c r="V59" s="7">
        <f t="shared" si="45"/>
        <v>0</v>
      </c>
      <c r="W59" s="2"/>
      <c r="X59" s="6">
        <f t="shared" si="46"/>
        <v>338.95000000000005</v>
      </c>
      <c r="Y59" s="2"/>
      <c r="Z59" s="7">
        <f t="shared" si="47"/>
        <v>0.2259666666666667</v>
      </c>
    </row>
    <row r="60" spans="1:26" s="29" customFormat="1" outlineLevel="1" collapsed="1" x14ac:dyDescent="0.3">
      <c r="A60" s="28"/>
      <c r="B60" s="14" t="str">
        <f>CONCATENATE("     ","Freight out/Postage                               ")</f>
        <v xml:space="preserve">     Freight out/Postage                               </v>
      </c>
      <c r="C60" s="14"/>
      <c r="D60" s="1">
        <f>SUM(OSRRefD22_10x_0)</f>
        <v>7326.06</v>
      </c>
      <c r="E60" s="1"/>
      <c r="F60" s="5">
        <f t="shared" si="40"/>
        <v>0</v>
      </c>
      <c r="G60" s="1"/>
      <c r="H60" s="1">
        <f>SUM(OSRRefH22_10x_0)</f>
        <v>100</v>
      </c>
      <c r="I60" s="1"/>
      <c r="J60" s="5">
        <f t="shared" si="41"/>
        <v>0</v>
      </c>
      <c r="K60" s="1"/>
      <c r="L60" s="1">
        <f t="shared" si="42"/>
        <v>7226.06</v>
      </c>
      <c r="M60" s="1"/>
      <c r="N60" s="5">
        <f t="shared" si="43"/>
        <v>72.260600000000011</v>
      </c>
      <c r="O60" s="14"/>
      <c r="P60" s="1">
        <f>SUM(OSRRefP22_10x_0)</f>
        <v>9490.2900000000009</v>
      </c>
      <c r="Q60" s="1"/>
      <c r="R60" s="5">
        <f t="shared" si="44"/>
        <v>0</v>
      </c>
      <c r="S60" s="1"/>
      <c r="T60" s="1">
        <f>SUM(OSRRefT22_10x_0)</f>
        <v>500</v>
      </c>
      <c r="U60" s="1"/>
      <c r="V60" s="5">
        <f t="shared" si="45"/>
        <v>0</v>
      </c>
      <c r="W60" s="1"/>
      <c r="X60" s="1">
        <f t="shared" si="46"/>
        <v>8990.2900000000009</v>
      </c>
      <c r="Y60" s="1"/>
      <c r="Z60" s="5">
        <f t="shared" si="47"/>
        <v>17.980580000000003</v>
      </c>
    </row>
    <row r="61" spans="1:26" s="24" customFormat="1" hidden="1" outlineLevel="2" x14ac:dyDescent="0.3">
      <c r="A61" s="27"/>
      <c r="B61" s="11" t="str">
        <f>CONCATENATE("          ", "6307", " - ", "POSTAGE")</f>
        <v xml:space="preserve">          6307 - POSTAGE</v>
      </c>
      <c r="C61" s="11"/>
      <c r="D61" s="6">
        <v>7326.06</v>
      </c>
      <c r="E61" s="2"/>
      <c r="F61" s="7">
        <f t="shared" si="40"/>
        <v>0</v>
      </c>
      <c r="G61" s="2"/>
      <c r="H61" s="6">
        <v>100</v>
      </c>
      <c r="I61" s="2"/>
      <c r="J61" s="7">
        <f t="shared" si="41"/>
        <v>0</v>
      </c>
      <c r="K61" s="2"/>
      <c r="L61" s="6">
        <f t="shared" si="42"/>
        <v>7226.06</v>
      </c>
      <c r="M61" s="2"/>
      <c r="N61" s="7">
        <f t="shared" si="43"/>
        <v>72.260600000000011</v>
      </c>
      <c r="O61" s="11"/>
      <c r="P61" s="6">
        <v>9490.2900000000009</v>
      </c>
      <c r="Q61" s="2"/>
      <c r="R61" s="7">
        <f t="shared" si="44"/>
        <v>0</v>
      </c>
      <c r="S61" s="2"/>
      <c r="T61" s="6">
        <v>500</v>
      </c>
      <c r="U61" s="2"/>
      <c r="V61" s="7">
        <f t="shared" si="45"/>
        <v>0</v>
      </c>
      <c r="W61" s="2"/>
      <c r="X61" s="6">
        <f t="shared" si="46"/>
        <v>8990.2900000000009</v>
      </c>
      <c r="Y61" s="2"/>
      <c r="Z61" s="7">
        <f t="shared" si="47"/>
        <v>17.980580000000003</v>
      </c>
    </row>
    <row r="62" spans="1:26" s="29" customFormat="1" outlineLevel="1" collapsed="1" x14ac:dyDescent="0.3">
      <c r="A62" s="28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SUM(OSRRefD22_11x_0)</f>
        <v>0</v>
      </c>
      <c r="E62" s="1"/>
      <c r="F62" s="5">
        <f t="shared" si="40"/>
        <v>0</v>
      </c>
      <c r="G62" s="1"/>
      <c r="H62" s="1">
        <f>SUM(OSRRefH22_11x_0)</f>
        <v>200</v>
      </c>
      <c r="I62" s="1"/>
      <c r="J62" s="5">
        <f t="shared" si="41"/>
        <v>0</v>
      </c>
      <c r="K62" s="1"/>
      <c r="L62" s="1">
        <f t="shared" si="42"/>
        <v>-200</v>
      </c>
      <c r="M62" s="1"/>
      <c r="N62" s="5">
        <f t="shared" si="43"/>
        <v>-1</v>
      </c>
      <c r="O62" s="14"/>
      <c r="P62" s="1">
        <f>SUM(OSRRefP22_11x_0)</f>
        <v>1874.75</v>
      </c>
      <c r="Q62" s="1"/>
      <c r="R62" s="5">
        <f t="shared" si="44"/>
        <v>0</v>
      </c>
      <c r="S62" s="1"/>
      <c r="T62" s="1">
        <f>SUM(OSRRefT22_11x_0)</f>
        <v>1000</v>
      </c>
      <c r="U62" s="1"/>
      <c r="V62" s="5">
        <f t="shared" si="45"/>
        <v>0</v>
      </c>
      <c r="W62" s="1"/>
      <c r="X62" s="1">
        <f t="shared" si="46"/>
        <v>874.75</v>
      </c>
      <c r="Y62" s="1"/>
      <c r="Z62" s="5">
        <f t="shared" si="47"/>
        <v>0.87475000000000003</v>
      </c>
    </row>
    <row r="63" spans="1:26" s="24" customFormat="1" hidden="1" outlineLevel="2" x14ac:dyDescent="0.3">
      <c r="A63" s="27"/>
      <c r="B63" s="11" t="str">
        <f>CONCATENATE("          ", "6279", " - ", "GENERAL EXPENSE")</f>
        <v xml:space="preserve">          6279 - GENERAL EXPENSE</v>
      </c>
      <c r="C63" s="11"/>
      <c r="D63" s="6"/>
      <c r="E63" s="2"/>
      <c r="F63" s="7">
        <f t="shared" si="40"/>
        <v>0</v>
      </c>
      <c r="G63" s="2"/>
      <c r="H63" s="6">
        <v>200</v>
      </c>
      <c r="I63" s="2"/>
      <c r="J63" s="7">
        <f t="shared" si="41"/>
        <v>0</v>
      </c>
      <c r="K63" s="2"/>
      <c r="L63" s="6">
        <f t="shared" si="42"/>
        <v>-200</v>
      </c>
      <c r="M63" s="2"/>
      <c r="N63" s="7">
        <f t="shared" si="43"/>
        <v>-1</v>
      </c>
      <c r="O63" s="11"/>
      <c r="P63" s="6">
        <v>1874.75</v>
      </c>
      <c r="Q63" s="2"/>
      <c r="R63" s="7">
        <f t="shared" si="44"/>
        <v>0</v>
      </c>
      <c r="S63" s="2"/>
      <c r="T63" s="6">
        <v>1000</v>
      </c>
      <c r="U63" s="2"/>
      <c r="V63" s="7">
        <f t="shared" si="45"/>
        <v>0</v>
      </c>
      <c r="W63" s="2"/>
      <c r="X63" s="6">
        <f t="shared" si="46"/>
        <v>874.75</v>
      </c>
      <c r="Y63" s="2"/>
      <c r="Z63" s="7">
        <f t="shared" si="47"/>
        <v>0.87475000000000003</v>
      </c>
    </row>
    <row r="64" spans="1:26" s="29" customFormat="1" outlineLevel="1" collapsed="1" x14ac:dyDescent="0.3">
      <c r="A64" s="28"/>
      <c r="B64" s="14" t="str">
        <f>CONCATENATE("     ","Insurance                                         ")</f>
        <v xml:space="preserve">     Insurance                                         </v>
      </c>
      <c r="C64" s="14"/>
      <c r="D64" s="1">
        <f>SUM(OSRRefD22_12x_0)</f>
        <v>5275.49</v>
      </c>
      <c r="E64" s="1"/>
      <c r="F64" s="5">
        <f t="shared" si="40"/>
        <v>0</v>
      </c>
      <c r="G64" s="1"/>
      <c r="H64" s="1">
        <f>SUM(OSRRefH22_12x_0)</f>
        <v>5200</v>
      </c>
      <c r="I64" s="1"/>
      <c r="J64" s="5">
        <f t="shared" si="41"/>
        <v>0</v>
      </c>
      <c r="K64" s="1"/>
      <c r="L64" s="1">
        <f t="shared" si="42"/>
        <v>75.489999999999782</v>
      </c>
      <c r="M64" s="1"/>
      <c r="N64" s="5">
        <f t="shared" si="43"/>
        <v>1.4517307692307651E-2</v>
      </c>
      <c r="O64" s="14"/>
      <c r="P64" s="1">
        <f>SUM(OSRRefP22_12x_0)</f>
        <v>26377.45</v>
      </c>
      <c r="Q64" s="1"/>
      <c r="R64" s="5">
        <f t="shared" si="44"/>
        <v>0</v>
      </c>
      <c r="S64" s="1"/>
      <c r="T64" s="1">
        <f>SUM(OSRRefT22_12x_0)</f>
        <v>26000</v>
      </c>
      <c r="U64" s="1"/>
      <c r="V64" s="5">
        <f t="shared" si="45"/>
        <v>0</v>
      </c>
      <c r="W64" s="1"/>
      <c r="X64" s="1">
        <f t="shared" si="46"/>
        <v>377.45000000000073</v>
      </c>
      <c r="Y64" s="1"/>
      <c r="Z64" s="5">
        <f t="shared" si="47"/>
        <v>1.451730769230772E-2</v>
      </c>
    </row>
    <row r="65" spans="1:26" s="24" customFormat="1" hidden="1" outlineLevel="2" x14ac:dyDescent="0.3">
      <c r="A65" s="27"/>
      <c r="B65" s="11" t="str">
        <f>CONCATENATE("          ", "6314", " - ", "LIABILITY INSURANCE")</f>
        <v xml:space="preserve">          6314 - LIABILITY INSURANCE</v>
      </c>
      <c r="C65" s="11"/>
      <c r="D65" s="6">
        <v>5275.49</v>
      </c>
      <c r="E65" s="2"/>
      <c r="F65" s="7">
        <f t="shared" si="40"/>
        <v>0</v>
      </c>
      <c r="G65" s="2"/>
      <c r="H65" s="6">
        <v>5200</v>
      </c>
      <c r="I65" s="2"/>
      <c r="J65" s="7">
        <f t="shared" si="41"/>
        <v>0</v>
      </c>
      <c r="K65" s="2"/>
      <c r="L65" s="6">
        <f t="shared" si="42"/>
        <v>75.489999999999782</v>
      </c>
      <c r="M65" s="2"/>
      <c r="N65" s="7">
        <f t="shared" si="43"/>
        <v>1.4517307692307651E-2</v>
      </c>
      <c r="O65" s="11"/>
      <c r="P65" s="6">
        <v>26377.45</v>
      </c>
      <c r="Q65" s="2"/>
      <c r="R65" s="7">
        <f t="shared" si="44"/>
        <v>0</v>
      </c>
      <c r="S65" s="2"/>
      <c r="T65" s="6">
        <v>26000</v>
      </c>
      <c r="U65" s="2"/>
      <c r="V65" s="7">
        <f t="shared" si="45"/>
        <v>0</v>
      </c>
      <c r="W65" s="2"/>
      <c r="X65" s="6">
        <f t="shared" si="46"/>
        <v>377.45000000000073</v>
      </c>
      <c r="Y65" s="2"/>
      <c r="Z65" s="7">
        <f t="shared" si="47"/>
        <v>1.451730769230772E-2</v>
      </c>
    </row>
    <row r="66" spans="1:26" s="29" customFormat="1" outlineLevel="1" collapsed="1" x14ac:dyDescent="0.3">
      <c r="A66" s="28"/>
      <c r="B66" s="14" t="str">
        <f>CONCATENATE("     ","Professional Services                             ")</f>
        <v xml:space="preserve">     Professional Services                             </v>
      </c>
      <c r="C66" s="14"/>
      <c r="D66" s="1">
        <f>SUM(OSRRefD22_13x_0)</f>
        <v>0</v>
      </c>
      <c r="E66" s="1"/>
      <c r="F66" s="5">
        <f t="shared" si="40"/>
        <v>0</v>
      </c>
      <c r="G66" s="1"/>
      <c r="H66" s="1">
        <f>SUM(OSRRefH22_13x_0)</f>
        <v>0</v>
      </c>
      <c r="I66" s="1"/>
      <c r="J66" s="5">
        <f t="shared" si="41"/>
        <v>0</v>
      </c>
      <c r="K66" s="1"/>
      <c r="L66" s="1">
        <f t="shared" si="42"/>
        <v>0</v>
      </c>
      <c r="M66" s="1"/>
      <c r="N66" s="5">
        <f t="shared" si="43"/>
        <v>0</v>
      </c>
      <c r="O66" s="14"/>
      <c r="P66" s="1">
        <f>SUM(OSRRefP22_13x_0)</f>
        <v>7517.43</v>
      </c>
      <c r="Q66" s="1"/>
      <c r="R66" s="5">
        <f t="shared" si="44"/>
        <v>0</v>
      </c>
      <c r="S66" s="1"/>
      <c r="T66" s="1">
        <f>SUM(OSRRefT22_13x_0)</f>
        <v>0</v>
      </c>
      <c r="U66" s="1"/>
      <c r="V66" s="5">
        <f t="shared" si="45"/>
        <v>0</v>
      </c>
      <c r="W66" s="1"/>
      <c r="X66" s="1">
        <f t="shared" si="46"/>
        <v>7517.43</v>
      </c>
      <c r="Y66" s="1"/>
      <c r="Z66" s="5">
        <f t="shared" si="47"/>
        <v>0</v>
      </c>
    </row>
    <row r="67" spans="1:26" s="24" customFormat="1" hidden="1" outlineLevel="2" x14ac:dyDescent="0.3">
      <c r="A67" s="27"/>
      <c r="B67" s="11" t="str">
        <f>CONCATENATE("          ", "6336", " - ", "PROFESSIONAL SERVICES")</f>
        <v xml:space="preserve">          6336 - PROFESSIONAL SERVICES</v>
      </c>
      <c r="C67" s="11"/>
      <c r="D67" s="6"/>
      <c r="E67" s="2"/>
      <c r="F67" s="7">
        <f t="shared" si="40"/>
        <v>0</v>
      </c>
      <c r="G67" s="2"/>
      <c r="H67" s="6"/>
      <c r="I67" s="2"/>
      <c r="J67" s="7">
        <f t="shared" si="41"/>
        <v>0</v>
      </c>
      <c r="K67" s="2"/>
      <c r="L67" s="6">
        <f t="shared" si="42"/>
        <v>0</v>
      </c>
      <c r="M67" s="2"/>
      <c r="N67" s="7">
        <f t="shared" si="43"/>
        <v>0</v>
      </c>
      <c r="O67" s="11"/>
      <c r="P67" s="6">
        <v>7517.43</v>
      </c>
      <c r="Q67" s="2"/>
      <c r="R67" s="7">
        <f t="shared" si="44"/>
        <v>0</v>
      </c>
      <c r="S67" s="2"/>
      <c r="T67" s="6"/>
      <c r="U67" s="2"/>
      <c r="V67" s="7">
        <f t="shared" si="45"/>
        <v>0</v>
      </c>
      <c r="W67" s="2"/>
      <c r="X67" s="6">
        <f t="shared" si="46"/>
        <v>7517.43</v>
      </c>
      <c r="Y67" s="2"/>
      <c r="Z67" s="7">
        <f t="shared" si="47"/>
        <v>0</v>
      </c>
    </row>
    <row r="68" spans="1:26" s="29" customFormat="1" outlineLevel="1" collapsed="1" x14ac:dyDescent="0.3">
      <c r="A68" s="28"/>
      <c r="B68" s="14" t="str">
        <f>CONCATENATE("     ","Rent                                              ")</f>
        <v xml:space="preserve">     Rent                                              </v>
      </c>
      <c r="C68" s="14"/>
      <c r="D68" s="1">
        <f>SUM(OSRRefD22_14x_0)</f>
        <v>-800</v>
      </c>
      <c r="E68" s="1"/>
      <c r="F68" s="5">
        <f t="shared" si="40"/>
        <v>0</v>
      </c>
      <c r="G68" s="1"/>
      <c r="H68" s="1">
        <f>SUM(OSRRefH22_14x_0)</f>
        <v>-800</v>
      </c>
      <c r="I68" s="1"/>
      <c r="J68" s="5">
        <f t="shared" si="41"/>
        <v>0</v>
      </c>
      <c r="K68" s="1"/>
      <c r="L68" s="1">
        <f t="shared" si="42"/>
        <v>0</v>
      </c>
      <c r="M68" s="1"/>
      <c r="N68" s="5">
        <f t="shared" si="43"/>
        <v>0</v>
      </c>
      <c r="O68" s="14"/>
      <c r="P68" s="1">
        <f>SUM(OSRRefP22_14x_0)</f>
        <v>-4000</v>
      </c>
      <c r="Q68" s="1"/>
      <c r="R68" s="5">
        <f t="shared" si="44"/>
        <v>0</v>
      </c>
      <c r="S68" s="1"/>
      <c r="T68" s="1">
        <f>SUM(OSRRefT22_14x_0)</f>
        <v>-4000</v>
      </c>
      <c r="U68" s="1"/>
      <c r="V68" s="5">
        <f t="shared" si="45"/>
        <v>0</v>
      </c>
      <c r="W68" s="1"/>
      <c r="X68" s="1">
        <f t="shared" si="46"/>
        <v>0</v>
      </c>
      <c r="Y68" s="1"/>
      <c r="Z68" s="5">
        <f t="shared" si="47"/>
        <v>0</v>
      </c>
    </row>
    <row r="69" spans="1:26" s="24" customFormat="1" hidden="1" outlineLevel="2" x14ac:dyDescent="0.3">
      <c r="A69" s="27"/>
      <c r="B69" s="11" t="str">
        <f>CONCATENATE("          ", "6273", " - ", "RENT")</f>
        <v xml:space="preserve">          6273 - RENT</v>
      </c>
      <c r="C69" s="11"/>
      <c r="D69" s="6">
        <v>-800</v>
      </c>
      <c r="E69" s="2"/>
      <c r="F69" s="7">
        <f t="shared" si="40"/>
        <v>0</v>
      </c>
      <c r="G69" s="2"/>
      <c r="H69" s="6">
        <v>-800</v>
      </c>
      <c r="I69" s="2"/>
      <c r="J69" s="7">
        <f t="shared" si="41"/>
        <v>0</v>
      </c>
      <c r="K69" s="2"/>
      <c r="L69" s="6">
        <f t="shared" si="42"/>
        <v>0</v>
      </c>
      <c r="M69" s="2"/>
      <c r="N69" s="7">
        <f t="shared" si="43"/>
        <v>0</v>
      </c>
      <c r="O69" s="11"/>
      <c r="P69" s="6">
        <v>-4000</v>
      </c>
      <c r="Q69" s="2"/>
      <c r="R69" s="7">
        <f t="shared" si="44"/>
        <v>0</v>
      </c>
      <c r="S69" s="2"/>
      <c r="T69" s="6">
        <v>-4000</v>
      </c>
      <c r="U69" s="2"/>
      <c r="V69" s="7">
        <f t="shared" si="45"/>
        <v>0</v>
      </c>
      <c r="W69" s="2"/>
      <c r="X69" s="6">
        <f t="shared" si="46"/>
        <v>0</v>
      </c>
      <c r="Y69" s="2"/>
      <c r="Z69" s="7">
        <f t="shared" si="47"/>
        <v>0</v>
      </c>
    </row>
    <row r="70" spans="1:26" s="29" customFormat="1" outlineLevel="1" collapsed="1" x14ac:dyDescent="0.3">
      <c r="A70" s="28"/>
      <c r="B70" s="14" t="str">
        <f>CONCATENATE("     ","Repair and Maintenance                            ")</f>
        <v xml:space="preserve">     Repair and Maintenance                            </v>
      </c>
      <c r="C70" s="14"/>
      <c r="D70" s="1">
        <f>SUM(OSRRefD22_15x_0)</f>
        <v>1174.1600000000001</v>
      </c>
      <c r="E70" s="1"/>
      <c r="F70" s="5">
        <f t="shared" si="40"/>
        <v>0</v>
      </c>
      <c r="G70" s="1"/>
      <c r="H70" s="1">
        <f>SUM(OSRRefH22_15x_0)</f>
        <v>4950</v>
      </c>
      <c r="I70" s="1"/>
      <c r="J70" s="5">
        <f t="shared" si="41"/>
        <v>0</v>
      </c>
      <c r="K70" s="1"/>
      <c r="L70" s="1">
        <f t="shared" si="42"/>
        <v>-3775.84</v>
      </c>
      <c r="M70" s="1"/>
      <c r="N70" s="5">
        <f t="shared" si="43"/>
        <v>-0.76279595959595958</v>
      </c>
      <c r="O70" s="14"/>
      <c r="P70" s="1">
        <f>SUM(OSRRefP22_15x_0)</f>
        <v>71155.72</v>
      </c>
      <c r="Q70" s="1"/>
      <c r="R70" s="5">
        <f t="shared" si="44"/>
        <v>0</v>
      </c>
      <c r="S70" s="1"/>
      <c r="T70" s="1">
        <f>SUM(OSRRefT22_15x_0)</f>
        <v>60370</v>
      </c>
      <c r="U70" s="1"/>
      <c r="V70" s="5">
        <f t="shared" si="45"/>
        <v>0</v>
      </c>
      <c r="W70" s="1"/>
      <c r="X70" s="1">
        <f t="shared" si="46"/>
        <v>10785.720000000001</v>
      </c>
      <c r="Y70" s="1"/>
      <c r="Z70" s="5">
        <f t="shared" si="47"/>
        <v>0.17866026171939708</v>
      </c>
    </row>
    <row r="71" spans="1:26" s="24" customFormat="1" hidden="1" outlineLevel="2" x14ac:dyDescent="0.3">
      <c r="A71" s="27"/>
      <c r="B71" s="11" t="str">
        <f>CONCATENATE("          ", "6371", " - ", "COMPUTER SOFTWARE MAINTENANCE")</f>
        <v xml:space="preserve">          6371 - COMPUTER SOFTWARE MAINTENANCE</v>
      </c>
      <c r="C71" s="11"/>
      <c r="D71" s="6"/>
      <c r="E71" s="2"/>
      <c r="F71" s="7">
        <f t="shared" si="40"/>
        <v>0</v>
      </c>
      <c r="G71" s="2"/>
      <c r="H71" s="6">
        <v>1000</v>
      </c>
      <c r="I71" s="2"/>
      <c r="J71" s="7">
        <f t="shared" si="41"/>
        <v>0</v>
      </c>
      <c r="K71" s="2"/>
      <c r="L71" s="6">
        <f t="shared" si="42"/>
        <v>-1000</v>
      </c>
      <c r="M71" s="2"/>
      <c r="N71" s="7">
        <f t="shared" si="43"/>
        <v>-1</v>
      </c>
      <c r="O71" s="11"/>
      <c r="P71" s="6">
        <v>56736</v>
      </c>
      <c r="Q71" s="2"/>
      <c r="R71" s="7">
        <f t="shared" si="44"/>
        <v>0</v>
      </c>
      <c r="S71" s="2"/>
      <c r="T71" s="6">
        <v>44000</v>
      </c>
      <c r="U71" s="2"/>
      <c r="V71" s="7">
        <f t="shared" si="45"/>
        <v>0</v>
      </c>
      <c r="W71" s="2"/>
      <c r="X71" s="6">
        <f t="shared" si="46"/>
        <v>12736</v>
      </c>
      <c r="Y71" s="2"/>
      <c r="Z71" s="7">
        <f t="shared" si="47"/>
        <v>0.28945454545454546</v>
      </c>
    </row>
    <row r="72" spans="1:26" s="24" customFormat="1" hidden="1" outlineLevel="2" x14ac:dyDescent="0.3">
      <c r="A72" s="27"/>
      <c r="B72" s="11" t="str">
        <f>CONCATENATE("          ", "6372", " - ", "COMPUTER HARDWARE MAINTENANCE")</f>
        <v xml:space="preserve">          6372 - COMPUTER HARDWARE MAINTENANCE</v>
      </c>
      <c r="C72" s="11"/>
      <c r="D72" s="6"/>
      <c r="E72" s="2"/>
      <c r="F72" s="7">
        <f t="shared" si="40"/>
        <v>0</v>
      </c>
      <c r="G72" s="2"/>
      <c r="H72" s="6">
        <v>3750</v>
      </c>
      <c r="I72" s="2"/>
      <c r="J72" s="7">
        <f t="shared" si="41"/>
        <v>0</v>
      </c>
      <c r="K72" s="2"/>
      <c r="L72" s="6">
        <f t="shared" si="42"/>
        <v>-3750</v>
      </c>
      <c r="M72" s="2"/>
      <c r="N72" s="7">
        <f t="shared" si="43"/>
        <v>-1</v>
      </c>
      <c r="O72" s="11"/>
      <c r="P72" s="6"/>
      <c r="Q72" s="2"/>
      <c r="R72" s="7">
        <f t="shared" si="44"/>
        <v>0</v>
      </c>
      <c r="S72" s="2"/>
      <c r="T72" s="6">
        <v>15370</v>
      </c>
      <c r="U72" s="2"/>
      <c r="V72" s="7">
        <f t="shared" si="45"/>
        <v>0</v>
      </c>
      <c r="W72" s="2"/>
      <c r="X72" s="6">
        <f t="shared" si="46"/>
        <v>-15370</v>
      </c>
      <c r="Y72" s="2"/>
      <c r="Z72" s="7">
        <f t="shared" si="47"/>
        <v>-1</v>
      </c>
    </row>
    <row r="73" spans="1:26" s="24" customFormat="1" hidden="1" outlineLevel="2" x14ac:dyDescent="0.3">
      <c r="A73" s="27"/>
      <c r="B73" s="11" t="str">
        <f>CONCATENATE("          ", "6373", " - ", "MAINTENANCE CONTRACTS")</f>
        <v xml:space="preserve">          6373 - MAINTENANCE CONTRACTS</v>
      </c>
      <c r="C73" s="11"/>
      <c r="D73" s="6">
        <v>15.4</v>
      </c>
      <c r="E73" s="2"/>
      <c r="F73" s="7">
        <f t="shared" si="40"/>
        <v>0</v>
      </c>
      <c r="G73" s="2"/>
      <c r="H73" s="6">
        <v>200</v>
      </c>
      <c r="I73" s="2"/>
      <c r="J73" s="7">
        <f t="shared" si="41"/>
        <v>0</v>
      </c>
      <c r="K73" s="2"/>
      <c r="L73" s="6">
        <f t="shared" si="42"/>
        <v>-184.6</v>
      </c>
      <c r="M73" s="2"/>
      <c r="N73" s="7">
        <f t="shared" si="43"/>
        <v>-0.92299999999999993</v>
      </c>
      <c r="O73" s="11"/>
      <c r="P73" s="6">
        <v>7238.44</v>
      </c>
      <c r="Q73" s="2"/>
      <c r="R73" s="7">
        <f t="shared" si="44"/>
        <v>0</v>
      </c>
      <c r="S73" s="2"/>
      <c r="T73" s="6">
        <v>1000</v>
      </c>
      <c r="U73" s="2"/>
      <c r="V73" s="7">
        <f t="shared" si="45"/>
        <v>0</v>
      </c>
      <c r="W73" s="2"/>
      <c r="X73" s="6">
        <f t="shared" si="46"/>
        <v>6238.44</v>
      </c>
      <c r="Y73" s="2"/>
      <c r="Z73" s="7">
        <f t="shared" si="47"/>
        <v>6.2384399999999998</v>
      </c>
    </row>
    <row r="74" spans="1:26" s="24" customFormat="1" hidden="1" outlineLevel="2" x14ac:dyDescent="0.3">
      <c r="A74" s="27"/>
      <c r="B74" s="11" t="str">
        <f>CONCATENATE("          ", "6375", " - ", "OUTSIDE REPAIRS &amp; MAINTENANCE")</f>
        <v xml:space="preserve">          6375 - OUTSIDE REPAIRS &amp; MAINTENANCE</v>
      </c>
      <c r="C74" s="11"/>
      <c r="D74" s="6">
        <v>1158.76</v>
      </c>
      <c r="E74" s="2"/>
      <c r="F74" s="7">
        <f t="shared" si="40"/>
        <v>0</v>
      </c>
      <c r="G74" s="2"/>
      <c r="H74" s="6"/>
      <c r="I74" s="2"/>
      <c r="J74" s="7">
        <f t="shared" si="41"/>
        <v>0</v>
      </c>
      <c r="K74" s="2"/>
      <c r="L74" s="6">
        <f t="shared" si="42"/>
        <v>1158.76</v>
      </c>
      <c r="M74" s="2"/>
      <c r="N74" s="7">
        <f t="shared" si="43"/>
        <v>0</v>
      </c>
      <c r="O74" s="11"/>
      <c r="P74" s="6">
        <v>7181.28</v>
      </c>
      <c r="Q74" s="2"/>
      <c r="R74" s="7">
        <f t="shared" si="44"/>
        <v>0</v>
      </c>
      <c r="S74" s="2"/>
      <c r="T74" s="6"/>
      <c r="U74" s="2"/>
      <c r="V74" s="7">
        <f t="shared" si="45"/>
        <v>0</v>
      </c>
      <c r="W74" s="2"/>
      <c r="X74" s="6">
        <f t="shared" si="46"/>
        <v>7181.28</v>
      </c>
      <c r="Y74" s="2"/>
      <c r="Z74" s="7">
        <f t="shared" si="47"/>
        <v>0</v>
      </c>
    </row>
    <row r="75" spans="1:26" s="29" customFormat="1" outlineLevel="1" collapsed="1" x14ac:dyDescent="0.3">
      <c r="A75" s="28"/>
      <c r="B75" s="14" t="str">
        <f>CONCATENATE("     ","Services                                          ")</f>
        <v xml:space="preserve">     Services                                          </v>
      </c>
      <c r="C75" s="14"/>
      <c r="D75" s="1">
        <f>SUM(OSRRefD22_16x_0)</f>
        <v>4214.8099999999995</v>
      </c>
      <c r="E75" s="1"/>
      <c r="F75" s="5">
        <f t="shared" ref="F75:F77" si="48">IF(D$12=0,0,D75/D$12)</f>
        <v>0</v>
      </c>
      <c r="G75" s="1"/>
      <c r="H75" s="1">
        <f>SUM(OSRRefH22_16x_0)</f>
        <v>4300</v>
      </c>
      <c r="I75" s="1"/>
      <c r="J75" s="5">
        <f t="shared" ref="J75:J77" si="49">IF(H$12=0,0,H75/H$12)</f>
        <v>0</v>
      </c>
      <c r="K75" s="1"/>
      <c r="L75" s="1">
        <f t="shared" ref="L75:L77" si="50">+D75-H75</f>
        <v>-85.190000000000509</v>
      </c>
      <c r="M75" s="1"/>
      <c r="N75" s="5">
        <f t="shared" ref="N75:N77" si="51">IF(H75=0,0,L75/H75)</f>
        <v>-1.9811627906976863E-2</v>
      </c>
      <c r="O75" s="14"/>
      <c r="P75" s="1">
        <f>SUM(OSRRefP22_16x_0)</f>
        <v>26993.67</v>
      </c>
      <c r="Q75" s="1"/>
      <c r="R75" s="5">
        <f t="shared" ref="R75:R77" si="52">IF(P$12=0,0,P75/P$12)</f>
        <v>0</v>
      </c>
      <c r="S75" s="1"/>
      <c r="T75" s="1">
        <f>SUM(OSRRefT22_16x_0)</f>
        <v>21500</v>
      </c>
      <c r="U75" s="1"/>
      <c r="V75" s="5">
        <f t="shared" ref="V75:V77" si="53">IF(T$12=0,0,T75/T$12)</f>
        <v>0</v>
      </c>
      <c r="W75" s="1"/>
      <c r="X75" s="1">
        <f t="shared" ref="X75:X77" si="54">+P75-T75</f>
        <v>5493.6699999999983</v>
      </c>
      <c r="Y75" s="1"/>
      <c r="Z75" s="5">
        <f t="shared" ref="Z75:Z77" si="55">IF(T75=0,0,X75/T75)</f>
        <v>0.25551953488372087</v>
      </c>
    </row>
    <row r="76" spans="1:26" s="24" customFormat="1" hidden="1" outlineLevel="2" x14ac:dyDescent="0.3">
      <c r="A76" s="27"/>
      <c r="B76" s="11" t="str">
        <f>CONCATENATE("          ", "6282", " - ", "JANITORIAL/EXTERMINATOR EXPENS")</f>
        <v xml:space="preserve">          6282 - JANITORIAL/EXTERMINATOR EXPENS</v>
      </c>
      <c r="C76" s="11"/>
      <c r="D76" s="6">
        <v>129</v>
      </c>
      <c r="E76" s="2"/>
      <c r="F76" s="7">
        <f t="shared" si="48"/>
        <v>0</v>
      </c>
      <c r="G76" s="2"/>
      <c r="H76" s="6">
        <v>4300</v>
      </c>
      <c r="I76" s="2"/>
      <c r="J76" s="7">
        <f t="shared" si="49"/>
        <v>0</v>
      </c>
      <c r="K76" s="2"/>
      <c r="L76" s="6">
        <f t="shared" si="50"/>
        <v>-4171</v>
      </c>
      <c r="M76" s="2"/>
      <c r="N76" s="7">
        <f t="shared" si="51"/>
        <v>-0.97</v>
      </c>
      <c r="O76" s="11"/>
      <c r="P76" s="6">
        <v>1366.08</v>
      </c>
      <c r="Q76" s="2"/>
      <c r="R76" s="7">
        <f t="shared" si="52"/>
        <v>0</v>
      </c>
      <c r="S76" s="2"/>
      <c r="T76" s="6">
        <v>21500</v>
      </c>
      <c r="U76" s="2"/>
      <c r="V76" s="7">
        <f t="shared" si="53"/>
        <v>0</v>
      </c>
      <c r="W76" s="2"/>
      <c r="X76" s="6">
        <f t="shared" si="54"/>
        <v>-20133.919999999998</v>
      </c>
      <c r="Y76" s="2"/>
      <c r="Z76" s="7">
        <f t="shared" si="55"/>
        <v>-0.9364613953488371</v>
      </c>
    </row>
    <row r="77" spans="1:26" s="24" customFormat="1" hidden="1" outlineLevel="2" x14ac:dyDescent="0.3">
      <c r="A77" s="27"/>
      <c r="B77" s="11" t="str">
        <f>CONCATENATE("          ", "6285", " - ", "JANITORIAL SERVICES")</f>
        <v xml:space="preserve">          6285 - JANITORIAL SERVICES</v>
      </c>
      <c r="C77" s="11"/>
      <c r="D77" s="6">
        <v>4085.81</v>
      </c>
      <c r="E77" s="2"/>
      <c r="F77" s="7">
        <f t="shared" si="48"/>
        <v>0</v>
      </c>
      <c r="G77" s="2"/>
      <c r="H77" s="6"/>
      <c r="I77" s="2"/>
      <c r="J77" s="7">
        <f t="shared" si="49"/>
        <v>0</v>
      </c>
      <c r="K77" s="2"/>
      <c r="L77" s="6">
        <f t="shared" si="50"/>
        <v>4085.81</v>
      </c>
      <c r="M77" s="2"/>
      <c r="N77" s="7">
        <f t="shared" si="51"/>
        <v>0</v>
      </c>
      <c r="O77" s="11"/>
      <c r="P77" s="6">
        <v>25627.59</v>
      </c>
      <c r="Q77" s="2"/>
      <c r="R77" s="7">
        <f t="shared" si="52"/>
        <v>0</v>
      </c>
      <c r="S77" s="2"/>
      <c r="T77" s="6"/>
      <c r="U77" s="2"/>
      <c r="V77" s="7">
        <f t="shared" si="53"/>
        <v>0</v>
      </c>
      <c r="W77" s="2"/>
      <c r="X77" s="6">
        <f t="shared" si="54"/>
        <v>25627.59</v>
      </c>
      <c r="Y77" s="2"/>
      <c r="Z77" s="7">
        <f t="shared" si="55"/>
        <v>0</v>
      </c>
    </row>
    <row r="78" spans="1:26" s="29" customFormat="1" outlineLevel="1" collapsed="1" x14ac:dyDescent="0.3">
      <c r="A78" s="28"/>
      <c r="B78" s="14" t="str">
        <f>CONCATENATE("     ","Subscriptions &amp; Dues                              ")</f>
        <v xml:space="preserve">     Subscriptions &amp; Dues                              </v>
      </c>
      <c r="C78" s="14"/>
      <c r="D78" s="1">
        <f>SUM(OSRRefD22_17x_0)</f>
        <v>0</v>
      </c>
      <c r="E78" s="1"/>
      <c r="F78" s="5">
        <f t="shared" ref="F78:F86" si="56">IF(D$12=0,0,D78/D$12)</f>
        <v>0</v>
      </c>
      <c r="G78" s="1"/>
      <c r="H78" s="1">
        <f>SUM(OSRRefH22_17x_0)</f>
        <v>0</v>
      </c>
      <c r="I78" s="1"/>
      <c r="J78" s="5">
        <f t="shared" ref="J78:J86" si="57">IF(H$12=0,0,H78/H$12)</f>
        <v>0</v>
      </c>
      <c r="K78" s="1"/>
      <c r="L78" s="1">
        <f t="shared" ref="L78:L86" si="58">+D78-H78</f>
        <v>0</v>
      </c>
      <c r="M78" s="1"/>
      <c r="N78" s="5">
        <f t="shared" ref="N78:N86" si="59">IF(H78=0,0,L78/H78)</f>
        <v>0</v>
      </c>
      <c r="O78" s="14"/>
      <c r="P78" s="1">
        <f>SUM(OSRRefP22_17x_0)</f>
        <v>-120</v>
      </c>
      <c r="Q78" s="1"/>
      <c r="R78" s="5">
        <f t="shared" ref="R78:R86" si="60">IF(P$12=0,0,P78/P$12)</f>
        <v>0</v>
      </c>
      <c r="S78" s="1"/>
      <c r="T78" s="1">
        <f>SUM(OSRRefT22_17x_0)</f>
        <v>2000</v>
      </c>
      <c r="U78" s="1"/>
      <c r="V78" s="5">
        <f t="shared" ref="V78:V86" si="61">IF(T$12=0,0,T78/T$12)</f>
        <v>0</v>
      </c>
      <c r="W78" s="1"/>
      <c r="X78" s="1">
        <f t="shared" ref="X78:X86" si="62">+P78-T78</f>
        <v>-2120</v>
      </c>
      <c r="Y78" s="1"/>
      <c r="Z78" s="5">
        <f t="shared" ref="Z78:Z86" si="63">IF(T78=0,0,X78/T78)</f>
        <v>-1.06</v>
      </c>
    </row>
    <row r="79" spans="1:26" s="24" customFormat="1" hidden="1" outlineLevel="2" x14ac:dyDescent="0.3">
      <c r="A79" s="27"/>
      <c r="B79" s="11" t="str">
        <f>CONCATENATE("          ", "6258", " - ", "MEMBERSHIP DUES")</f>
        <v xml:space="preserve">          6258 - MEMBERSHIP DUES</v>
      </c>
      <c r="C79" s="11"/>
      <c r="D79" s="6"/>
      <c r="E79" s="2"/>
      <c r="F79" s="7">
        <f t="shared" si="56"/>
        <v>0</v>
      </c>
      <c r="G79" s="2"/>
      <c r="H79" s="6"/>
      <c r="I79" s="2"/>
      <c r="J79" s="7">
        <f t="shared" si="57"/>
        <v>0</v>
      </c>
      <c r="K79" s="2"/>
      <c r="L79" s="6">
        <f t="shared" si="58"/>
        <v>0</v>
      </c>
      <c r="M79" s="2"/>
      <c r="N79" s="7">
        <f t="shared" si="59"/>
        <v>0</v>
      </c>
      <c r="O79" s="11"/>
      <c r="P79" s="6">
        <v>-120</v>
      </c>
      <c r="Q79" s="2"/>
      <c r="R79" s="7">
        <f t="shared" si="60"/>
        <v>0</v>
      </c>
      <c r="S79" s="2"/>
      <c r="T79" s="6">
        <v>2000</v>
      </c>
      <c r="U79" s="2"/>
      <c r="V79" s="7">
        <f t="shared" si="61"/>
        <v>0</v>
      </c>
      <c r="W79" s="2"/>
      <c r="X79" s="6">
        <f t="shared" si="62"/>
        <v>-2120</v>
      </c>
      <c r="Y79" s="2"/>
      <c r="Z79" s="7">
        <f t="shared" si="63"/>
        <v>-1.06</v>
      </c>
    </row>
    <row r="80" spans="1:26" s="29" customFormat="1" outlineLevel="1" collapsed="1" x14ac:dyDescent="0.3">
      <c r="A80" s="28"/>
      <c r="B80" s="14" t="str">
        <f>CONCATENATE("     ","Supplies                                          ")</f>
        <v xml:space="preserve">     Supplies                                          </v>
      </c>
      <c r="C80" s="14"/>
      <c r="D80" s="1">
        <f>SUM(OSRRefD22_18x_0)</f>
        <v>4528.7700000000004</v>
      </c>
      <c r="E80" s="1"/>
      <c r="F80" s="5">
        <f t="shared" si="56"/>
        <v>0</v>
      </c>
      <c r="G80" s="1"/>
      <c r="H80" s="1">
        <f>SUM(OSRRefH22_18x_0)</f>
        <v>5500</v>
      </c>
      <c r="I80" s="1"/>
      <c r="J80" s="5">
        <f t="shared" si="57"/>
        <v>0</v>
      </c>
      <c r="K80" s="1"/>
      <c r="L80" s="1">
        <f t="shared" si="58"/>
        <v>-971.22999999999956</v>
      </c>
      <c r="M80" s="1"/>
      <c r="N80" s="5">
        <f t="shared" si="59"/>
        <v>-0.17658727272727265</v>
      </c>
      <c r="O80" s="14"/>
      <c r="P80" s="1">
        <f>SUM(OSRRefP22_18x_0)</f>
        <v>17926.75</v>
      </c>
      <c r="Q80" s="1"/>
      <c r="R80" s="5">
        <f t="shared" si="60"/>
        <v>0</v>
      </c>
      <c r="S80" s="1"/>
      <c r="T80" s="1">
        <f>SUM(OSRRefT22_18x_0)</f>
        <v>26900</v>
      </c>
      <c r="U80" s="1"/>
      <c r="V80" s="5">
        <f t="shared" si="61"/>
        <v>0</v>
      </c>
      <c r="W80" s="1"/>
      <c r="X80" s="1">
        <f t="shared" si="62"/>
        <v>-8973.25</v>
      </c>
      <c r="Y80" s="1"/>
      <c r="Z80" s="5">
        <f t="shared" si="63"/>
        <v>-0.33357806691449815</v>
      </c>
    </row>
    <row r="81" spans="1:26" s="24" customFormat="1" hidden="1" outlineLevel="2" x14ac:dyDescent="0.3">
      <c r="A81" s="27"/>
      <c r="B81" s="11" t="str">
        <f>CONCATENATE("          ", "6234", " - ", "EXPENDABLE SUPPLIES &amp; EQUIPMEN")</f>
        <v xml:space="preserve">          6234 - EXPENDABLE SUPPLIES &amp; EQUIPMEN</v>
      </c>
      <c r="C81" s="11"/>
      <c r="D81" s="6">
        <v>2701.13</v>
      </c>
      <c r="E81" s="2"/>
      <c r="F81" s="7">
        <f t="shared" si="56"/>
        <v>0</v>
      </c>
      <c r="G81" s="2"/>
      <c r="H81" s="6">
        <v>300</v>
      </c>
      <c r="I81" s="2"/>
      <c r="J81" s="7">
        <f t="shared" si="57"/>
        <v>0</v>
      </c>
      <c r="K81" s="2"/>
      <c r="L81" s="6">
        <f t="shared" si="58"/>
        <v>2401.13</v>
      </c>
      <c r="M81" s="2"/>
      <c r="N81" s="7">
        <f t="shared" si="59"/>
        <v>8.0037666666666674</v>
      </c>
      <c r="O81" s="11"/>
      <c r="P81" s="6">
        <v>3896.02</v>
      </c>
      <c r="Q81" s="2"/>
      <c r="R81" s="7">
        <f t="shared" si="60"/>
        <v>0</v>
      </c>
      <c r="S81" s="2"/>
      <c r="T81" s="6">
        <v>900</v>
      </c>
      <c r="U81" s="2"/>
      <c r="V81" s="7">
        <f t="shared" si="61"/>
        <v>0</v>
      </c>
      <c r="W81" s="2"/>
      <c r="X81" s="6">
        <f t="shared" si="62"/>
        <v>2996.02</v>
      </c>
      <c r="Y81" s="2"/>
      <c r="Z81" s="7">
        <f t="shared" si="63"/>
        <v>3.3289111111111112</v>
      </c>
    </row>
    <row r="82" spans="1:26" s="24" customFormat="1" hidden="1" outlineLevel="2" x14ac:dyDescent="0.3">
      <c r="A82" s="27"/>
      <c r="B82" s="11" t="str">
        <f>CONCATENATE("          ", "6235", " - ", "COVID-19 EXPENSES")</f>
        <v xml:space="preserve">          6235 - COVID-19 EXPENSES</v>
      </c>
      <c r="C82" s="11"/>
      <c r="D82" s="6"/>
      <c r="E82" s="2"/>
      <c r="F82" s="7">
        <f t="shared" si="56"/>
        <v>0</v>
      </c>
      <c r="G82" s="2"/>
      <c r="H82" s="6">
        <v>100</v>
      </c>
      <c r="I82" s="2"/>
      <c r="J82" s="7">
        <f t="shared" si="57"/>
        <v>0</v>
      </c>
      <c r="K82" s="2"/>
      <c r="L82" s="6">
        <f t="shared" si="58"/>
        <v>-100</v>
      </c>
      <c r="M82" s="2"/>
      <c r="N82" s="7">
        <f t="shared" si="59"/>
        <v>-1</v>
      </c>
      <c r="O82" s="11"/>
      <c r="P82" s="6">
        <v>3430.32</v>
      </c>
      <c r="Q82" s="2"/>
      <c r="R82" s="7">
        <f t="shared" si="60"/>
        <v>0</v>
      </c>
      <c r="S82" s="2"/>
      <c r="T82" s="6">
        <v>500</v>
      </c>
      <c r="U82" s="2"/>
      <c r="V82" s="7">
        <f t="shared" si="61"/>
        <v>0</v>
      </c>
      <c r="W82" s="2"/>
      <c r="X82" s="6">
        <f t="shared" si="62"/>
        <v>2930.32</v>
      </c>
      <c r="Y82" s="2"/>
      <c r="Z82" s="7">
        <f t="shared" si="63"/>
        <v>5.8606400000000001</v>
      </c>
    </row>
    <row r="83" spans="1:26" s="24" customFormat="1" hidden="1" outlineLevel="2" x14ac:dyDescent="0.3">
      <c r="A83" s="27"/>
      <c r="B83" s="11" t="str">
        <f>CONCATENATE("          ", "6237", " - ", "JANITORIAL SUPPLIES")</f>
        <v xml:space="preserve">          6237 - JANITORIAL SUPPLIES</v>
      </c>
      <c r="C83" s="11"/>
      <c r="D83" s="6">
        <v>489.67</v>
      </c>
      <c r="E83" s="2"/>
      <c r="F83" s="7">
        <f t="shared" si="56"/>
        <v>0</v>
      </c>
      <c r="G83" s="2"/>
      <c r="H83" s="6"/>
      <c r="I83" s="2"/>
      <c r="J83" s="7">
        <f t="shared" si="57"/>
        <v>0</v>
      </c>
      <c r="K83" s="2"/>
      <c r="L83" s="6">
        <f t="shared" si="58"/>
        <v>489.67</v>
      </c>
      <c r="M83" s="2"/>
      <c r="N83" s="7">
        <f t="shared" si="59"/>
        <v>0</v>
      </c>
      <c r="O83" s="11"/>
      <c r="P83" s="6">
        <v>3788.97</v>
      </c>
      <c r="Q83" s="2"/>
      <c r="R83" s="7">
        <f t="shared" si="60"/>
        <v>0</v>
      </c>
      <c r="S83" s="2"/>
      <c r="T83" s="6"/>
      <c r="U83" s="2"/>
      <c r="V83" s="7">
        <f t="shared" si="61"/>
        <v>0</v>
      </c>
      <c r="W83" s="2"/>
      <c r="X83" s="6">
        <f t="shared" si="62"/>
        <v>3788.97</v>
      </c>
      <c r="Y83" s="2"/>
      <c r="Z83" s="7">
        <f t="shared" si="63"/>
        <v>0</v>
      </c>
    </row>
    <row r="84" spans="1:26" s="24" customFormat="1" hidden="1" outlineLevel="2" x14ac:dyDescent="0.3">
      <c r="A84" s="27"/>
      <c r="B84" s="11" t="str">
        <f>CONCATENATE("          ", "6241", " - ", "OFFICE EXPENSE")</f>
        <v xml:space="preserve">          6241 - OFFICE EXPENSE</v>
      </c>
      <c r="C84" s="11"/>
      <c r="D84" s="6">
        <v>133.27000000000001</v>
      </c>
      <c r="E84" s="2"/>
      <c r="F84" s="7">
        <f t="shared" si="56"/>
        <v>0</v>
      </c>
      <c r="G84" s="2"/>
      <c r="H84" s="6">
        <v>100</v>
      </c>
      <c r="I84" s="2"/>
      <c r="J84" s="7">
        <f t="shared" si="57"/>
        <v>0</v>
      </c>
      <c r="K84" s="2"/>
      <c r="L84" s="6">
        <f t="shared" si="58"/>
        <v>33.27000000000001</v>
      </c>
      <c r="M84" s="2"/>
      <c r="N84" s="7">
        <f t="shared" si="59"/>
        <v>0.33270000000000011</v>
      </c>
      <c r="O84" s="11"/>
      <c r="P84" s="6">
        <v>826.73</v>
      </c>
      <c r="Q84" s="2"/>
      <c r="R84" s="7">
        <f t="shared" si="60"/>
        <v>0</v>
      </c>
      <c r="S84" s="2"/>
      <c r="T84" s="6">
        <v>500</v>
      </c>
      <c r="U84" s="2"/>
      <c r="V84" s="7">
        <f t="shared" si="61"/>
        <v>0</v>
      </c>
      <c r="W84" s="2"/>
      <c r="X84" s="6">
        <f t="shared" si="62"/>
        <v>326.73</v>
      </c>
      <c r="Y84" s="2"/>
      <c r="Z84" s="7">
        <f t="shared" si="63"/>
        <v>0.65346000000000004</v>
      </c>
    </row>
    <row r="85" spans="1:26" s="24" customFormat="1" hidden="1" outlineLevel="2" x14ac:dyDescent="0.3">
      <c r="A85" s="27"/>
      <c r="B85" s="11" t="str">
        <f>CONCATENATE("          ", "6245", " - ", "PRINTING")</f>
        <v xml:space="preserve">          6245 - PRINTING</v>
      </c>
      <c r="C85" s="11"/>
      <c r="D85" s="6">
        <v>460.28</v>
      </c>
      <c r="E85" s="2"/>
      <c r="F85" s="7">
        <f t="shared" si="56"/>
        <v>0</v>
      </c>
      <c r="G85" s="2"/>
      <c r="H85" s="6"/>
      <c r="I85" s="2"/>
      <c r="J85" s="7">
        <f t="shared" si="57"/>
        <v>0</v>
      </c>
      <c r="K85" s="2"/>
      <c r="L85" s="6">
        <f t="shared" si="58"/>
        <v>460.28</v>
      </c>
      <c r="M85" s="2"/>
      <c r="N85" s="7">
        <f t="shared" si="59"/>
        <v>0</v>
      </c>
      <c r="O85" s="11"/>
      <c r="P85" s="6">
        <v>795.6</v>
      </c>
      <c r="Q85" s="2"/>
      <c r="R85" s="7">
        <f t="shared" si="60"/>
        <v>0</v>
      </c>
      <c r="S85" s="2"/>
      <c r="T85" s="6"/>
      <c r="U85" s="2"/>
      <c r="V85" s="7">
        <f t="shared" si="61"/>
        <v>0</v>
      </c>
      <c r="W85" s="2"/>
      <c r="X85" s="6">
        <f t="shared" si="62"/>
        <v>795.6</v>
      </c>
      <c r="Y85" s="2"/>
      <c r="Z85" s="7">
        <f t="shared" si="63"/>
        <v>0</v>
      </c>
    </row>
    <row r="86" spans="1:26" s="24" customFormat="1" hidden="1" outlineLevel="2" x14ac:dyDescent="0.3">
      <c r="A86" s="27"/>
      <c r="B86" s="11" t="str">
        <f>CONCATENATE("          ", "6247", " - ", "STORE SUPPLIES")</f>
        <v xml:space="preserve">          6247 - STORE SUPPLIES</v>
      </c>
      <c r="C86" s="11"/>
      <c r="D86" s="6">
        <v>744.42</v>
      </c>
      <c r="E86" s="2"/>
      <c r="F86" s="7">
        <f t="shared" si="56"/>
        <v>0</v>
      </c>
      <c r="G86" s="2"/>
      <c r="H86" s="6">
        <v>5000</v>
      </c>
      <c r="I86" s="2"/>
      <c r="J86" s="7">
        <f t="shared" si="57"/>
        <v>0</v>
      </c>
      <c r="K86" s="2"/>
      <c r="L86" s="6">
        <f t="shared" si="58"/>
        <v>-4255.58</v>
      </c>
      <c r="M86" s="2"/>
      <c r="N86" s="7">
        <f t="shared" si="59"/>
        <v>-0.85111599999999998</v>
      </c>
      <c r="O86" s="11"/>
      <c r="P86" s="6">
        <v>5189.1099999999997</v>
      </c>
      <c r="Q86" s="2"/>
      <c r="R86" s="7">
        <f t="shared" si="60"/>
        <v>0</v>
      </c>
      <c r="S86" s="2"/>
      <c r="T86" s="6">
        <v>25000</v>
      </c>
      <c r="U86" s="2"/>
      <c r="V86" s="7">
        <f t="shared" si="61"/>
        <v>0</v>
      </c>
      <c r="W86" s="2"/>
      <c r="X86" s="6">
        <f t="shared" si="62"/>
        <v>-19810.89</v>
      </c>
      <c r="Y86" s="2"/>
      <c r="Z86" s="7">
        <f t="shared" si="63"/>
        <v>-0.79243560000000002</v>
      </c>
    </row>
    <row r="87" spans="1:26" s="29" customFormat="1" outlineLevel="1" collapsed="1" x14ac:dyDescent="0.3">
      <c r="A87" s="28"/>
      <c r="B87" s="14" t="str">
        <f>CONCATENATE("     ","Telephone/Data Lines                              ")</f>
        <v xml:space="preserve">     Telephone/Data Lines                              </v>
      </c>
      <c r="C87" s="14"/>
      <c r="D87" s="1">
        <f>SUM(OSRRefD22_19x_0)</f>
        <v>663.5</v>
      </c>
      <c r="E87" s="1"/>
      <c r="F87" s="5">
        <f t="shared" ref="F87:F93" si="64">IF(D$12=0,0,D87/D$12)</f>
        <v>0</v>
      </c>
      <c r="G87" s="1"/>
      <c r="H87" s="1">
        <f>SUM(OSRRefH22_19x_0)</f>
        <v>600</v>
      </c>
      <c r="I87" s="1"/>
      <c r="J87" s="5">
        <f t="shared" ref="J87:J93" si="65">IF(H$12=0,0,H87/H$12)</f>
        <v>0</v>
      </c>
      <c r="K87" s="1"/>
      <c r="L87" s="1">
        <f t="shared" ref="L87:L93" si="66">+D87-H87</f>
        <v>63.5</v>
      </c>
      <c r="M87" s="1"/>
      <c r="N87" s="5">
        <f t="shared" ref="N87:N93" si="67">IF(H87=0,0,L87/H87)</f>
        <v>0.10583333333333333</v>
      </c>
      <c r="O87" s="14"/>
      <c r="P87" s="1">
        <f>SUM(OSRRefP22_19x_0)</f>
        <v>3048.3</v>
      </c>
      <c r="Q87" s="1"/>
      <c r="R87" s="5">
        <f t="shared" ref="R87:R93" si="68">IF(P$12=0,0,P87/P$12)</f>
        <v>0</v>
      </c>
      <c r="S87" s="1"/>
      <c r="T87" s="1">
        <f>SUM(OSRRefT22_19x_0)</f>
        <v>3000</v>
      </c>
      <c r="U87" s="1"/>
      <c r="V87" s="5">
        <f t="shared" ref="V87:V93" si="69">IF(T$12=0,0,T87/T$12)</f>
        <v>0</v>
      </c>
      <c r="W87" s="1"/>
      <c r="X87" s="1">
        <f t="shared" ref="X87:X93" si="70">+P87-T87</f>
        <v>48.300000000000182</v>
      </c>
      <c r="Y87" s="1"/>
      <c r="Z87" s="5">
        <f t="shared" ref="Z87:Z93" si="71">IF(T87=0,0,X87/T87)</f>
        <v>1.6100000000000062E-2</v>
      </c>
    </row>
    <row r="88" spans="1:26" s="24" customFormat="1" hidden="1" outlineLevel="2" x14ac:dyDescent="0.3">
      <c r="A88" s="27"/>
      <c r="B88" s="11" t="str">
        <f>CONCATENATE("          ", "6309", " - ", "TELEPHONE")</f>
        <v xml:space="preserve">          6309 - TELEPHONE</v>
      </c>
      <c r="C88" s="11"/>
      <c r="D88" s="6">
        <v>663.5</v>
      </c>
      <c r="E88" s="2"/>
      <c r="F88" s="7">
        <f t="shared" si="64"/>
        <v>0</v>
      </c>
      <c r="G88" s="2"/>
      <c r="H88" s="6">
        <v>600</v>
      </c>
      <c r="I88" s="2"/>
      <c r="J88" s="7">
        <f t="shared" si="65"/>
        <v>0</v>
      </c>
      <c r="K88" s="2"/>
      <c r="L88" s="6">
        <f t="shared" si="66"/>
        <v>63.5</v>
      </c>
      <c r="M88" s="2"/>
      <c r="N88" s="7">
        <f t="shared" si="67"/>
        <v>0.10583333333333333</v>
      </c>
      <c r="O88" s="11"/>
      <c r="P88" s="6">
        <v>3048.3</v>
      </c>
      <c r="Q88" s="2"/>
      <c r="R88" s="7">
        <f t="shared" si="68"/>
        <v>0</v>
      </c>
      <c r="S88" s="2"/>
      <c r="T88" s="6">
        <v>3000</v>
      </c>
      <c r="U88" s="2"/>
      <c r="V88" s="7">
        <f t="shared" si="69"/>
        <v>0</v>
      </c>
      <c r="W88" s="2"/>
      <c r="X88" s="6">
        <f t="shared" si="70"/>
        <v>48.300000000000182</v>
      </c>
      <c r="Y88" s="2"/>
      <c r="Z88" s="7">
        <f t="shared" si="71"/>
        <v>1.6100000000000062E-2</v>
      </c>
    </row>
    <row r="89" spans="1:26" s="29" customFormat="1" outlineLevel="1" collapsed="1" x14ac:dyDescent="0.3">
      <c r="A89" s="28"/>
      <c r="B89" s="14" t="str">
        <f>CONCATENATE("     ","Training                                          ")</f>
        <v xml:space="preserve">     Training                                          </v>
      </c>
      <c r="C89" s="14"/>
      <c r="D89" s="1">
        <f>SUM(OSRRefD22_20x_0)</f>
        <v>0</v>
      </c>
      <c r="E89" s="1"/>
      <c r="F89" s="5">
        <f t="shared" si="64"/>
        <v>0</v>
      </c>
      <c r="G89" s="1"/>
      <c r="H89" s="1">
        <f>SUM(OSRRefH22_20x_0)</f>
        <v>0</v>
      </c>
      <c r="I89" s="1"/>
      <c r="J89" s="5">
        <f t="shared" si="65"/>
        <v>0</v>
      </c>
      <c r="K89" s="1"/>
      <c r="L89" s="1">
        <f t="shared" si="66"/>
        <v>0</v>
      </c>
      <c r="M89" s="1"/>
      <c r="N89" s="5">
        <f t="shared" si="67"/>
        <v>0</v>
      </c>
      <c r="O89" s="14"/>
      <c r="P89" s="1">
        <f>SUM(OSRRefP22_20x_0)</f>
        <v>595</v>
      </c>
      <c r="Q89" s="1"/>
      <c r="R89" s="5">
        <f t="shared" si="68"/>
        <v>0</v>
      </c>
      <c r="S89" s="1"/>
      <c r="T89" s="1">
        <f>SUM(OSRRefT22_20x_0)</f>
        <v>0</v>
      </c>
      <c r="U89" s="1"/>
      <c r="V89" s="5">
        <f t="shared" si="69"/>
        <v>0</v>
      </c>
      <c r="W89" s="1"/>
      <c r="X89" s="1">
        <f t="shared" si="70"/>
        <v>595</v>
      </c>
      <c r="Y89" s="1"/>
      <c r="Z89" s="5">
        <f t="shared" si="71"/>
        <v>0</v>
      </c>
    </row>
    <row r="90" spans="1:26" s="24" customFormat="1" hidden="1" outlineLevel="2" x14ac:dyDescent="0.3">
      <c r="A90" s="27"/>
      <c r="B90" s="11" t="str">
        <f>CONCATENATE("          ", "6376", " - ", "TRAINING")</f>
        <v xml:space="preserve">          6376 - TRAINING</v>
      </c>
      <c r="C90" s="11"/>
      <c r="D90" s="6"/>
      <c r="E90" s="2"/>
      <c r="F90" s="7">
        <f t="shared" si="64"/>
        <v>0</v>
      </c>
      <c r="G90" s="2"/>
      <c r="H90" s="6"/>
      <c r="I90" s="2"/>
      <c r="J90" s="7">
        <f t="shared" si="65"/>
        <v>0</v>
      </c>
      <c r="K90" s="2"/>
      <c r="L90" s="6">
        <f t="shared" si="66"/>
        <v>0</v>
      </c>
      <c r="M90" s="2"/>
      <c r="N90" s="7">
        <f t="shared" si="67"/>
        <v>0</v>
      </c>
      <c r="O90" s="11"/>
      <c r="P90" s="6">
        <v>595</v>
      </c>
      <c r="Q90" s="2"/>
      <c r="R90" s="7">
        <f t="shared" si="68"/>
        <v>0</v>
      </c>
      <c r="S90" s="2"/>
      <c r="T90" s="6"/>
      <c r="U90" s="2"/>
      <c r="V90" s="7">
        <f t="shared" si="69"/>
        <v>0</v>
      </c>
      <c r="W90" s="2"/>
      <c r="X90" s="6">
        <f t="shared" si="70"/>
        <v>595</v>
      </c>
      <c r="Y90" s="2"/>
      <c r="Z90" s="7">
        <f t="shared" si="71"/>
        <v>0</v>
      </c>
    </row>
    <row r="91" spans="1:26" s="29" customFormat="1" outlineLevel="1" collapsed="1" x14ac:dyDescent="0.3">
      <c r="A91" s="28"/>
      <c r="B91" s="14" t="str">
        <f>CONCATENATE("     ","Travel                                            ")</f>
        <v xml:space="preserve">     Travel                                            </v>
      </c>
      <c r="C91" s="14"/>
      <c r="D91" s="1">
        <f>SUM(OSRRefD22_21x_0)</f>
        <v>97.08</v>
      </c>
      <c r="E91" s="1"/>
      <c r="F91" s="5">
        <f t="shared" si="64"/>
        <v>0</v>
      </c>
      <c r="G91" s="1"/>
      <c r="H91" s="1">
        <f>SUM(OSRRefH22_21x_0)</f>
        <v>125</v>
      </c>
      <c r="I91" s="1"/>
      <c r="J91" s="5">
        <f t="shared" si="65"/>
        <v>0</v>
      </c>
      <c r="K91" s="1"/>
      <c r="L91" s="1">
        <f t="shared" si="66"/>
        <v>-27.92</v>
      </c>
      <c r="M91" s="1"/>
      <c r="N91" s="5">
        <f t="shared" si="67"/>
        <v>-0.22336</v>
      </c>
      <c r="O91" s="14"/>
      <c r="P91" s="1">
        <f>SUM(OSRRefP22_21x_0)</f>
        <v>642.08000000000004</v>
      </c>
      <c r="Q91" s="1"/>
      <c r="R91" s="5">
        <f t="shared" si="68"/>
        <v>0</v>
      </c>
      <c r="S91" s="1"/>
      <c r="T91" s="1">
        <f>SUM(OSRRefT22_21x_0)</f>
        <v>625</v>
      </c>
      <c r="U91" s="1"/>
      <c r="V91" s="5">
        <f t="shared" si="69"/>
        <v>0</v>
      </c>
      <c r="W91" s="1"/>
      <c r="X91" s="1">
        <f t="shared" si="70"/>
        <v>17.080000000000041</v>
      </c>
      <c r="Y91" s="1"/>
      <c r="Z91" s="5">
        <f t="shared" si="71"/>
        <v>2.7328000000000064E-2</v>
      </c>
    </row>
    <row r="92" spans="1:26" s="24" customFormat="1" hidden="1" outlineLevel="2" x14ac:dyDescent="0.3">
      <c r="A92" s="27"/>
      <c r="B92" s="11" t="str">
        <f>CONCATENATE("          ", "6292", " - ", "TRAVEL/CONFERENCE")</f>
        <v xml:space="preserve">          6292 - TRAVEL/CONFERENCE</v>
      </c>
      <c r="C92" s="11"/>
      <c r="D92" s="6"/>
      <c r="E92" s="2"/>
      <c r="F92" s="7">
        <f t="shared" si="64"/>
        <v>0</v>
      </c>
      <c r="G92" s="2"/>
      <c r="H92" s="6">
        <v>125</v>
      </c>
      <c r="I92" s="2"/>
      <c r="J92" s="7">
        <f t="shared" si="65"/>
        <v>0</v>
      </c>
      <c r="K92" s="2"/>
      <c r="L92" s="6">
        <f t="shared" si="66"/>
        <v>-125</v>
      </c>
      <c r="M92" s="2"/>
      <c r="N92" s="7">
        <f t="shared" si="67"/>
        <v>-1</v>
      </c>
      <c r="O92" s="11"/>
      <c r="P92" s="6">
        <v>495</v>
      </c>
      <c r="Q92" s="2"/>
      <c r="R92" s="7">
        <f t="shared" si="68"/>
        <v>0</v>
      </c>
      <c r="S92" s="2"/>
      <c r="T92" s="6">
        <v>625</v>
      </c>
      <c r="U92" s="2"/>
      <c r="V92" s="7">
        <f t="shared" si="69"/>
        <v>0</v>
      </c>
      <c r="W92" s="2"/>
      <c r="X92" s="6">
        <f t="shared" si="70"/>
        <v>-130</v>
      </c>
      <c r="Y92" s="2"/>
      <c r="Z92" s="7">
        <f t="shared" si="71"/>
        <v>-0.20799999999999999</v>
      </c>
    </row>
    <row r="93" spans="1:26" s="24" customFormat="1" hidden="1" outlineLevel="2" x14ac:dyDescent="0.3">
      <c r="A93" s="27"/>
      <c r="B93" s="11" t="str">
        <f>CONCATENATE("          ", "6298", " - ", "VEHICLE MILEAGE")</f>
        <v xml:space="preserve">          6298 - VEHICLE MILEAGE</v>
      </c>
      <c r="C93" s="11"/>
      <c r="D93" s="6">
        <v>97.08</v>
      </c>
      <c r="E93" s="2"/>
      <c r="F93" s="7">
        <f t="shared" si="64"/>
        <v>0</v>
      </c>
      <c r="G93" s="2"/>
      <c r="H93" s="6"/>
      <c r="I93" s="2"/>
      <c r="J93" s="7">
        <f t="shared" si="65"/>
        <v>0</v>
      </c>
      <c r="K93" s="2"/>
      <c r="L93" s="6">
        <f t="shared" si="66"/>
        <v>97.08</v>
      </c>
      <c r="M93" s="2"/>
      <c r="N93" s="7">
        <f t="shared" si="67"/>
        <v>0</v>
      </c>
      <c r="O93" s="11"/>
      <c r="P93" s="6">
        <v>147.08000000000001</v>
      </c>
      <c r="Q93" s="2"/>
      <c r="R93" s="7">
        <f t="shared" si="68"/>
        <v>0</v>
      </c>
      <c r="S93" s="2"/>
      <c r="T93" s="6"/>
      <c r="U93" s="2"/>
      <c r="V93" s="7">
        <f t="shared" si="69"/>
        <v>0</v>
      </c>
      <c r="W93" s="2"/>
      <c r="X93" s="6">
        <f t="shared" si="70"/>
        <v>147.08000000000001</v>
      </c>
      <c r="Y93" s="2"/>
      <c r="Z93" s="7">
        <f t="shared" si="71"/>
        <v>0</v>
      </c>
    </row>
    <row r="94" spans="1:26" s="29" customFormat="1" outlineLevel="1" collapsed="1" x14ac:dyDescent="0.3">
      <c r="A94" s="28"/>
      <c r="B94" s="14" t="str">
        <f>CONCATENATE("     ","Utilities                                         ")</f>
        <v xml:space="preserve">     Utilities                                         </v>
      </c>
      <c r="C94" s="14"/>
      <c r="D94" s="1">
        <f>SUM(OSRRefD22_22x_0)</f>
        <v>6000</v>
      </c>
      <c r="E94" s="1"/>
      <c r="F94" s="5">
        <f t="shared" ref="F94:F95" si="72">IF(D$12=0,0,D94/D$12)</f>
        <v>0</v>
      </c>
      <c r="G94" s="1"/>
      <c r="H94" s="1">
        <f>SUM(OSRRefH22_22x_0)</f>
        <v>6000</v>
      </c>
      <c r="I94" s="1"/>
      <c r="J94" s="5">
        <f t="shared" ref="J94:J95" si="73">IF(H$12=0,0,H94/H$12)</f>
        <v>0</v>
      </c>
      <c r="K94" s="1"/>
      <c r="L94" s="1">
        <f t="shared" ref="L94:L95" si="74">+D94-H94</f>
        <v>0</v>
      </c>
      <c r="M94" s="1"/>
      <c r="N94" s="5">
        <f t="shared" ref="N94:N95" si="75">IF(H94=0,0,L94/H94)</f>
        <v>0</v>
      </c>
      <c r="O94" s="14"/>
      <c r="P94" s="1">
        <f>SUM(OSRRefP22_22x_0)</f>
        <v>30000</v>
      </c>
      <c r="Q94" s="1"/>
      <c r="R94" s="5">
        <f t="shared" ref="R94:R95" si="76">IF(P$12=0,0,P94/P$12)</f>
        <v>0</v>
      </c>
      <c r="S94" s="1"/>
      <c r="T94" s="1">
        <f>SUM(OSRRefT22_22x_0)</f>
        <v>30000</v>
      </c>
      <c r="U94" s="1"/>
      <c r="V94" s="5">
        <f t="shared" ref="V94:V95" si="77">IF(T$12=0,0,T94/T$12)</f>
        <v>0</v>
      </c>
      <c r="W94" s="1"/>
      <c r="X94" s="1">
        <f t="shared" ref="X94:X95" si="78">+P94-T94</f>
        <v>0</v>
      </c>
      <c r="Y94" s="1"/>
      <c r="Z94" s="5">
        <f t="shared" ref="Z94:Z95" si="79">IF(T94=0,0,X94/T94)</f>
        <v>0</v>
      </c>
    </row>
    <row r="95" spans="1:26" s="24" customFormat="1" hidden="1" outlineLevel="2" x14ac:dyDescent="0.3">
      <c r="A95" s="27"/>
      <c r="B95" s="11" t="str">
        <f>CONCATENATE("          ", "6274", " - ", "UTILITIES")</f>
        <v xml:space="preserve">          6274 - UTILITIES</v>
      </c>
      <c r="C95" s="11"/>
      <c r="D95" s="6">
        <v>6000</v>
      </c>
      <c r="E95" s="2"/>
      <c r="F95" s="7">
        <f t="shared" si="72"/>
        <v>0</v>
      </c>
      <c r="G95" s="2"/>
      <c r="H95" s="6">
        <v>6000</v>
      </c>
      <c r="I95" s="2"/>
      <c r="J95" s="7">
        <f t="shared" si="73"/>
        <v>0</v>
      </c>
      <c r="K95" s="2"/>
      <c r="L95" s="6">
        <f t="shared" si="74"/>
        <v>0</v>
      </c>
      <c r="M95" s="2"/>
      <c r="N95" s="7">
        <f t="shared" si="75"/>
        <v>0</v>
      </c>
      <c r="O95" s="11"/>
      <c r="P95" s="6">
        <v>30000</v>
      </c>
      <c r="Q95" s="2"/>
      <c r="R95" s="7">
        <f t="shared" si="76"/>
        <v>0</v>
      </c>
      <c r="S95" s="2"/>
      <c r="T95" s="6">
        <v>30000</v>
      </c>
      <c r="U95" s="2"/>
      <c r="V95" s="7">
        <f t="shared" si="77"/>
        <v>0</v>
      </c>
      <c r="W95" s="2"/>
      <c r="X95" s="6">
        <f t="shared" si="78"/>
        <v>0</v>
      </c>
      <c r="Y95" s="2"/>
      <c r="Z95" s="7">
        <f t="shared" si="79"/>
        <v>0</v>
      </c>
    </row>
    <row r="96" spans="1:26" s="63" customFormat="1" x14ac:dyDescent="0.3">
      <c r="A96" s="36"/>
      <c r="B96" s="36"/>
      <c r="C96" s="36"/>
      <c r="D96" s="1"/>
      <c r="E96" s="1"/>
      <c r="F96" s="5"/>
      <c r="G96" s="1"/>
      <c r="H96" s="1"/>
      <c r="I96" s="1"/>
      <c r="J96" s="5"/>
      <c r="K96" s="1"/>
      <c r="L96" s="1"/>
      <c r="M96" s="1"/>
      <c r="N96" s="5"/>
      <c r="O96" s="36"/>
      <c r="P96" s="1"/>
      <c r="Q96" s="1"/>
      <c r="R96" s="5"/>
      <c r="S96" s="1"/>
      <c r="T96" s="1"/>
      <c r="U96" s="1"/>
      <c r="V96" s="5"/>
      <c r="W96" s="1"/>
      <c r="X96" s="1"/>
      <c r="Y96" s="1"/>
      <c r="Z96" s="5"/>
    </row>
    <row r="97" spans="1:26" s="23" customFormat="1" collapsed="1" x14ac:dyDescent="0.3">
      <c r="A97" s="10"/>
      <c r="B97" s="25" t="s">
        <v>293</v>
      </c>
      <c r="C97" s="10"/>
      <c r="D97" s="4">
        <f>SUM(OSRRefD25x_0)</f>
        <v>54298.67</v>
      </c>
      <c r="E97" s="4"/>
      <c r="F97" s="12">
        <f t="shared" ref="F97:F99" si="80">IF(D$12=0,0,D97/D$12)</f>
        <v>0</v>
      </c>
      <c r="G97" s="4"/>
      <c r="H97" s="4">
        <f>SUM(OSRRefH25x_0)</f>
        <v>44200</v>
      </c>
      <c r="I97" s="4"/>
      <c r="J97" s="12">
        <f t="shared" ref="J97:J99" si="81">IF(H$12=0,0,H97/H$12)</f>
        <v>0</v>
      </c>
      <c r="K97" s="4"/>
      <c r="L97" s="4">
        <f t="shared" ref="L97:L99" si="82">+D97-H97</f>
        <v>10098.669999999998</v>
      </c>
      <c r="M97" s="4"/>
      <c r="N97" s="12">
        <f t="shared" ref="N97:N99" si="83">IF(H97=0,0,L97/H97)</f>
        <v>0.22847669683257915</v>
      </c>
      <c r="O97" s="10"/>
      <c r="P97" s="4">
        <f>SUM(OSRRefP25x_0)</f>
        <v>132303.64000000001</v>
      </c>
      <c r="Q97" s="4"/>
      <c r="R97" s="12">
        <f t="shared" ref="R97:R99" si="84">IF(P$12=0,0,P97/P$12)</f>
        <v>0</v>
      </c>
      <c r="S97" s="4"/>
      <c r="T97" s="4">
        <f>SUM(OSRRefT25x_0)</f>
        <v>92000</v>
      </c>
      <c r="U97" s="4"/>
      <c r="V97" s="12">
        <f t="shared" ref="V97:V99" si="85">IF(T$12=0,0,T97/T$12)</f>
        <v>0</v>
      </c>
      <c r="W97" s="4"/>
      <c r="X97" s="4">
        <f t="shared" ref="X97:X99" si="86">+P97-T97</f>
        <v>40303.640000000014</v>
      </c>
      <c r="Y97" s="4"/>
      <c r="Z97" s="12">
        <f t="shared" ref="Z97:Z99" si="87">IF(T97=0,0,X97/T97)</f>
        <v>0.43808304347826105</v>
      </c>
    </row>
    <row r="98" spans="1:26" s="24" customFormat="1" hidden="1" outlineLevel="1" x14ac:dyDescent="0.3">
      <c r="A98" s="44"/>
      <c r="B98" s="11" t="str">
        <f>CONCATENATE("          ", "9150", " - ", "MISC. INCOME")</f>
        <v xml:space="preserve">          9150 - MISC. INCOME</v>
      </c>
      <c r="C98" s="11"/>
      <c r="D98" s="2">
        <f>--54298.67</f>
        <v>54298.67</v>
      </c>
      <c r="E98" s="2"/>
      <c r="F98" s="19">
        <f t="shared" si="80"/>
        <v>0</v>
      </c>
      <c r="G98" s="2"/>
      <c r="H98" s="2">
        <v>1200</v>
      </c>
      <c r="I98" s="2"/>
      <c r="J98" s="19">
        <f t="shared" si="81"/>
        <v>0</v>
      </c>
      <c r="K98" s="2"/>
      <c r="L98" s="2">
        <f t="shared" si="82"/>
        <v>53098.67</v>
      </c>
      <c r="M98" s="2"/>
      <c r="N98" s="19">
        <f t="shared" si="83"/>
        <v>44.248891666666665</v>
      </c>
      <c r="O98" s="11"/>
      <c r="P98" s="2">
        <f>--132303.64</f>
        <v>132303.64000000001</v>
      </c>
      <c r="Q98" s="2"/>
      <c r="R98" s="19">
        <f t="shared" si="84"/>
        <v>0</v>
      </c>
      <c r="S98" s="2"/>
      <c r="T98" s="2">
        <v>6000</v>
      </c>
      <c r="U98" s="2"/>
      <c r="V98" s="19">
        <f t="shared" si="85"/>
        <v>0</v>
      </c>
      <c r="W98" s="2"/>
      <c r="X98" s="2">
        <f t="shared" si="86"/>
        <v>126303.64000000001</v>
      </c>
      <c r="Y98" s="2"/>
      <c r="Z98" s="19">
        <f t="shared" si="87"/>
        <v>21.05060666666667</v>
      </c>
    </row>
    <row r="99" spans="1:26" s="24" customFormat="1" hidden="1" outlineLevel="1" x14ac:dyDescent="0.3">
      <c r="A99" s="44"/>
      <c r="B99" s="11" t="str">
        <f>CONCATENATE("          ", "9151", " - ", "MISC. INCOME")</f>
        <v xml:space="preserve">          9151 - MISC. INCOME</v>
      </c>
      <c r="C99" s="11"/>
      <c r="D99" s="2">
        <f>0</f>
        <v>0</v>
      </c>
      <c r="E99" s="2"/>
      <c r="F99" s="19">
        <f t="shared" si="80"/>
        <v>0</v>
      </c>
      <c r="G99" s="2"/>
      <c r="H99" s="2">
        <v>43000</v>
      </c>
      <c r="I99" s="2"/>
      <c r="J99" s="19">
        <f t="shared" si="81"/>
        <v>0</v>
      </c>
      <c r="K99" s="2"/>
      <c r="L99" s="2">
        <f t="shared" si="82"/>
        <v>-43000</v>
      </c>
      <c r="M99" s="2"/>
      <c r="N99" s="19">
        <f t="shared" si="83"/>
        <v>-1</v>
      </c>
      <c r="O99" s="11"/>
      <c r="P99" s="2">
        <f>0</f>
        <v>0</v>
      </c>
      <c r="Q99" s="2"/>
      <c r="R99" s="19">
        <f t="shared" si="84"/>
        <v>0</v>
      </c>
      <c r="S99" s="2"/>
      <c r="T99" s="2">
        <v>86000</v>
      </c>
      <c r="U99" s="2"/>
      <c r="V99" s="19">
        <f t="shared" si="85"/>
        <v>0</v>
      </c>
      <c r="W99" s="2"/>
      <c r="X99" s="2">
        <f t="shared" si="86"/>
        <v>-86000</v>
      </c>
      <c r="Y99" s="2"/>
      <c r="Z99" s="19">
        <f t="shared" si="87"/>
        <v>-1</v>
      </c>
    </row>
    <row r="100" spans="1:26" x14ac:dyDescent="0.3">
      <c r="A100" s="9"/>
      <c r="B100" s="10"/>
      <c r="C100" s="10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O100" s="10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x14ac:dyDescent="0.3">
      <c r="A101" s="10"/>
      <c r="B101" s="26" t="s">
        <v>277</v>
      </c>
      <c r="C101" s="26"/>
      <c r="D101" s="20">
        <f>+D17-D19+D97</f>
        <v>-70380.359999999986</v>
      </c>
      <c r="E101" s="13"/>
      <c r="F101" s="22">
        <f>IF(D$12=0,0,D101/D$12)</f>
        <v>0</v>
      </c>
      <c r="G101" s="13"/>
      <c r="H101" s="20">
        <f>+H17-H19+H97</f>
        <v>-52966.259773307684</v>
      </c>
      <c r="I101" s="13"/>
      <c r="J101" s="22">
        <f>IF(H$12=0,0,H101/H$12)</f>
        <v>0</v>
      </c>
      <c r="K101" s="15"/>
      <c r="L101" s="20">
        <f>+D101-H101</f>
        <v>-17414.100226692302</v>
      </c>
      <c r="M101" s="15"/>
      <c r="N101" s="22">
        <f>IF(H101=0,0,L101/H101)</f>
        <v>0.32877723103771295</v>
      </c>
      <c r="O101" s="25"/>
      <c r="P101" s="20">
        <f>+P17-P19+P97</f>
        <v>-613035.30999999971</v>
      </c>
      <c r="Q101" s="13"/>
      <c r="R101" s="22">
        <f>IF(P$12=0,0,P101/P$12)</f>
        <v>0</v>
      </c>
      <c r="S101" s="13"/>
      <c r="T101" s="20">
        <f>+T17-T19+T97</f>
        <v>-596925.92145569227</v>
      </c>
      <c r="U101" s="13"/>
      <c r="V101" s="22">
        <f>IF(T$12=0,0,T101/T$12)</f>
        <v>0</v>
      </c>
      <c r="W101" s="15"/>
      <c r="X101" s="20">
        <f>+P101-T101</f>
        <v>-16109.38854430744</v>
      </c>
      <c r="Y101" s="15"/>
      <c r="Z101" s="22">
        <f>IF(T101=0,0,X101/T101)</f>
        <v>2.6987249112959126E-2</v>
      </c>
    </row>
    <row r="102" spans="1:26" x14ac:dyDescent="0.3">
      <c r="A102" s="9"/>
      <c r="B102" s="10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x14ac:dyDescent="0.3">
      <c r="A103" s="52"/>
      <c r="B103" s="10" t="s">
        <v>128</v>
      </c>
      <c r="C103" s="10"/>
      <c r="D103" s="4"/>
      <c r="E103" s="4"/>
      <c r="F103" s="12">
        <f>IF(D$12=0,0,D103/D$12)</f>
        <v>0</v>
      </c>
      <c r="G103" s="4"/>
      <c r="H103" s="4"/>
      <c r="I103" s="4"/>
      <c r="J103" s="12">
        <f>IF(H$12=0,0,H103/H$12)</f>
        <v>0</v>
      </c>
      <c r="K103" s="4"/>
      <c r="L103" s="4">
        <f>+D103-H103</f>
        <v>0</v>
      </c>
      <c r="M103" s="4"/>
      <c r="N103" s="12">
        <f>IF(H103=0,0,L103/H103)</f>
        <v>0</v>
      </c>
      <c r="O103" s="10"/>
      <c r="P103" s="4"/>
      <c r="Q103" s="4"/>
      <c r="R103" s="12">
        <f>IF(P$12=0,0,P103/P$12)</f>
        <v>0</v>
      </c>
      <c r="S103" s="4"/>
      <c r="T103" s="4"/>
      <c r="U103" s="4"/>
      <c r="V103" s="12">
        <f>IF(T$12=0,0,T103/T$12)</f>
        <v>0</v>
      </c>
      <c r="W103" s="4"/>
      <c r="X103" s="4">
        <f>+P103-T103</f>
        <v>0</v>
      </c>
      <c r="Y103" s="4"/>
      <c r="Z103" s="12">
        <f>IF(T103=0,0,X103/T103)</f>
        <v>0</v>
      </c>
    </row>
    <row r="104" spans="1:26" x14ac:dyDescent="0.3">
      <c r="A104" s="9"/>
      <c r="B104" s="10"/>
      <c r="C104" s="10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O104" s="10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ht="15" thickBot="1" x14ac:dyDescent="0.35">
      <c r="A105" s="10"/>
      <c r="B105" s="26" t="s">
        <v>126</v>
      </c>
      <c r="C105" s="26"/>
      <c r="D105" s="33">
        <f>+D101-D103</f>
        <v>-70380.359999999986</v>
      </c>
      <c r="E105" s="13"/>
      <c r="F105" s="34">
        <f>IF(D$12=0,0,D105/D$12)</f>
        <v>0</v>
      </c>
      <c r="G105" s="13"/>
      <c r="H105" s="33">
        <f>+H101-H103</f>
        <v>-52966.259773307684</v>
      </c>
      <c r="I105" s="13"/>
      <c r="J105" s="34">
        <f>IF(H$12=0,0,H105/H$12)</f>
        <v>0</v>
      </c>
      <c r="K105" s="15"/>
      <c r="L105" s="33">
        <f>D105-H105</f>
        <v>-17414.100226692302</v>
      </c>
      <c r="M105" s="15"/>
      <c r="N105" s="34">
        <f>IF(H105=0,0,L105/H105)</f>
        <v>0.32877723103771295</v>
      </c>
      <c r="O105" s="25"/>
      <c r="P105" s="33">
        <f>+P101-P103</f>
        <v>-613035.30999999971</v>
      </c>
      <c r="Q105" s="13"/>
      <c r="R105" s="34">
        <f>IF(P$12=0,0,P105/P$12)</f>
        <v>0</v>
      </c>
      <c r="S105" s="13"/>
      <c r="T105" s="33">
        <f>+T101-T103</f>
        <v>-596925.92145569227</v>
      </c>
      <c r="U105" s="13"/>
      <c r="V105" s="34">
        <f>IF(T$12=0,0,T105/T$12)</f>
        <v>0</v>
      </c>
      <c r="W105" s="15"/>
      <c r="X105" s="33">
        <f>P105-T105</f>
        <v>-16109.38854430744</v>
      </c>
      <c r="Y105" s="15"/>
      <c r="Z105" s="34">
        <f>IF(T105=0,0,X105/T105)</f>
        <v>2.6987249112959126E-2</v>
      </c>
    </row>
    <row r="106" spans="1:26" ht="15" thickTop="1" x14ac:dyDescent="0.3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x14ac:dyDescent="0.3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ht="15" thickBot="1" x14ac:dyDescent="0.35">
      <c r="A108" s="10"/>
      <c r="B108" s="26" t="s">
        <v>294</v>
      </c>
      <c r="C108" s="26"/>
      <c r="D108" s="35">
        <f>SUM(D105:D107)</f>
        <v>-70380.359999999986</v>
      </c>
      <c r="E108" s="13"/>
      <c r="F108" s="32">
        <f>IF(D$12=0,0,D108/D$12)</f>
        <v>0</v>
      </c>
      <c r="G108" s="13"/>
      <c r="H108" s="35">
        <f>SUM(H105:H107)</f>
        <v>-52966.259773307684</v>
      </c>
      <c r="I108" s="13"/>
      <c r="J108" s="32">
        <f>IF(H$12=0,0,H108/H$12)</f>
        <v>0</v>
      </c>
      <c r="K108" s="15"/>
      <c r="L108" s="35">
        <f>+D108-H108</f>
        <v>-17414.100226692302</v>
      </c>
      <c r="M108" s="15"/>
      <c r="N108" s="32">
        <f>IF(H108=0,0,L108/H108)</f>
        <v>0.32877723103771295</v>
      </c>
      <c r="O108" s="25"/>
      <c r="P108" s="35">
        <f>SUM(P105:P107)</f>
        <v>-613035.30999999971</v>
      </c>
      <c r="Q108" s="13"/>
      <c r="R108" s="32">
        <f>IF(P$12=0,0,P108/P$12)</f>
        <v>0</v>
      </c>
      <c r="S108" s="13"/>
      <c r="T108" s="35">
        <f>SUM(T105:T107)</f>
        <v>-596925.92145569227</v>
      </c>
      <c r="U108" s="13"/>
      <c r="V108" s="32">
        <f>IF(T$12=0,0,T108/T$12)</f>
        <v>0</v>
      </c>
      <c r="W108" s="15"/>
      <c r="X108" s="35">
        <f>+P108-T108</f>
        <v>-16109.38854430744</v>
      </c>
      <c r="Y108" s="15"/>
      <c r="Z108" s="32">
        <f>IF(T108=0,0,X108/T108)</f>
        <v>2.6987249112959126E-2</v>
      </c>
    </row>
    <row r="109" spans="1:26" ht="15" thickTop="1" x14ac:dyDescent="0.3">
      <c r="A109" s="9"/>
      <c r="C109" s="9"/>
      <c r="D109" s="17"/>
      <c r="E109" s="17"/>
      <c r="G109" s="17"/>
      <c r="H109" s="17"/>
      <c r="I109" s="17"/>
      <c r="J109" s="42"/>
      <c r="K109" s="17"/>
      <c r="L109" s="17"/>
      <c r="M109" s="17"/>
      <c r="P109" s="17"/>
      <c r="Q109" s="17"/>
      <c r="R109" s="42"/>
      <c r="S109" s="17"/>
      <c r="T109" s="17"/>
      <c r="U109" s="17"/>
      <c r="V109" s="42"/>
      <c r="W109" s="17"/>
      <c r="X109" s="17"/>
    </row>
    <row r="110" spans="1:26" x14ac:dyDescent="0.3">
      <c r="A110" s="9"/>
      <c r="B110" s="60">
        <v>44543.753113078703</v>
      </c>
      <c r="D110" s="17"/>
      <c r="E110" s="17"/>
      <c r="G110" s="17"/>
      <c r="H110" s="17"/>
      <c r="I110" s="17"/>
      <c r="J110" s="42"/>
      <c r="K110" s="17"/>
      <c r="L110" s="17"/>
      <c r="M110" s="17"/>
      <c r="P110" s="17"/>
      <c r="Q110" s="17"/>
      <c r="R110" s="42"/>
      <c r="S110" s="17"/>
      <c r="T110" s="17"/>
      <c r="U110" s="17"/>
      <c r="V110" s="42"/>
      <c r="W110" s="17"/>
      <c r="X110" s="17"/>
    </row>
    <row r="111" spans="1:26" x14ac:dyDescent="0.3">
      <c r="A111" s="9"/>
      <c r="B111" s="58" t="s">
        <v>56</v>
      </c>
      <c r="D111" s="17"/>
      <c r="E111" s="17"/>
      <c r="G111" s="17"/>
      <c r="H111" s="17"/>
      <c r="I111" s="17"/>
      <c r="J111" s="42"/>
      <c r="K111" s="17"/>
      <c r="L111" s="17"/>
      <c r="M111" s="17"/>
      <c r="P111" s="17"/>
      <c r="Q111" s="17"/>
      <c r="R111" s="42"/>
      <c r="S111" s="17"/>
      <c r="T111" s="17"/>
      <c r="U111" s="17"/>
      <c r="V111" s="42"/>
      <c r="W111" s="17"/>
      <c r="X111" s="17"/>
    </row>
    <row r="112" spans="1:26" x14ac:dyDescent="0.3">
      <c r="A112" s="9"/>
      <c r="B112" s="55"/>
      <c r="D112" s="17"/>
      <c r="E112" s="17"/>
      <c r="G112" s="17"/>
      <c r="H112" s="17"/>
      <c r="I112" s="17"/>
      <c r="J112" s="42"/>
      <c r="K112" s="17"/>
      <c r="L112" s="17"/>
      <c r="M112" s="17"/>
      <c r="P112" s="17"/>
      <c r="Q112" s="17"/>
      <c r="R112" s="42"/>
      <c r="S112" s="17"/>
      <c r="T112" s="17"/>
      <c r="U112" s="17"/>
      <c r="V112" s="42"/>
      <c r="W112" s="17"/>
      <c r="X112" s="17"/>
    </row>
    <row r="113" spans="4:24" x14ac:dyDescent="0.3">
      <c r="D113" s="17"/>
      <c r="E113" s="17"/>
      <c r="G113" s="17"/>
      <c r="H113" s="17"/>
      <c r="I113" s="17"/>
      <c r="J113" s="42"/>
      <c r="K113" s="17"/>
      <c r="L113" s="17"/>
      <c r="M113" s="17"/>
      <c r="P113" s="17"/>
      <c r="Q113" s="17"/>
      <c r="R113" s="42"/>
      <c r="S113" s="17"/>
      <c r="T113" s="17"/>
      <c r="U113" s="17"/>
      <c r="V113" s="42"/>
      <c r="W113" s="17"/>
      <c r="X113" s="17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  <outlinePr summaryBelow="0" summaryRight="0"/>
  </sheetPr>
  <dimension ref="A2:Z9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81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14784.730000000001</v>
      </c>
      <c r="E12" s="4"/>
      <c r="F12" s="12"/>
      <c r="G12" s="4"/>
      <c r="H12" s="4">
        <f>SUM(OSRRefH13x_0)</f>
        <v>48211</v>
      </c>
      <c r="I12" s="4"/>
      <c r="J12" s="12"/>
      <c r="K12" s="4"/>
      <c r="L12" s="4">
        <f t="shared" ref="L12:L16" si="0">+D12-H12</f>
        <v>-33426.269999999997</v>
      </c>
      <c r="M12" s="4"/>
      <c r="N12" s="12">
        <f t="shared" ref="N12:N16" si="1">IF(H12=0,0,L12/H12)</f>
        <v>-0.69333284934973338</v>
      </c>
      <c r="O12" s="10"/>
      <c r="P12" s="4">
        <f>SUM(OSRRefP13x_0)</f>
        <v>82327.069999999992</v>
      </c>
      <c r="Q12" s="4"/>
      <c r="R12" s="12"/>
      <c r="S12" s="4"/>
      <c r="T12" s="4">
        <f>SUM(OSRRefT13x_0)</f>
        <v>249808</v>
      </c>
      <c r="U12" s="4"/>
      <c r="V12" s="12"/>
      <c r="W12" s="4"/>
      <c r="X12" s="4">
        <f t="shared" ref="X12:X16" si="2">+P12-T12</f>
        <v>-167480.93</v>
      </c>
      <c r="Y12" s="4"/>
      <c r="Z12" s="12">
        <f t="shared" ref="Z12:Z16" si="3">IF(T12=0,0,X12/T12)</f>
        <v>-0.67043861685774675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--9822.43</f>
        <v>9822.43</v>
      </c>
      <c r="E13" s="2"/>
      <c r="F13" s="19"/>
      <c r="G13" s="2"/>
      <c r="H13" s="2">
        <v>29226</v>
      </c>
      <c r="I13" s="2"/>
      <c r="J13" s="19"/>
      <c r="K13" s="2"/>
      <c r="L13" s="2">
        <f t="shared" si="0"/>
        <v>-19403.57</v>
      </c>
      <c r="M13" s="2"/>
      <c r="N13" s="19">
        <f t="shared" si="1"/>
        <v>-0.66391466502429342</v>
      </c>
      <c r="O13" s="11"/>
      <c r="P13" s="2">
        <f>--61071.48</f>
        <v>61071.48</v>
      </c>
      <c r="Q13" s="2"/>
      <c r="R13" s="19"/>
      <c r="S13" s="2"/>
      <c r="T13" s="2">
        <v>170251</v>
      </c>
      <c r="U13" s="2"/>
      <c r="V13" s="19"/>
      <c r="W13" s="2"/>
      <c r="X13" s="2">
        <f t="shared" si="2"/>
        <v>-109179.51999999999</v>
      </c>
      <c r="Y13" s="2"/>
      <c r="Z13" s="19">
        <f t="shared" si="3"/>
        <v>-0.6412856312150883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--5218.66</f>
        <v>5218.66</v>
      </c>
      <c r="E14" s="2"/>
      <c r="F14" s="19"/>
      <c r="G14" s="2"/>
      <c r="H14" s="2">
        <v>18985</v>
      </c>
      <c r="I14" s="2"/>
      <c r="J14" s="19"/>
      <c r="K14" s="2"/>
      <c r="L14" s="2">
        <f t="shared" si="0"/>
        <v>-13766.34</v>
      </c>
      <c r="M14" s="2"/>
      <c r="N14" s="19">
        <f t="shared" si="1"/>
        <v>-0.7251166710560969</v>
      </c>
      <c r="O14" s="11"/>
      <c r="P14" s="2">
        <f>--22537.83</f>
        <v>22537.83</v>
      </c>
      <c r="Q14" s="2"/>
      <c r="R14" s="19"/>
      <c r="S14" s="2"/>
      <c r="T14" s="2">
        <v>79557</v>
      </c>
      <c r="U14" s="2"/>
      <c r="V14" s="19"/>
      <c r="W14" s="2"/>
      <c r="X14" s="2">
        <f t="shared" si="2"/>
        <v>-57019.17</v>
      </c>
      <c r="Y14" s="2"/>
      <c r="Z14" s="19">
        <f t="shared" si="3"/>
        <v>-0.71670839775255479</v>
      </c>
    </row>
    <row r="15" spans="1:26" s="24" customFormat="1" hidden="1" outlineLevel="1" x14ac:dyDescent="0.3">
      <c r="A15" s="44"/>
      <c r="B15" s="11" t="str">
        <f>CONCATENATE("          ", "4200", " - ", "TAXABLE RETURNS")</f>
        <v xml:space="preserve">          4200 - TAXABLE RETURNS</v>
      </c>
      <c r="C15" s="11"/>
      <c r="D15" s="2">
        <f>-97.23</f>
        <v>-97.23</v>
      </c>
      <c r="E15" s="2"/>
      <c r="F15" s="19"/>
      <c r="G15" s="2"/>
      <c r="H15" s="2"/>
      <c r="I15" s="2"/>
      <c r="J15" s="19"/>
      <c r="K15" s="2"/>
      <c r="L15" s="2">
        <f t="shared" si="0"/>
        <v>-97.23</v>
      </c>
      <c r="M15" s="2"/>
      <c r="N15" s="19">
        <f t="shared" si="1"/>
        <v>0</v>
      </c>
      <c r="O15" s="11"/>
      <c r="P15" s="2">
        <f>-972.52</f>
        <v>-972.52</v>
      </c>
      <c r="Q15" s="2"/>
      <c r="R15" s="19"/>
      <c r="S15" s="2"/>
      <c r="T15" s="2"/>
      <c r="U15" s="2"/>
      <c r="V15" s="19"/>
      <c r="W15" s="2"/>
      <c r="X15" s="2">
        <f t="shared" si="2"/>
        <v>-972.52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"4500", " - ", "SALES DISCOUNT")</f>
        <v xml:space="preserve">          4500 - SALES DISCOUNT</v>
      </c>
      <c r="C16" s="11"/>
      <c r="D16" s="2">
        <f>-159.13</f>
        <v>-159.13</v>
      </c>
      <c r="E16" s="2"/>
      <c r="F16" s="19"/>
      <c r="G16" s="2"/>
      <c r="H16" s="2"/>
      <c r="I16" s="2"/>
      <c r="J16" s="19"/>
      <c r="K16" s="2"/>
      <c r="L16" s="2">
        <f t="shared" si="0"/>
        <v>-159.13</v>
      </c>
      <c r="M16" s="2"/>
      <c r="N16" s="19">
        <f t="shared" si="1"/>
        <v>0</v>
      </c>
      <c r="O16" s="11"/>
      <c r="P16" s="2">
        <f>-309.72</f>
        <v>-309.72000000000003</v>
      </c>
      <c r="Q16" s="2"/>
      <c r="R16" s="19"/>
      <c r="S16" s="2"/>
      <c r="T16" s="2"/>
      <c r="U16" s="2"/>
      <c r="V16" s="19"/>
      <c r="W16" s="2"/>
      <c r="X16" s="2">
        <f t="shared" si="2"/>
        <v>-309.72000000000003</v>
      </c>
      <c r="Y16" s="2"/>
      <c r="Z16" s="19">
        <f t="shared" si="3"/>
        <v>0</v>
      </c>
    </row>
    <row r="17" spans="1:26" x14ac:dyDescent="0.3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">
      <c r="A18" s="10"/>
      <c r="B18" s="25" t="s">
        <v>257</v>
      </c>
      <c r="C18" s="10"/>
      <c r="D18" s="4">
        <f>SUM(OSRRefD16x_0)</f>
        <v>8191.56</v>
      </c>
      <c r="E18" s="4"/>
      <c r="F18" s="12">
        <f t="shared" ref="F18:F28" si="4">IF(D$12=0,0,D18/D$12)</f>
        <v>0.5540554342216597</v>
      </c>
      <c r="G18" s="4"/>
      <c r="H18" s="4">
        <f>SUM(OSRRefH16x_0)</f>
        <v>26289</v>
      </c>
      <c r="I18" s="4"/>
      <c r="J18" s="12">
        <f t="shared" ref="J18:J28" si="5">IF(H$12=0,0,H18/H$12)</f>
        <v>0.54529049387069339</v>
      </c>
      <c r="K18" s="4"/>
      <c r="L18" s="4">
        <f t="shared" ref="L18:L28" si="6">+D18-H18</f>
        <v>-18097.439999999999</v>
      </c>
      <c r="M18" s="4"/>
      <c r="N18" s="12">
        <f t="shared" ref="N18:N28" si="7">IF(H18=0,0,L18/H18)</f>
        <v>-0.68840351477804396</v>
      </c>
      <c r="O18" s="10"/>
      <c r="P18" s="4">
        <f>SUM(OSRRefP16x_0)</f>
        <v>46493.02</v>
      </c>
      <c r="Q18" s="4"/>
      <c r="R18" s="12">
        <f t="shared" ref="R18:R28" si="8">IF(P$12=0,0,P18/P$12)</f>
        <v>0.56473551166098834</v>
      </c>
      <c r="S18" s="4"/>
      <c r="T18" s="4">
        <f>SUM(OSRRefT16x_0)</f>
        <v>140530</v>
      </c>
      <c r="U18" s="4"/>
      <c r="V18" s="12">
        <f t="shared" ref="V18:V28" si="9">IF(T$12=0,0,T18/T$12)</f>
        <v>0.56255203996669445</v>
      </c>
      <c r="W18" s="4"/>
      <c r="X18" s="4">
        <f t="shared" ref="X18:X28" si="10">+P18-T18</f>
        <v>-94036.98000000001</v>
      </c>
      <c r="Y18" s="4"/>
      <c r="Z18" s="12">
        <f t="shared" ref="Z18:Z28" si="11">IF(T18=0,0,X18/T18)</f>
        <v>-0.66915946772931056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2">
        <v>25133.41</v>
      </c>
      <c r="E19" s="2"/>
      <c r="F19" s="19">
        <f t="shared" si="4"/>
        <v>1.6999573208303431</v>
      </c>
      <c r="G19" s="2"/>
      <c r="H19" s="2">
        <v>26289</v>
      </c>
      <c r="I19" s="2"/>
      <c r="J19" s="19">
        <f t="shared" si="5"/>
        <v>0.54529049387069339</v>
      </c>
      <c r="K19" s="2"/>
      <c r="L19" s="2">
        <f t="shared" si="6"/>
        <v>-1155.5900000000001</v>
      </c>
      <c r="M19" s="2"/>
      <c r="N19" s="19">
        <f t="shared" si="7"/>
        <v>-4.3957168397428588E-2</v>
      </c>
      <c r="O19" s="11"/>
      <c r="P19" s="2">
        <v>72525.16</v>
      </c>
      <c r="Q19" s="2"/>
      <c r="R19" s="19">
        <f t="shared" si="8"/>
        <v>0.88093940425670447</v>
      </c>
      <c r="S19" s="2"/>
      <c r="T19" s="2">
        <v>140530</v>
      </c>
      <c r="U19" s="2"/>
      <c r="V19" s="19">
        <f t="shared" si="9"/>
        <v>0.56255203996669445</v>
      </c>
      <c r="W19" s="2"/>
      <c r="X19" s="2">
        <f t="shared" si="10"/>
        <v>-68004.84</v>
      </c>
      <c r="Y19" s="2"/>
      <c r="Z19" s="19">
        <f t="shared" si="11"/>
        <v>-0.48391688607414785</v>
      </c>
    </row>
    <row r="20" spans="1:26" s="24" customFormat="1" hidden="1" outlineLevel="1" x14ac:dyDescent="0.3">
      <c r="A20" s="44"/>
      <c r="B20" s="11" t="str">
        <f>CONCATENATE("          ", "5026", " - ", "PURCHASES @ COST-WRITING INSTR")</f>
        <v xml:space="preserve">          5026 - PURCHASES @ COST-WRITING INSTR</v>
      </c>
      <c r="C20" s="11"/>
      <c r="D20" s="2"/>
      <c r="E20" s="2"/>
      <c r="F20" s="19">
        <f t="shared" si="4"/>
        <v>0</v>
      </c>
      <c r="G20" s="2"/>
      <c r="H20" s="2"/>
      <c r="I20" s="2"/>
      <c r="J20" s="19">
        <f t="shared" si="5"/>
        <v>0</v>
      </c>
      <c r="K20" s="2"/>
      <c r="L20" s="2">
        <f t="shared" si="6"/>
        <v>0</v>
      </c>
      <c r="M20" s="2"/>
      <c r="N20" s="19">
        <f t="shared" si="7"/>
        <v>0</v>
      </c>
      <c r="O20" s="11"/>
      <c r="P20" s="2">
        <v>0</v>
      </c>
      <c r="Q20" s="2"/>
      <c r="R20" s="19">
        <f t="shared" si="8"/>
        <v>0</v>
      </c>
      <c r="S20" s="2"/>
      <c r="T20" s="2"/>
      <c r="U20" s="2"/>
      <c r="V20" s="19">
        <f t="shared" si="9"/>
        <v>0</v>
      </c>
      <c r="W20" s="2"/>
      <c r="X20" s="2">
        <f t="shared" si="10"/>
        <v>0</v>
      </c>
      <c r="Y20" s="2"/>
      <c r="Z20" s="19">
        <f t="shared" si="11"/>
        <v>0</v>
      </c>
    </row>
    <row r="21" spans="1:26" s="24" customFormat="1" hidden="1" outlineLevel="1" x14ac:dyDescent="0.3">
      <c r="A21" s="44"/>
      <c r="B21" s="11" t="str">
        <f>CONCATENATE("          ", "5027", " - ", "PURCHASES @ COST-SCHOOL SUPPLI")</f>
        <v xml:space="preserve">          5027 - PURCHASES @ COST-SCHOOL SUPPLI</v>
      </c>
      <c r="C21" s="11"/>
      <c r="D21" s="2"/>
      <c r="E21" s="2"/>
      <c r="F21" s="19">
        <f t="shared" si="4"/>
        <v>0</v>
      </c>
      <c r="G21" s="2"/>
      <c r="H21" s="2"/>
      <c r="I21" s="2"/>
      <c r="J21" s="19">
        <f t="shared" si="5"/>
        <v>0</v>
      </c>
      <c r="K21" s="2"/>
      <c r="L21" s="2">
        <f t="shared" si="6"/>
        <v>0</v>
      </c>
      <c r="M21" s="2"/>
      <c r="N21" s="19">
        <f t="shared" si="7"/>
        <v>0</v>
      </c>
      <c r="O21" s="11"/>
      <c r="P21" s="2">
        <v>0</v>
      </c>
      <c r="Q21" s="2"/>
      <c r="R21" s="19">
        <f t="shared" si="8"/>
        <v>0</v>
      </c>
      <c r="S21" s="2"/>
      <c r="T21" s="2"/>
      <c r="U21" s="2"/>
      <c r="V21" s="19">
        <f t="shared" si="9"/>
        <v>0</v>
      </c>
      <c r="W21" s="2"/>
      <c r="X21" s="2">
        <f t="shared" si="10"/>
        <v>0</v>
      </c>
      <c r="Y21" s="2"/>
      <c r="Z21" s="19">
        <f t="shared" si="11"/>
        <v>0</v>
      </c>
    </row>
    <row r="22" spans="1:26" s="24" customFormat="1" hidden="1" outlineLevel="1" x14ac:dyDescent="0.3">
      <c r="A22" s="44"/>
      <c r="B22" s="11" t="str">
        <f>CONCATENATE("          ", "5028", " - ", "PURCHASES @ COST-ART/TECH")</f>
        <v xml:space="preserve">          5028 - PURCHASES @ COST-ART/TECH</v>
      </c>
      <c r="C22" s="11"/>
      <c r="D22" s="2"/>
      <c r="E22" s="2"/>
      <c r="F22" s="19">
        <f t="shared" si="4"/>
        <v>0</v>
      </c>
      <c r="G22" s="2"/>
      <c r="H22" s="2"/>
      <c r="I22" s="2"/>
      <c r="J22" s="19">
        <f t="shared" si="5"/>
        <v>0</v>
      </c>
      <c r="K22" s="2"/>
      <c r="L22" s="2">
        <f t="shared" si="6"/>
        <v>0</v>
      </c>
      <c r="M22" s="2"/>
      <c r="N22" s="19">
        <f t="shared" si="7"/>
        <v>0</v>
      </c>
      <c r="O22" s="11"/>
      <c r="P22" s="2">
        <v>0</v>
      </c>
      <c r="Q22" s="2"/>
      <c r="R22" s="19">
        <f t="shared" si="8"/>
        <v>0</v>
      </c>
      <c r="S22" s="2"/>
      <c r="T22" s="2"/>
      <c r="U22" s="2"/>
      <c r="V22" s="19">
        <f t="shared" si="9"/>
        <v>0</v>
      </c>
      <c r="W22" s="2"/>
      <c r="X22" s="2">
        <f t="shared" si="10"/>
        <v>0</v>
      </c>
      <c r="Y22" s="2"/>
      <c r="Z22" s="19">
        <f t="shared" si="11"/>
        <v>0</v>
      </c>
    </row>
    <row r="23" spans="1:26" s="24" customFormat="1" hidden="1" outlineLevel="1" x14ac:dyDescent="0.3">
      <c r="A23" s="44"/>
      <c r="B23" s="11" t="str">
        <f>CONCATENATE("          ", "5031", " - ", "PURCHASES @ COST-FOOD")</f>
        <v xml:space="preserve">          5031 - PURCHASES @ COST-FOOD</v>
      </c>
      <c r="C23" s="11"/>
      <c r="D23" s="2"/>
      <c r="E23" s="2"/>
      <c r="F23" s="19">
        <f t="shared" si="4"/>
        <v>0</v>
      </c>
      <c r="G23" s="2"/>
      <c r="H23" s="2"/>
      <c r="I23" s="2"/>
      <c r="J23" s="19">
        <f t="shared" si="5"/>
        <v>0</v>
      </c>
      <c r="K23" s="2"/>
      <c r="L23" s="2">
        <f t="shared" si="6"/>
        <v>0</v>
      </c>
      <c r="M23" s="2"/>
      <c r="N23" s="19">
        <f t="shared" si="7"/>
        <v>0</v>
      </c>
      <c r="O23" s="11"/>
      <c r="P23" s="2">
        <v>0</v>
      </c>
      <c r="Q23" s="2"/>
      <c r="R23" s="19">
        <f t="shared" si="8"/>
        <v>0</v>
      </c>
      <c r="S23" s="2"/>
      <c r="T23" s="2"/>
      <c r="U23" s="2"/>
      <c r="V23" s="19">
        <f t="shared" si="9"/>
        <v>0</v>
      </c>
      <c r="W23" s="2"/>
      <c r="X23" s="2">
        <f t="shared" si="10"/>
        <v>0</v>
      </c>
      <c r="Y23" s="2"/>
      <c r="Z23" s="19">
        <f t="shared" si="11"/>
        <v>0</v>
      </c>
    </row>
    <row r="24" spans="1:26" s="24" customFormat="1" hidden="1" outlineLevel="1" x14ac:dyDescent="0.3">
      <c r="A24" s="44"/>
      <c r="B24" s="11" t="str">
        <f>CONCATENATE("          ", "5042", " - ", "PURCHASES @ COST-EVERYDAY GIFT")</f>
        <v xml:space="preserve">          5042 - PURCHASES @ COST-EVERYDAY GIFT</v>
      </c>
      <c r="C24" s="11"/>
      <c r="D24" s="2"/>
      <c r="E24" s="2"/>
      <c r="F24" s="19">
        <f t="shared" si="4"/>
        <v>0</v>
      </c>
      <c r="G24" s="2"/>
      <c r="H24" s="2"/>
      <c r="I24" s="2"/>
      <c r="J24" s="19">
        <f t="shared" si="5"/>
        <v>0</v>
      </c>
      <c r="K24" s="2"/>
      <c r="L24" s="2">
        <f t="shared" si="6"/>
        <v>0</v>
      </c>
      <c r="M24" s="2"/>
      <c r="N24" s="19">
        <f t="shared" si="7"/>
        <v>0</v>
      </c>
      <c r="O24" s="11"/>
      <c r="P24" s="2">
        <v>0</v>
      </c>
      <c r="Q24" s="2"/>
      <c r="R24" s="19">
        <f t="shared" si="8"/>
        <v>0</v>
      </c>
      <c r="S24" s="2"/>
      <c r="T24" s="2"/>
      <c r="U24" s="2"/>
      <c r="V24" s="19">
        <f t="shared" si="9"/>
        <v>0</v>
      </c>
      <c r="W24" s="2"/>
      <c r="X24" s="2">
        <f t="shared" si="10"/>
        <v>0</v>
      </c>
      <c r="Y24" s="2"/>
      <c r="Z24" s="19">
        <f t="shared" si="11"/>
        <v>0</v>
      </c>
    </row>
    <row r="25" spans="1:26" s="24" customFormat="1" hidden="1" outlineLevel="1" x14ac:dyDescent="0.3">
      <c r="A25" s="44"/>
      <c r="B25" s="11" t="str">
        <f>CONCATENATE("          ", "5200", " - ", "PURCHASES OFFSET")</f>
        <v xml:space="preserve">          5200 - PURCHASES OFFSET</v>
      </c>
      <c r="C25" s="11"/>
      <c r="D25" s="2">
        <v>-25192.57</v>
      </c>
      <c r="E25" s="2"/>
      <c r="F25" s="19">
        <f t="shared" si="4"/>
        <v>-1.7039587466257413</v>
      </c>
      <c r="G25" s="2"/>
      <c r="H25" s="2"/>
      <c r="I25" s="2"/>
      <c r="J25" s="19">
        <f t="shared" si="5"/>
        <v>0</v>
      </c>
      <c r="K25" s="2"/>
      <c r="L25" s="2">
        <f t="shared" si="6"/>
        <v>-25192.57</v>
      </c>
      <c r="M25" s="2"/>
      <c r="N25" s="19">
        <f t="shared" si="7"/>
        <v>0</v>
      </c>
      <c r="O25" s="11"/>
      <c r="P25" s="2">
        <v>-73336.55</v>
      </c>
      <c r="Q25" s="2"/>
      <c r="R25" s="19">
        <f t="shared" si="8"/>
        <v>-0.89079509327855355</v>
      </c>
      <c r="S25" s="2"/>
      <c r="T25" s="2"/>
      <c r="U25" s="2"/>
      <c r="V25" s="19">
        <f t="shared" si="9"/>
        <v>0</v>
      </c>
      <c r="W25" s="2"/>
      <c r="X25" s="2">
        <f t="shared" si="10"/>
        <v>-73336.55</v>
      </c>
      <c r="Y25" s="2"/>
      <c r="Z25" s="19">
        <f t="shared" si="11"/>
        <v>0</v>
      </c>
    </row>
    <row r="26" spans="1:26" s="24" customFormat="1" hidden="1" outlineLevel="1" x14ac:dyDescent="0.3">
      <c r="A26" s="44"/>
      <c r="B26" s="11" t="str">
        <f>CONCATENATE("          ", "5300", " - ", "COG$ OFFSET")</f>
        <v xml:space="preserve">          5300 - COG$ OFFSET</v>
      </c>
      <c r="C26" s="11"/>
      <c r="D26" s="2">
        <v>8191.56</v>
      </c>
      <c r="E26" s="2"/>
      <c r="F26" s="19">
        <f t="shared" si="4"/>
        <v>0.5540554342216597</v>
      </c>
      <c r="G26" s="2"/>
      <c r="H26" s="2"/>
      <c r="I26" s="2"/>
      <c r="J26" s="19">
        <f t="shared" si="5"/>
        <v>0</v>
      </c>
      <c r="K26" s="2"/>
      <c r="L26" s="2">
        <f t="shared" si="6"/>
        <v>8191.56</v>
      </c>
      <c r="M26" s="2"/>
      <c r="N26" s="19">
        <f t="shared" si="7"/>
        <v>0</v>
      </c>
      <c r="O26" s="11"/>
      <c r="P26" s="2">
        <v>46493.02</v>
      </c>
      <c r="Q26" s="2"/>
      <c r="R26" s="19">
        <f t="shared" si="8"/>
        <v>0.56473551166098834</v>
      </c>
      <c r="S26" s="2"/>
      <c r="T26" s="2"/>
      <c r="U26" s="2"/>
      <c r="V26" s="19">
        <f t="shared" si="9"/>
        <v>0</v>
      </c>
      <c r="W26" s="2"/>
      <c r="X26" s="2">
        <f t="shared" si="10"/>
        <v>46493.02</v>
      </c>
      <c r="Y26" s="2"/>
      <c r="Z26" s="19">
        <f t="shared" si="11"/>
        <v>0</v>
      </c>
    </row>
    <row r="27" spans="1:26" s="24" customFormat="1" hidden="1" outlineLevel="1" x14ac:dyDescent="0.3">
      <c r="A27" s="44"/>
      <c r="B27" s="11" t="str">
        <f>CONCATENATE("          ", "5500", " - ", "FREIGHT-IN")</f>
        <v xml:space="preserve">          5500 - FREIGHT-IN</v>
      </c>
      <c r="C27" s="11"/>
      <c r="D27" s="2">
        <v>59.16</v>
      </c>
      <c r="E27" s="2"/>
      <c r="F27" s="19">
        <f t="shared" si="4"/>
        <v>4.0014257953983595E-3</v>
      </c>
      <c r="G27" s="2"/>
      <c r="H27" s="2"/>
      <c r="I27" s="2"/>
      <c r="J27" s="19">
        <f t="shared" si="5"/>
        <v>0</v>
      </c>
      <c r="K27" s="2"/>
      <c r="L27" s="2">
        <f t="shared" si="6"/>
        <v>59.16</v>
      </c>
      <c r="M27" s="2"/>
      <c r="N27" s="19">
        <f t="shared" si="7"/>
        <v>0</v>
      </c>
      <c r="O27" s="11"/>
      <c r="P27" s="2">
        <v>811.39</v>
      </c>
      <c r="Q27" s="2"/>
      <c r="R27" s="19">
        <f t="shared" si="8"/>
        <v>9.855689021849072E-3</v>
      </c>
      <c r="S27" s="2"/>
      <c r="T27" s="2"/>
      <c r="U27" s="2"/>
      <c r="V27" s="19">
        <f t="shared" si="9"/>
        <v>0</v>
      </c>
      <c r="W27" s="2"/>
      <c r="X27" s="2">
        <f t="shared" si="10"/>
        <v>811.39</v>
      </c>
      <c r="Y27" s="2"/>
      <c r="Z27" s="19">
        <f t="shared" si="11"/>
        <v>0</v>
      </c>
    </row>
    <row r="28" spans="1:26" s="24" customFormat="1" hidden="1" outlineLevel="1" x14ac:dyDescent="0.3">
      <c r="A28" s="44"/>
      <c r="B28" s="11" t="str">
        <f>CONCATENATE("          ", "5528", " - ", "FREIGHT-IN-ART/TECH")</f>
        <v xml:space="preserve">          5528 - FREIGHT-IN-ART/TECH</v>
      </c>
      <c r="C28" s="11"/>
      <c r="D28" s="2"/>
      <c r="E28" s="2"/>
      <c r="F28" s="19">
        <f t="shared" si="4"/>
        <v>0</v>
      </c>
      <c r="G28" s="2"/>
      <c r="H28" s="2"/>
      <c r="I28" s="2"/>
      <c r="J28" s="19">
        <f t="shared" si="5"/>
        <v>0</v>
      </c>
      <c r="K28" s="2"/>
      <c r="L28" s="2">
        <f t="shared" si="6"/>
        <v>0</v>
      </c>
      <c r="M28" s="2"/>
      <c r="N28" s="19">
        <f t="shared" si="7"/>
        <v>0</v>
      </c>
      <c r="O28" s="11"/>
      <c r="P28" s="2">
        <v>0</v>
      </c>
      <c r="Q28" s="2"/>
      <c r="R28" s="19">
        <f t="shared" si="8"/>
        <v>0</v>
      </c>
      <c r="S28" s="2"/>
      <c r="T28" s="2"/>
      <c r="U28" s="2"/>
      <c r="V28" s="19">
        <f t="shared" si="9"/>
        <v>0</v>
      </c>
      <c r="W28" s="2"/>
      <c r="X28" s="2">
        <f t="shared" si="10"/>
        <v>0</v>
      </c>
      <c r="Y28" s="2"/>
      <c r="Z28" s="19">
        <f t="shared" si="11"/>
        <v>0</v>
      </c>
    </row>
    <row r="29" spans="1:26" x14ac:dyDescent="0.3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3">
      <c r="A30" s="10"/>
      <c r="B30" s="26" t="s">
        <v>108</v>
      </c>
      <c r="C30" s="26"/>
      <c r="D30" s="20">
        <f>D12-D18</f>
        <v>6593.170000000001</v>
      </c>
      <c r="E30" s="13"/>
      <c r="F30" s="22">
        <f>IF(D$12=0,0,D30/D$12)</f>
        <v>0.44594456577834024</v>
      </c>
      <c r="G30" s="13"/>
      <c r="H30" s="20">
        <f>H12-H18</f>
        <v>21922</v>
      </c>
      <c r="I30" s="13"/>
      <c r="J30" s="22">
        <f>IF(H$12=0,0,H30/H$12)</f>
        <v>0.45470950612930661</v>
      </c>
      <c r="K30" s="15"/>
      <c r="L30" s="20">
        <f>+D30-H30</f>
        <v>-15328.829999999998</v>
      </c>
      <c r="M30" s="15"/>
      <c r="N30" s="22">
        <f>IF(H30=0,0,L30/H30)</f>
        <v>-0.69924413830854837</v>
      </c>
      <c r="O30" s="25"/>
      <c r="P30" s="20">
        <f>P12-P18</f>
        <v>35834.049999999996</v>
      </c>
      <c r="Q30" s="13"/>
      <c r="R30" s="22">
        <f>IF(P$12=0,0,P30/P$12)</f>
        <v>0.43526448833901171</v>
      </c>
      <c r="S30" s="13"/>
      <c r="T30" s="20">
        <f>T12-T18</f>
        <v>109278</v>
      </c>
      <c r="U30" s="13"/>
      <c r="V30" s="22">
        <f>IF(T$12=0,0,T30/T$12)</f>
        <v>0.43744796003330561</v>
      </c>
      <c r="W30" s="15"/>
      <c r="X30" s="20">
        <f>+P30-T30</f>
        <v>-73443.950000000012</v>
      </c>
      <c r="Y30" s="15"/>
      <c r="Z30" s="22">
        <f>IF(T30=0,0,X30/T30)</f>
        <v>-0.67208358498508403</v>
      </c>
    </row>
    <row r="31" spans="1:26" x14ac:dyDescent="0.3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6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3">
      <c r="A32" s="10"/>
      <c r="B32" s="25" t="s">
        <v>295</v>
      </c>
      <c r="C32" s="10"/>
      <c r="D32" s="21">
        <f>SUM(OSRRefD22x_0)</f>
        <v>6777.829999999999</v>
      </c>
      <c r="E32" s="21"/>
      <c r="F32" s="30">
        <f t="shared" ref="F32:F41" si="12">IF(D$12=0,0,D32/D$12)</f>
        <v>0.45843447935809434</v>
      </c>
      <c r="G32" s="21"/>
      <c r="H32" s="21">
        <f>SUM(OSRRefH22x_0)</f>
        <v>10360.615600000001</v>
      </c>
      <c r="I32" s="21"/>
      <c r="J32" s="30">
        <f t="shared" ref="J32:J41" si="13">IF(H$12=0,0,H32/H$12)</f>
        <v>0.21490148721246191</v>
      </c>
      <c r="K32" s="4"/>
      <c r="L32" s="21">
        <f t="shared" ref="L32:L41" si="14">+D32-H32</f>
        <v>-3582.785600000002</v>
      </c>
      <c r="M32" s="4"/>
      <c r="N32" s="30">
        <f t="shared" ref="N32:N41" si="15">IF(H32=0,0,L32/H32)</f>
        <v>-0.3458081776530732</v>
      </c>
      <c r="O32" s="10"/>
      <c r="P32" s="21">
        <f>SUM(OSRRefP22x_0)</f>
        <v>20994.720000000001</v>
      </c>
      <c r="Q32" s="21"/>
      <c r="R32" s="30">
        <f t="shared" ref="R32:R41" si="16">IF(P$12=0,0,P32/P$12)</f>
        <v>0.25501599899036859</v>
      </c>
      <c r="S32" s="21"/>
      <c r="T32" s="21">
        <f>SUM(OSRRefT22x_0)</f>
        <v>57416.923150000002</v>
      </c>
      <c r="U32" s="21"/>
      <c r="V32" s="30">
        <f t="shared" ref="V32:V41" si="17">IF(T$12=0,0,T32/T$12)</f>
        <v>0.22984421295554988</v>
      </c>
      <c r="W32" s="4"/>
      <c r="X32" s="21">
        <f t="shared" ref="X32:X41" si="18">+P32-T32</f>
        <v>-36422.203150000001</v>
      </c>
      <c r="Y32" s="4"/>
      <c r="Z32" s="30">
        <f t="shared" ref="Z32:Z41" si="19">IF(T32=0,0,X32/T32)</f>
        <v>-0.63434613266977191</v>
      </c>
    </row>
    <row r="33" spans="1:26" s="29" customFormat="1" outlineLevel="1" collapsed="1" x14ac:dyDescent="0.3">
      <c r="A33" s="28"/>
      <c r="B33" s="14" t="str">
        <f>CONCATENATE("     ","*Benefits                                         ")</f>
        <v xml:space="preserve">     *Benefits                                         </v>
      </c>
      <c r="C33" s="14"/>
      <c r="D33" s="1">
        <f>SUM(OSRRefD22_0x_0)</f>
        <v>95.39</v>
      </c>
      <c r="E33" s="1"/>
      <c r="F33" s="5">
        <f t="shared" si="12"/>
        <v>6.4519270896391066E-3</v>
      </c>
      <c r="G33" s="1"/>
      <c r="H33" s="1">
        <f>SUM(OSRRefH22_0x_0)</f>
        <v>573.61560000000009</v>
      </c>
      <c r="I33" s="1"/>
      <c r="J33" s="5">
        <f t="shared" si="13"/>
        <v>1.1898023272697103E-2</v>
      </c>
      <c r="K33" s="1"/>
      <c r="L33" s="1">
        <f t="shared" si="14"/>
        <v>-478.2256000000001</v>
      </c>
      <c r="M33" s="1"/>
      <c r="N33" s="5">
        <f t="shared" si="15"/>
        <v>-0.83370396481546183</v>
      </c>
      <c r="O33" s="14"/>
      <c r="P33" s="1">
        <f>SUM(OSRRefP22_0x_0)</f>
        <v>225.75</v>
      </c>
      <c r="Q33" s="1"/>
      <c r="R33" s="5">
        <f t="shared" si="16"/>
        <v>2.7421114343070879E-3</v>
      </c>
      <c r="S33" s="1"/>
      <c r="T33" s="1">
        <f>SUM(OSRRefT22_0x_0)</f>
        <v>4225.9231499999996</v>
      </c>
      <c r="U33" s="1"/>
      <c r="V33" s="5">
        <f t="shared" si="17"/>
        <v>1.6916684613783383E-2</v>
      </c>
      <c r="W33" s="1"/>
      <c r="X33" s="1">
        <f t="shared" si="18"/>
        <v>-4000.1731499999996</v>
      </c>
      <c r="Y33" s="1"/>
      <c r="Z33" s="5">
        <f t="shared" si="19"/>
        <v>-0.94657971951051689</v>
      </c>
    </row>
    <row r="34" spans="1:26" s="24" customFormat="1" hidden="1" outlineLevel="2" x14ac:dyDescent="0.3">
      <c r="A34" s="27"/>
      <c r="B34" s="11" t="str">
        <f>CONCATENATE("          ", "6111", " - ", "F.I.C.A.")</f>
        <v xml:space="preserve">          6111 - F.I.C.A.</v>
      </c>
      <c r="C34" s="11"/>
      <c r="D34" s="6"/>
      <c r="E34" s="2"/>
      <c r="F34" s="7">
        <f t="shared" si="12"/>
        <v>0</v>
      </c>
      <c r="G34" s="2"/>
      <c r="H34" s="6">
        <v>146.9376</v>
      </c>
      <c r="I34" s="2"/>
      <c r="J34" s="7">
        <f t="shared" si="13"/>
        <v>3.0478023687540187E-3</v>
      </c>
      <c r="K34" s="2"/>
      <c r="L34" s="6">
        <f t="shared" si="14"/>
        <v>-146.9376</v>
      </c>
      <c r="M34" s="2"/>
      <c r="N34" s="7">
        <f t="shared" si="15"/>
        <v>-1</v>
      </c>
      <c r="O34" s="11"/>
      <c r="P34" s="6">
        <v>10.31</v>
      </c>
      <c r="Q34" s="2"/>
      <c r="R34" s="7">
        <f t="shared" si="16"/>
        <v>1.2523219883812215E-4</v>
      </c>
      <c r="S34" s="2"/>
      <c r="T34" s="6">
        <v>1879.19415</v>
      </c>
      <c r="U34" s="2"/>
      <c r="V34" s="7">
        <f t="shared" si="17"/>
        <v>7.5225539214116444E-3</v>
      </c>
      <c r="W34" s="2"/>
      <c r="X34" s="6">
        <f t="shared" si="18"/>
        <v>-1868.8841500000001</v>
      </c>
      <c r="Y34" s="2"/>
      <c r="Z34" s="7">
        <f t="shared" si="19"/>
        <v>-0.99451360573892811</v>
      </c>
    </row>
    <row r="35" spans="1:26" s="24" customFormat="1" hidden="1" outlineLevel="2" x14ac:dyDescent="0.3">
      <c r="A35" s="27"/>
      <c r="B35" s="11" t="str">
        <f>CONCATENATE("          ", "6112", " - ", "COMPENSATION INSURANCE")</f>
        <v xml:space="preserve">          6112 - COMPENSATION INSURANCE</v>
      </c>
      <c r="C35" s="11"/>
      <c r="D35" s="6">
        <v>81.14</v>
      </c>
      <c r="E35" s="2"/>
      <c r="F35" s="7">
        <f t="shared" si="12"/>
        <v>5.4880948113357492E-3</v>
      </c>
      <c r="G35" s="2"/>
      <c r="H35" s="6">
        <v>126.98399999999999</v>
      </c>
      <c r="I35" s="2"/>
      <c r="J35" s="7">
        <f t="shared" si="13"/>
        <v>2.6339217191097466E-3</v>
      </c>
      <c r="K35" s="2"/>
      <c r="L35" s="6">
        <f t="shared" si="14"/>
        <v>-45.843999999999994</v>
      </c>
      <c r="M35" s="2"/>
      <c r="N35" s="7">
        <f t="shared" si="15"/>
        <v>-0.36102186102186101</v>
      </c>
      <c r="O35" s="11"/>
      <c r="P35" s="6">
        <v>183.25</v>
      </c>
      <c r="Q35" s="2"/>
      <c r="R35" s="7">
        <f t="shared" si="16"/>
        <v>2.2258778309491643E-3</v>
      </c>
      <c r="S35" s="2"/>
      <c r="T35" s="6">
        <v>698.41200000000003</v>
      </c>
      <c r="U35" s="2"/>
      <c r="V35" s="7">
        <f t="shared" si="17"/>
        <v>2.7957951706910908E-3</v>
      </c>
      <c r="W35" s="2"/>
      <c r="X35" s="6">
        <f t="shared" si="18"/>
        <v>-515.16200000000003</v>
      </c>
      <c r="Y35" s="2"/>
      <c r="Z35" s="7">
        <f t="shared" si="19"/>
        <v>-0.73761905580087395</v>
      </c>
    </row>
    <row r="36" spans="1:26" s="24" customFormat="1" hidden="1" outlineLevel="2" x14ac:dyDescent="0.3">
      <c r="A36" s="27"/>
      <c r="B36" s="11" t="str">
        <f>CONCATENATE("          ", "6113", " - ", "GROUP INSURANCE")</f>
        <v xml:space="preserve">          6113 - GROUP INSURANCE</v>
      </c>
      <c r="C36" s="11"/>
      <c r="D36" s="6"/>
      <c r="E36" s="2"/>
      <c r="F36" s="7">
        <f t="shared" si="12"/>
        <v>0</v>
      </c>
      <c r="G36" s="2"/>
      <c r="H36" s="6">
        <v>0</v>
      </c>
      <c r="I36" s="2"/>
      <c r="J36" s="7">
        <f t="shared" si="13"/>
        <v>0</v>
      </c>
      <c r="K36" s="2"/>
      <c r="L36" s="6">
        <f t="shared" si="14"/>
        <v>0</v>
      </c>
      <c r="M36" s="2"/>
      <c r="N36" s="7">
        <f t="shared" si="15"/>
        <v>0</v>
      </c>
      <c r="O36" s="11"/>
      <c r="P36" s="6"/>
      <c r="Q36" s="2"/>
      <c r="R36" s="7">
        <f t="shared" si="16"/>
        <v>0</v>
      </c>
      <c r="S36" s="2"/>
      <c r="T36" s="6">
        <v>0</v>
      </c>
      <c r="U36" s="2"/>
      <c r="V36" s="7">
        <f t="shared" si="17"/>
        <v>0</v>
      </c>
      <c r="W36" s="2"/>
      <c r="X36" s="6">
        <f t="shared" si="18"/>
        <v>0</v>
      </c>
      <c r="Y36" s="2"/>
      <c r="Z36" s="7">
        <f t="shared" si="19"/>
        <v>0</v>
      </c>
    </row>
    <row r="37" spans="1:26" s="24" customFormat="1" hidden="1" outlineLevel="2" x14ac:dyDescent="0.3">
      <c r="A37" s="27"/>
      <c r="B37" s="11" t="str">
        <f>CONCATENATE("          ", "6114", " - ", "STATE UNEMPLOYMENT INSURANCE")</f>
        <v xml:space="preserve">          6114 - STATE UNEMPLOYMENT INSURANCE</v>
      </c>
      <c r="C37" s="11"/>
      <c r="D37" s="6">
        <v>14.25</v>
      </c>
      <c r="E37" s="2"/>
      <c r="F37" s="7">
        <f t="shared" si="12"/>
        <v>9.6383227830335754E-4</v>
      </c>
      <c r="G37" s="2"/>
      <c r="H37" s="6">
        <v>17.094000000000001</v>
      </c>
      <c r="I37" s="2"/>
      <c r="J37" s="7">
        <f t="shared" si="13"/>
        <v>3.5456638526477365E-4</v>
      </c>
      <c r="K37" s="2"/>
      <c r="L37" s="6">
        <f t="shared" si="14"/>
        <v>-2.8440000000000012</v>
      </c>
      <c r="M37" s="2"/>
      <c r="N37" s="7">
        <f t="shared" si="15"/>
        <v>-0.16637416637416644</v>
      </c>
      <c r="O37" s="11"/>
      <c r="P37" s="6">
        <v>32.19</v>
      </c>
      <c r="Q37" s="2"/>
      <c r="R37" s="7">
        <f t="shared" si="16"/>
        <v>3.9100140451980132E-4</v>
      </c>
      <c r="S37" s="2"/>
      <c r="T37" s="6">
        <v>94.016999999999996</v>
      </c>
      <c r="U37" s="2"/>
      <c r="V37" s="7">
        <f t="shared" si="17"/>
        <v>3.7635704220841603E-4</v>
      </c>
      <c r="W37" s="2"/>
      <c r="X37" s="6">
        <f t="shared" si="18"/>
        <v>-61.826999999999998</v>
      </c>
      <c r="Y37" s="2"/>
      <c r="Z37" s="7">
        <f t="shared" si="19"/>
        <v>-0.65761511216056667</v>
      </c>
    </row>
    <row r="38" spans="1:26" s="24" customFormat="1" hidden="1" outlineLevel="2" x14ac:dyDescent="0.3">
      <c r="A38" s="27"/>
      <c r="B38" s="11" t="str">
        <f>CONCATENATE("          ", "6115", " - ", "P.E.R.S.")</f>
        <v xml:space="preserve">          6115 - P.E.R.S.</v>
      </c>
      <c r="C38" s="11"/>
      <c r="D38" s="6"/>
      <c r="E38" s="2"/>
      <c r="F38" s="7">
        <f t="shared" si="12"/>
        <v>0</v>
      </c>
      <c r="G38" s="2"/>
      <c r="H38" s="6">
        <v>0</v>
      </c>
      <c r="I38" s="2"/>
      <c r="J38" s="7">
        <f t="shared" si="13"/>
        <v>0</v>
      </c>
      <c r="K38" s="2"/>
      <c r="L38" s="6">
        <f t="shared" si="14"/>
        <v>0</v>
      </c>
      <c r="M38" s="2"/>
      <c r="N38" s="7">
        <f t="shared" si="15"/>
        <v>0</v>
      </c>
      <c r="O38" s="11"/>
      <c r="P38" s="6"/>
      <c r="Q38" s="2"/>
      <c r="R38" s="7">
        <f t="shared" si="16"/>
        <v>0</v>
      </c>
      <c r="S38" s="2"/>
      <c r="T38" s="6">
        <v>0</v>
      </c>
      <c r="U38" s="2"/>
      <c r="V38" s="7">
        <f t="shared" si="17"/>
        <v>0</v>
      </c>
      <c r="W38" s="2"/>
      <c r="X38" s="6">
        <f t="shared" si="18"/>
        <v>0</v>
      </c>
      <c r="Y38" s="2"/>
      <c r="Z38" s="7">
        <f t="shared" si="19"/>
        <v>0</v>
      </c>
    </row>
    <row r="39" spans="1:26" s="24" customFormat="1" hidden="1" outlineLevel="2" x14ac:dyDescent="0.3">
      <c r="A39" s="27"/>
      <c r="B39" s="11" t="str">
        <f>CONCATENATE("          ", "6116", " - ", "EDUCATIONAL BENEFITS")</f>
        <v xml:space="preserve">          6116 - EDUCATIONAL BENEFITS</v>
      </c>
      <c r="C39" s="11"/>
      <c r="D39" s="6"/>
      <c r="E39" s="2"/>
      <c r="F39" s="7">
        <f t="shared" si="12"/>
        <v>0</v>
      </c>
      <c r="G39" s="2"/>
      <c r="H39" s="6">
        <v>0</v>
      </c>
      <c r="I39" s="2"/>
      <c r="J39" s="7">
        <f t="shared" si="13"/>
        <v>0</v>
      </c>
      <c r="K39" s="2"/>
      <c r="L39" s="6">
        <f t="shared" si="14"/>
        <v>0</v>
      </c>
      <c r="M39" s="2"/>
      <c r="N39" s="7">
        <f t="shared" si="15"/>
        <v>0</v>
      </c>
      <c r="O39" s="11"/>
      <c r="P39" s="6"/>
      <c r="Q39" s="2"/>
      <c r="R39" s="7">
        <f t="shared" si="16"/>
        <v>0</v>
      </c>
      <c r="S39" s="2"/>
      <c r="T39" s="6">
        <v>0</v>
      </c>
      <c r="U39" s="2"/>
      <c r="V39" s="7">
        <f t="shared" si="17"/>
        <v>0</v>
      </c>
      <c r="W39" s="2"/>
      <c r="X39" s="6">
        <f t="shared" si="18"/>
        <v>0</v>
      </c>
      <c r="Y39" s="2"/>
      <c r="Z39" s="7">
        <f t="shared" si="19"/>
        <v>0</v>
      </c>
    </row>
    <row r="40" spans="1:26" s="24" customFormat="1" hidden="1" outlineLevel="2" x14ac:dyDescent="0.3">
      <c r="A40" s="27"/>
      <c r="B40" s="11" t="str">
        <f>CONCATENATE("          ", "6118", " - ", "VACATION")</f>
        <v xml:space="preserve">          6118 - VACATION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4" customFormat="1" hidden="1" outlineLevel="2" x14ac:dyDescent="0.3">
      <c r="A41" s="27"/>
      <c r="B41" s="11" t="str">
        <f>CONCATENATE("          ", "6119", " - ", "SICK LEAVE")</f>
        <v xml:space="preserve">          6119 - SICK LEAVE</v>
      </c>
      <c r="C41" s="11"/>
      <c r="D41" s="6"/>
      <c r="E41" s="2"/>
      <c r="F41" s="7">
        <f t="shared" si="12"/>
        <v>0</v>
      </c>
      <c r="G41" s="2"/>
      <c r="H41" s="6">
        <v>282.60000000000002</v>
      </c>
      <c r="I41" s="2"/>
      <c r="J41" s="7">
        <f t="shared" si="13"/>
        <v>5.8617327995685638E-3</v>
      </c>
      <c r="K41" s="2"/>
      <c r="L41" s="6">
        <f t="shared" si="14"/>
        <v>-282.60000000000002</v>
      </c>
      <c r="M41" s="2"/>
      <c r="N41" s="7">
        <f t="shared" si="15"/>
        <v>-1</v>
      </c>
      <c r="O41" s="11"/>
      <c r="P41" s="6"/>
      <c r="Q41" s="2"/>
      <c r="R41" s="7">
        <f t="shared" si="16"/>
        <v>0</v>
      </c>
      <c r="S41" s="2"/>
      <c r="T41" s="6">
        <v>1554.3</v>
      </c>
      <c r="U41" s="2"/>
      <c r="V41" s="7">
        <f t="shared" si="17"/>
        <v>6.2219784794722349E-3</v>
      </c>
      <c r="W41" s="2"/>
      <c r="X41" s="6">
        <f t="shared" si="18"/>
        <v>-1554.3</v>
      </c>
      <c r="Y41" s="2"/>
      <c r="Z41" s="7">
        <f t="shared" si="19"/>
        <v>-1</v>
      </c>
    </row>
    <row r="42" spans="1:26" s="29" customFormat="1" outlineLevel="1" collapsed="1" x14ac:dyDescent="0.3">
      <c r="A42" s="28"/>
      <c r="B42" s="14" t="str">
        <f>CONCATENATE("     ","*Payroll                                          ")</f>
        <v xml:space="preserve">     *Payroll                                          </v>
      </c>
      <c r="C42" s="14"/>
      <c r="D42" s="1">
        <f>SUM(OSRRefD22_1x_0)</f>
        <v>4766.68</v>
      </c>
      <c r="E42" s="1"/>
      <c r="F42" s="5">
        <f t="shared" ref="F42:F52" si="20">IF(D$12=0,0,D42/D$12)</f>
        <v>0.3224056171468806</v>
      </c>
      <c r="G42" s="1"/>
      <c r="H42" s="1">
        <f>SUM(OSRRefH22_1x_0)</f>
        <v>8044</v>
      </c>
      <c r="I42" s="1"/>
      <c r="J42" s="5">
        <f t="shared" ref="J42:J52" si="21">IF(H$12=0,0,H42/H$12)</f>
        <v>0.16684988902947459</v>
      </c>
      <c r="K42" s="1"/>
      <c r="L42" s="1">
        <f t="shared" ref="L42:L52" si="22">+D42-H42</f>
        <v>-3277.3199999999997</v>
      </c>
      <c r="M42" s="1"/>
      <c r="N42" s="5">
        <f t="shared" ref="N42:N52" si="23">IF(H42=0,0,L42/H42)</f>
        <v>-0.40742416708105417</v>
      </c>
      <c r="O42" s="14"/>
      <c r="P42" s="1">
        <f>SUM(OSRRefP22_1x_0)</f>
        <v>10723.59</v>
      </c>
      <c r="Q42" s="1"/>
      <c r="R42" s="5">
        <f t="shared" ref="R42:R52" si="24">IF(P$12=0,0,P42/P$12)</f>
        <v>0.13025594133254106</v>
      </c>
      <c r="S42" s="1"/>
      <c r="T42" s="1">
        <f>SUM(OSRRefT22_1x_0)</f>
        <v>44242</v>
      </c>
      <c r="U42" s="1"/>
      <c r="V42" s="5">
        <f t="shared" ref="V42:V52" si="25">IF(T$12=0,0,T42/T$12)</f>
        <v>0.17710401588419908</v>
      </c>
      <c r="W42" s="1"/>
      <c r="X42" s="1">
        <f t="shared" ref="X42:X52" si="26">+P42-T42</f>
        <v>-33518.410000000003</v>
      </c>
      <c r="Y42" s="1"/>
      <c r="Z42" s="5">
        <f t="shared" ref="Z42:Z52" si="27">IF(T42=0,0,X42/T42)</f>
        <v>-0.7576151620631979</v>
      </c>
    </row>
    <row r="43" spans="1:26" s="24" customFormat="1" hidden="1" outlineLevel="2" x14ac:dyDescent="0.3">
      <c r="A43" s="27"/>
      <c r="B43" s="11" t="str">
        <f>CONCATENATE("          ", "6001", " - ", "ADMINISTRATIVE SALARIES")</f>
        <v xml:space="preserve">          6001 - ADMINISTRATIVE SALARIES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4" customFormat="1" hidden="1" outlineLevel="2" x14ac:dyDescent="0.3">
      <c r="A44" s="27"/>
      <c r="B44" s="11" t="str">
        <f>CONCATENATE("          ", "6002", " - ", "STAFF SALARIES")</f>
        <v xml:space="preserve">          6002 - STAFF SALARIES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3">
      <c r="A45" s="27"/>
      <c r="B45" s="11" t="str">
        <f>CONCATENATE("          ", "6003", " - ", "STAFF HOURLY-9 MONTH")</f>
        <v xml:space="preserve">          6003 - STAFF HOURLY-9 MONTH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3">
      <c r="A46" s="27"/>
      <c r="B46" s="11" t="str">
        <f>CONCATENATE("          ", "6004", " - ", "STAFF HOURLY")</f>
        <v xml:space="preserve">          6004 - STAFF HOURLY</v>
      </c>
      <c r="C46" s="11"/>
      <c r="D46" s="6"/>
      <c r="E46" s="2"/>
      <c r="F46" s="7">
        <f t="shared" si="20"/>
        <v>0</v>
      </c>
      <c r="G46" s="2"/>
      <c r="H46" s="6">
        <v>1824</v>
      </c>
      <c r="I46" s="2"/>
      <c r="J46" s="7">
        <f t="shared" si="21"/>
        <v>3.7833689406981806E-2</v>
      </c>
      <c r="K46" s="2"/>
      <c r="L46" s="6">
        <f t="shared" si="22"/>
        <v>-1824</v>
      </c>
      <c r="M46" s="2"/>
      <c r="N46" s="7">
        <f t="shared" si="23"/>
        <v>-1</v>
      </c>
      <c r="O46" s="11"/>
      <c r="P46" s="6"/>
      <c r="Q46" s="2"/>
      <c r="R46" s="7">
        <f t="shared" si="24"/>
        <v>0</v>
      </c>
      <c r="S46" s="2"/>
      <c r="T46" s="6">
        <v>10032</v>
      </c>
      <c r="U46" s="2"/>
      <c r="V46" s="7">
        <f t="shared" si="25"/>
        <v>4.0158841990648821E-2</v>
      </c>
      <c r="W46" s="2"/>
      <c r="X46" s="6">
        <f t="shared" si="26"/>
        <v>-10032</v>
      </c>
      <c r="Y46" s="2"/>
      <c r="Z46" s="7">
        <f t="shared" si="27"/>
        <v>-1</v>
      </c>
    </row>
    <row r="47" spans="1:26" s="24" customFormat="1" hidden="1" outlineLevel="2" x14ac:dyDescent="0.3">
      <c r="A47" s="27"/>
      <c r="B47" s="11" t="str">
        <f>CONCATENATE("          ", "6005", " - ", "TEMPORARY WAGES-HOURLY")</f>
        <v xml:space="preserve">          6005 - TEMPORARY WAGES-HOURLY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>
        <v>134.81</v>
      </c>
      <c r="Q47" s="2"/>
      <c r="R47" s="7">
        <f t="shared" si="24"/>
        <v>1.6374929898513334E-3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134.81</v>
      </c>
      <c r="Y47" s="2"/>
      <c r="Z47" s="7">
        <f t="shared" si="27"/>
        <v>0</v>
      </c>
    </row>
    <row r="48" spans="1:26" s="24" customFormat="1" hidden="1" outlineLevel="2" x14ac:dyDescent="0.3">
      <c r="A48" s="27"/>
      <c r="B48" s="11" t="str">
        <f>CONCATENATE("          ", "6006", " - ", "TEMPORARY PART TIME")</f>
        <v xml:space="preserve">          6006 - TEMPORARY PART TIME</v>
      </c>
      <c r="C48" s="11"/>
      <c r="D48" s="6"/>
      <c r="E48" s="2"/>
      <c r="F48" s="7">
        <f t="shared" si="20"/>
        <v>0</v>
      </c>
      <c r="G48" s="2"/>
      <c r="H48" s="6">
        <v>0</v>
      </c>
      <c r="I48" s="2"/>
      <c r="J48" s="7">
        <f t="shared" si="21"/>
        <v>0</v>
      </c>
      <c r="K48" s="2"/>
      <c r="L48" s="6">
        <f t="shared" si="22"/>
        <v>0</v>
      </c>
      <c r="M48" s="2"/>
      <c r="N48" s="7">
        <f t="shared" si="23"/>
        <v>0</v>
      </c>
      <c r="O48" s="11"/>
      <c r="P48" s="6"/>
      <c r="Q48" s="2"/>
      <c r="R48" s="7">
        <f t="shared" si="24"/>
        <v>0</v>
      </c>
      <c r="S48" s="2"/>
      <c r="T48" s="6">
        <v>0</v>
      </c>
      <c r="U48" s="2"/>
      <c r="V48" s="7">
        <f t="shared" si="25"/>
        <v>0</v>
      </c>
      <c r="W48" s="2"/>
      <c r="X48" s="6">
        <f t="shared" si="26"/>
        <v>0</v>
      </c>
      <c r="Y48" s="2"/>
      <c r="Z48" s="7">
        <f t="shared" si="27"/>
        <v>0</v>
      </c>
    </row>
    <row r="49" spans="1:26" s="24" customFormat="1" hidden="1" outlineLevel="2" x14ac:dyDescent="0.3">
      <c r="A49" s="27"/>
      <c r="B49" s="11" t="str">
        <f>CONCATENATE("          ", "6007", " - ", "STUDENT HOURLY")</f>
        <v xml:space="preserve">          6007 - STUDENT HOURLY</v>
      </c>
      <c r="C49" s="11"/>
      <c r="D49" s="6">
        <v>3684.6</v>
      </c>
      <c r="E49" s="2"/>
      <c r="F49" s="7">
        <f t="shared" si="20"/>
        <v>0.24921659036045971</v>
      </c>
      <c r="G49" s="2"/>
      <c r="H49" s="6">
        <v>0</v>
      </c>
      <c r="I49" s="2"/>
      <c r="J49" s="7">
        <f t="shared" si="21"/>
        <v>0</v>
      </c>
      <c r="K49" s="2"/>
      <c r="L49" s="6">
        <f t="shared" si="22"/>
        <v>3684.6</v>
      </c>
      <c r="M49" s="2"/>
      <c r="N49" s="7">
        <f t="shared" si="23"/>
        <v>0</v>
      </c>
      <c r="O49" s="11"/>
      <c r="P49" s="6">
        <v>8688.09</v>
      </c>
      <c r="Q49" s="2"/>
      <c r="R49" s="7">
        <f t="shared" si="24"/>
        <v>0.10553138839995158</v>
      </c>
      <c r="S49" s="2"/>
      <c r="T49" s="6">
        <v>13995</v>
      </c>
      <c r="U49" s="2"/>
      <c r="V49" s="7">
        <f t="shared" si="25"/>
        <v>5.6023025683725101E-2</v>
      </c>
      <c r="W49" s="2"/>
      <c r="X49" s="6">
        <f t="shared" si="26"/>
        <v>-5306.91</v>
      </c>
      <c r="Y49" s="2"/>
      <c r="Z49" s="7">
        <f t="shared" si="27"/>
        <v>-0.37920042872454446</v>
      </c>
    </row>
    <row r="50" spans="1:26" s="24" customFormat="1" hidden="1" outlineLevel="2" x14ac:dyDescent="0.3">
      <c r="A50" s="27"/>
      <c r="B50" s="11" t="str">
        <f>CONCATENATE("          ", "6008", " - ", "STUDENT HOURLY-FICA EXEMPT")</f>
        <v xml:space="preserve">          6008 - STUDENT HOURLY-FICA EXEMPT</v>
      </c>
      <c r="C50" s="11"/>
      <c r="D50" s="6">
        <v>1082.08</v>
      </c>
      <c r="E50" s="2"/>
      <c r="F50" s="7">
        <f t="shared" si="20"/>
        <v>7.3189026786420849E-2</v>
      </c>
      <c r="G50" s="2"/>
      <c r="H50" s="6">
        <v>6220</v>
      </c>
      <c r="I50" s="2"/>
      <c r="J50" s="7">
        <f t="shared" si="21"/>
        <v>0.12901619962249281</v>
      </c>
      <c r="K50" s="2"/>
      <c r="L50" s="6">
        <f t="shared" si="22"/>
        <v>-5137.92</v>
      </c>
      <c r="M50" s="2"/>
      <c r="N50" s="7">
        <f t="shared" si="23"/>
        <v>-0.82603215434083599</v>
      </c>
      <c r="O50" s="11"/>
      <c r="P50" s="6">
        <v>1900.69</v>
      </c>
      <c r="Q50" s="2"/>
      <c r="R50" s="7">
        <f t="shared" si="24"/>
        <v>2.3087059942738158E-2</v>
      </c>
      <c r="S50" s="2"/>
      <c r="T50" s="6">
        <v>20215</v>
      </c>
      <c r="U50" s="2"/>
      <c r="V50" s="7">
        <f t="shared" si="25"/>
        <v>8.0922148209825143E-2</v>
      </c>
      <c r="W50" s="2"/>
      <c r="X50" s="6">
        <f t="shared" si="26"/>
        <v>-18314.310000000001</v>
      </c>
      <c r="Y50" s="2"/>
      <c r="Z50" s="7">
        <f t="shared" si="27"/>
        <v>-0.90597625525599812</v>
      </c>
    </row>
    <row r="51" spans="1:26" s="24" customFormat="1" hidden="1" outlineLevel="2" x14ac:dyDescent="0.3">
      <c r="A51" s="27"/>
      <c r="B51" s="11" t="str">
        <f>CONCATENATE("          ", "6009", " - ", "TEMPORARY-SEASONAL")</f>
        <v xml:space="preserve">          6009 - TEMPORARY-SEASONAL</v>
      </c>
      <c r="C51" s="11"/>
      <c r="D51" s="6"/>
      <c r="E51" s="2"/>
      <c r="F51" s="7">
        <f t="shared" si="20"/>
        <v>0</v>
      </c>
      <c r="G51" s="2"/>
      <c r="H51" s="6">
        <v>0</v>
      </c>
      <c r="I51" s="2"/>
      <c r="J51" s="7">
        <f t="shared" si="21"/>
        <v>0</v>
      </c>
      <c r="K51" s="2"/>
      <c r="L51" s="6">
        <f t="shared" si="22"/>
        <v>0</v>
      </c>
      <c r="M51" s="2"/>
      <c r="N51" s="7">
        <f t="shared" si="23"/>
        <v>0</v>
      </c>
      <c r="O51" s="11"/>
      <c r="P51" s="6"/>
      <c r="Q51" s="2"/>
      <c r="R51" s="7">
        <f t="shared" si="24"/>
        <v>0</v>
      </c>
      <c r="S51" s="2"/>
      <c r="T51" s="6">
        <v>0</v>
      </c>
      <c r="U51" s="2"/>
      <c r="V51" s="7">
        <f t="shared" si="25"/>
        <v>0</v>
      </c>
      <c r="W51" s="2"/>
      <c r="X51" s="6">
        <f t="shared" si="26"/>
        <v>0</v>
      </c>
      <c r="Y51" s="2"/>
      <c r="Z51" s="7">
        <f t="shared" si="27"/>
        <v>0</v>
      </c>
    </row>
    <row r="52" spans="1:26" s="24" customFormat="1" hidden="1" outlineLevel="2" x14ac:dyDescent="0.3">
      <c r="A52" s="27"/>
      <c r="B52" s="11" t="str">
        <f>CONCATENATE("          ", "6010", " - ", "GRATUITY")</f>
        <v xml:space="preserve">          6010 - GRATUITY</v>
      </c>
      <c r="C52" s="11"/>
      <c r="D52" s="6"/>
      <c r="E52" s="2"/>
      <c r="F52" s="7">
        <f t="shared" si="20"/>
        <v>0</v>
      </c>
      <c r="G52" s="2"/>
      <c r="H52" s="6">
        <v>0</v>
      </c>
      <c r="I52" s="2"/>
      <c r="J52" s="7">
        <f t="shared" si="21"/>
        <v>0</v>
      </c>
      <c r="K52" s="2"/>
      <c r="L52" s="6">
        <f t="shared" si="22"/>
        <v>0</v>
      </c>
      <c r="M52" s="2"/>
      <c r="N52" s="7">
        <f t="shared" si="23"/>
        <v>0</v>
      </c>
      <c r="O52" s="11"/>
      <c r="P52" s="6"/>
      <c r="Q52" s="2"/>
      <c r="R52" s="7">
        <f t="shared" si="24"/>
        <v>0</v>
      </c>
      <c r="S52" s="2"/>
      <c r="T52" s="6">
        <v>0</v>
      </c>
      <c r="U52" s="2"/>
      <c r="V52" s="7">
        <f t="shared" si="25"/>
        <v>0</v>
      </c>
      <c r="W52" s="2"/>
      <c r="X52" s="6">
        <f t="shared" si="26"/>
        <v>0</v>
      </c>
      <c r="Y52" s="2"/>
      <c r="Z52" s="7">
        <f t="shared" si="27"/>
        <v>0</v>
      </c>
    </row>
    <row r="53" spans="1:26" s="29" customFormat="1" outlineLevel="1" collapsed="1" x14ac:dyDescent="0.3">
      <c r="A53" s="28"/>
      <c r="B53" s="14" t="str">
        <f>CONCATENATE("     ","Advertising/Promo                                 ")</f>
        <v xml:space="preserve">     Advertising/Promo                                 </v>
      </c>
      <c r="C53" s="14"/>
      <c r="D53" s="1">
        <f>SUM(OSRRefD22_2x_0)</f>
        <v>1019.63</v>
      </c>
      <c r="E53" s="1"/>
      <c r="F53" s="5">
        <f t="shared" ref="F53:F61" si="28">IF(D$12=0,0,D53/D$12)</f>
        <v>6.8965074100101928E-2</v>
      </c>
      <c r="G53" s="1"/>
      <c r="H53" s="1">
        <f>SUM(OSRRefH22_2x_0)</f>
        <v>50</v>
      </c>
      <c r="I53" s="1"/>
      <c r="J53" s="5">
        <f t="shared" ref="J53:J61" si="29">IF(H$12=0,0,H53/H$12)</f>
        <v>1.0371077140071767E-3</v>
      </c>
      <c r="K53" s="1"/>
      <c r="L53" s="1">
        <f t="shared" ref="L53:L61" si="30">+D53-H53</f>
        <v>969.63</v>
      </c>
      <c r="M53" s="1"/>
      <c r="N53" s="5">
        <f t="shared" ref="N53:N61" si="31">IF(H53=0,0,L53/H53)</f>
        <v>19.392600000000002</v>
      </c>
      <c r="O53" s="14"/>
      <c r="P53" s="1">
        <f>SUM(OSRRefP22_2x_0)</f>
        <v>1188.43</v>
      </c>
      <c r="Q53" s="1"/>
      <c r="R53" s="5">
        <f t="shared" ref="R53:R61" si="32">IF(P$12=0,0,P53/P$12)</f>
        <v>1.4435470617380167E-2</v>
      </c>
      <c r="S53" s="1"/>
      <c r="T53" s="1">
        <f>SUM(OSRRefT22_2x_0)</f>
        <v>250</v>
      </c>
      <c r="U53" s="1"/>
      <c r="V53" s="5">
        <f t="shared" ref="V53:V61" si="33">IF(T$12=0,0,T53/T$12)</f>
        <v>1.0007685902773331E-3</v>
      </c>
      <c r="W53" s="1"/>
      <c r="X53" s="1">
        <f t="shared" ref="X53:X61" si="34">+P53-T53</f>
        <v>938.43000000000006</v>
      </c>
      <c r="Y53" s="1"/>
      <c r="Z53" s="5">
        <f t="shared" ref="Z53:Z61" si="35">IF(T53=0,0,X53/T53)</f>
        <v>3.7537200000000004</v>
      </c>
    </row>
    <row r="54" spans="1:26" s="24" customFormat="1" hidden="1" outlineLevel="2" x14ac:dyDescent="0.3">
      <c r="A54" s="27"/>
      <c r="B54" s="11" t="str">
        <f>CONCATENATE("          ", "6362", " - ", "ADVERTISING EXPENSE")</f>
        <v xml:space="preserve">          6362 - ADVERTISING EXPENSE</v>
      </c>
      <c r="C54" s="11"/>
      <c r="D54" s="6">
        <v>1019.63</v>
      </c>
      <c r="E54" s="2"/>
      <c r="F54" s="7">
        <f t="shared" si="28"/>
        <v>6.8965074100101928E-2</v>
      </c>
      <c r="G54" s="2"/>
      <c r="H54" s="6">
        <v>50</v>
      </c>
      <c r="I54" s="2"/>
      <c r="J54" s="7">
        <f t="shared" si="29"/>
        <v>1.0371077140071767E-3</v>
      </c>
      <c r="K54" s="2"/>
      <c r="L54" s="6">
        <f t="shared" si="30"/>
        <v>969.63</v>
      </c>
      <c r="M54" s="2"/>
      <c r="N54" s="7">
        <f t="shared" si="31"/>
        <v>19.392600000000002</v>
      </c>
      <c r="O54" s="11"/>
      <c r="P54" s="6">
        <v>1188.43</v>
      </c>
      <c r="Q54" s="2"/>
      <c r="R54" s="7">
        <f t="shared" si="32"/>
        <v>1.4435470617380167E-2</v>
      </c>
      <c r="S54" s="2"/>
      <c r="T54" s="6">
        <v>250</v>
      </c>
      <c r="U54" s="2"/>
      <c r="V54" s="7">
        <f t="shared" si="33"/>
        <v>1.0007685902773331E-3</v>
      </c>
      <c r="W54" s="2"/>
      <c r="X54" s="6">
        <f t="shared" si="34"/>
        <v>938.43000000000006</v>
      </c>
      <c r="Y54" s="2"/>
      <c r="Z54" s="7">
        <f t="shared" si="35"/>
        <v>3.7537200000000004</v>
      </c>
    </row>
    <row r="55" spans="1:26" s="29" customFormat="1" outlineLevel="1" collapsed="1" x14ac:dyDescent="0.3">
      <c r="A55" s="28"/>
      <c r="B55" s="14" t="str">
        <f>CONCATENATE("     ","Bad Debts/Over/Short                              ")</f>
        <v xml:space="preserve">     Bad Debts/Over/Short                              </v>
      </c>
      <c r="C55" s="14"/>
      <c r="D55" s="1">
        <f>SUM(OSRRefD22_3x_0)</f>
        <v>-0.57999999999999996</v>
      </c>
      <c r="E55" s="1"/>
      <c r="F55" s="5">
        <f t="shared" si="28"/>
        <v>-3.922966466076823E-5</v>
      </c>
      <c r="G55" s="1"/>
      <c r="H55" s="1">
        <f>SUM(OSRRefH22_3x_0)</f>
        <v>25</v>
      </c>
      <c r="I55" s="1"/>
      <c r="J55" s="5">
        <f t="shared" si="29"/>
        <v>5.1855385700358837E-4</v>
      </c>
      <c r="K55" s="1"/>
      <c r="L55" s="1">
        <f t="shared" si="30"/>
        <v>-25.58</v>
      </c>
      <c r="M55" s="1"/>
      <c r="N55" s="5">
        <f t="shared" si="31"/>
        <v>-1.0231999999999999</v>
      </c>
      <c r="O55" s="14"/>
      <c r="P55" s="1">
        <f>SUM(OSRRefP22_3x_0)</f>
        <v>-3.47</v>
      </c>
      <c r="Q55" s="1"/>
      <c r="R55" s="5">
        <f t="shared" si="32"/>
        <v>-4.2148955380046935E-5</v>
      </c>
      <c r="S55" s="1"/>
      <c r="T55" s="1">
        <f>SUM(OSRRefT22_3x_0)</f>
        <v>125</v>
      </c>
      <c r="U55" s="1"/>
      <c r="V55" s="5">
        <f t="shared" si="33"/>
        <v>5.0038429513866653E-4</v>
      </c>
      <c r="W55" s="1"/>
      <c r="X55" s="1">
        <f t="shared" si="34"/>
        <v>-128.47</v>
      </c>
      <c r="Y55" s="1"/>
      <c r="Z55" s="5">
        <f t="shared" si="35"/>
        <v>-1.02776</v>
      </c>
    </row>
    <row r="56" spans="1:26" s="24" customFormat="1" hidden="1" outlineLevel="2" x14ac:dyDescent="0.3">
      <c r="A56" s="27"/>
      <c r="B56" s="11" t="str">
        <f>CONCATENATE("          ", "6272", " - ", "CASH (OVER/SHORT)")</f>
        <v xml:space="preserve">          6272 - CASH (OVER/SHORT)</v>
      </c>
      <c r="C56" s="11"/>
      <c r="D56" s="6">
        <v>-0.57999999999999996</v>
      </c>
      <c r="E56" s="2"/>
      <c r="F56" s="7">
        <f t="shared" si="28"/>
        <v>-3.922966466076823E-5</v>
      </c>
      <c r="G56" s="2"/>
      <c r="H56" s="6">
        <v>25</v>
      </c>
      <c r="I56" s="2"/>
      <c r="J56" s="7">
        <f t="shared" si="29"/>
        <v>5.1855385700358837E-4</v>
      </c>
      <c r="K56" s="2"/>
      <c r="L56" s="6">
        <f t="shared" si="30"/>
        <v>-25.58</v>
      </c>
      <c r="M56" s="2"/>
      <c r="N56" s="7">
        <f t="shared" si="31"/>
        <v>-1.0231999999999999</v>
      </c>
      <c r="O56" s="11"/>
      <c r="P56" s="6">
        <v>-3.47</v>
      </c>
      <c r="Q56" s="2"/>
      <c r="R56" s="7">
        <f t="shared" si="32"/>
        <v>-4.2148955380046935E-5</v>
      </c>
      <c r="S56" s="2"/>
      <c r="T56" s="6">
        <v>125</v>
      </c>
      <c r="U56" s="2"/>
      <c r="V56" s="7">
        <f t="shared" si="33"/>
        <v>5.0038429513866653E-4</v>
      </c>
      <c r="W56" s="2"/>
      <c r="X56" s="6">
        <f t="shared" si="34"/>
        <v>-128.47</v>
      </c>
      <c r="Y56" s="2"/>
      <c r="Z56" s="7">
        <f t="shared" si="35"/>
        <v>-1.02776</v>
      </c>
    </row>
    <row r="57" spans="1:26" s="29" customFormat="1" outlineLevel="1" collapsed="1" x14ac:dyDescent="0.3">
      <c r="A57" s="28"/>
      <c r="B57" s="14" t="str">
        <f>CONCATENATE("     ","Bank/card Fees                                    ")</f>
        <v xml:space="preserve">     Bank/card Fees                                    </v>
      </c>
      <c r="C57" s="14"/>
      <c r="D57" s="1">
        <f>SUM(OSRRefD22_4x_0)</f>
        <v>0</v>
      </c>
      <c r="E57" s="1"/>
      <c r="F57" s="5">
        <f t="shared" si="28"/>
        <v>0</v>
      </c>
      <c r="G57" s="1"/>
      <c r="H57" s="1">
        <f>SUM(OSRRefH22_4x_0)</f>
        <v>883</v>
      </c>
      <c r="I57" s="1"/>
      <c r="J57" s="5">
        <f t="shared" si="29"/>
        <v>1.8315322229366743E-2</v>
      </c>
      <c r="K57" s="1"/>
      <c r="L57" s="1">
        <f t="shared" si="30"/>
        <v>-883</v>
      </c>
      <c r="M57" s="1"/>
      <c r="N57" s="5">
        <f t="shared" si="31"/>
        <v>-1</v>
      </c>
      <c r="O57" s="14"/>
      <c r="P57" s="1">
        <f>SUM(OSRRefP22_4x_0)</f>
        <v>0</v>
      </c>
      <c r="Q57" s="1"/>
      <c r="R57" s="5">
        <f t="shared" si="32"/>
        <v>0</v>
      </c>
      <c r="S57" s="1"/>
      <c r="T57" s="1">
        <f>SUM(OSRRefT22_4x_0)</f>
        <v>4649</v>
      </c>
      <c r="U57" s="1"/>
      <c r="V57" s="5">
        <f t="shared" si="33"/>
        <v>1.8610292704797284E-2</v>
      </c>
      <c r="W57" s="1"/>
      <c r="X57" s="1">
        <f t="shared" si="34"/>
        <v>-4649</v>
      </c>
      <c r="Y57" s="1"/>
      <c r="Z57" s="5">
        <f t="shared" si="35"/>
        <v>-1</v>
      </c>
    </row>
    <row r="58" spans="1:26" s="24" customFormat="1" hidden="1" outlineLevel="2" x14ac:dyDescent="0.3">
      <c r="A58" s="27"/>
      <c r="B58" s="11" t="str">
        <f>CONCATENATE("          ", "6381", " - ", "BANK/CREDIT CARD FEES")</f>
        <v xml:space="preserve">          6381 - BANK/CREDIT CARD FEES</v>
      </c>
      <c r="C58" s="11"/>
      <c r="D58" s="6"/>
      <c r="E58" s="2"/>
      <c r="F58" s="7">
        <f t="shared" si="28"/>
        <v>0</v>
      </c>
      <c r="G58" s="2"/>
      <c r="H58" s="6">
        <v>883</v>
      </c>
      <c r="I58" s="2"/>
      <c r="J58" s="7">
        <f t="shared" si="29"/>
        <v>1.8315322229366743E-2</v>
      </c>
      <c r="K58" s="2"/>
      <c r="L58" s="6">
        <f t="shared" si="30"/>
        <v>-883</v>
      </c>
      <c r="M58" s="2"/>
      <c r="N58" s="7">
        <f t="shared" si="31"/>
        <v>-1</v>
      </c>
      <c r="O58" s="11"/>
      <c r="P58" s="6"/>
      <c r="Q58" s="2"/>
      <c r="R58" s="7">
        <f t="shared" si="32"/>
        <v>0</v>
      </c>
      <c r="S58" s="2"/>
      <c r="T58" s="6">
        <v>4649</v>
      </c>
      <c r="U58" s="2"/>
      <c r="V58" s="7">
        <f t="shared" si="33"/>
        <v>1.8610292704797284E-2</v>
      </c>
      <c r="W58" s="2"/>
      <c r="X58" s="6">
        <f t="shared" si="34"/>
        <v>-4649</v>
      </c>
      <c r="Y58" s="2"/>
      <c r="Z58" s="7">
        <f t="shared" si="35"/>
        <v>-1</v>
      </c>
    </row>
    <row r="59" spans="1:26" s="29" customFormat="1" outlineLevel="1" collapsed="1" x14ac:dyDescent="0.3">
      <c r="A59" s="28"/>
      <c r="B59" s="14" t="str">
        <f>CONCATENATE("     ","Discounts and Markdowns                           ")</f>
        <v xml:space="preserve">     Discounts and Markdowns                           </v>
      </c>
      <c r="C59" s="14"/>
      <c r="D59" s="1">
        <f>SUM(OSRRefD22_5x_0)</f>
        <v>2.19</v>
      </c>
      <c r="E59" s="1"/>
      <c r="F59" s="5">
        <f t="shared" si="28"/>
        <v>1.4812580277083178E-4</v>
      </c>
      <c r="G59" s="1"/>
      <c r="H59" s="1">
        <f>SUM(OSRRefH22_5x_0)</f>
        <v>0</v>
      </c>
      <c r="I59" s="1"/>
      <c r="J59" s="5">
        <f t="shared" si="29"/>
        <v>0</v>
      </c>
      <c r="K59" s="1"/>
      <c r="L59" s="1">
        <f t="shared" si="30"/>
        <v>2.19</v>
      </c>
      <c r="M59" s="1"/>
      <c r="N59" s="5">
        <f t="shared" si="31"/>
        <v>0</v>
      </c>
      <c r="O59" s="14"/>
      <c r="P59" s="1">
        <f>SUM(OSRRefP22_5x_0)</f>
        <v>-41.35</v>
      </c>
      <c r="Q59" s="1"/>
      <c r="R59" s="5">
        <f t="shared" si="32"/>
        <v>-5.0226492938470915E-4</v>
      </c>
      <c r="S59" s="1"/>
      <c r="T59" s="1">
        <f>SUM(OSRRefT22_5x_0)</f>
        <v>0</v>
      </c>
      <c r="U59" s="1"/>
      <c r="V59" s="5">
        <f t="shared" si="33"/>
        <v>0</v>
      </c>
      <c r="W59" s="1"/>
      <c r="X59" s="1">
        <f t="shared" si="34"/>
        <v>-41.35</v>
      </c>
      <c r="Y59" s="1"/>
      <c r="Z59" s="5">
        <f t="shared" si="35"/>
        <v>0</v>
      </c>
    </row>
    <row r="60" spans="1:26" s="24" customFormat="1" hidden="1" outlineLevel="2" x14ac:dyDescent="0.3">
      <c r="A60" s="27"/>
      <c r="B60" s="11" t="str">
        <f>CONCATENATE("          ", "6382", " - ", "DISCOUNTS/MARK DOWNS")</f>
        <v xml:space="preserve">          6382 - DISCOUNTS/MARK DOWNS</v>
      </c>
      <c r="C60" s="11"/>
      <c r="D60" s="6"/>
      <c r="E60" s="2"/>
      <c r="F60" s="7">
        <f t="shared" si="28"/>
        <v>0</v>
      </c>
      <c r="G60" s="2"/>
      <c r="H60" s="6"/>
      <c r="I60" s="2"/>
      <c r="J60" s="7">
        <f t="shared" si="29"/>
        <v>0</v>
      </c>
      <c r="K60" s="2"/>
      <c r="L60" s="6">
        <f t="shared" si="30"/>
        <v>0</v>
      </c>
      <c r="M60" s="2"/>
      <c r="N60" s="7">
        <f t="shared" si="31"/>
        <v>0</v>
      </c>
      <c r="O60" s="11"/>
      <c r="P60" s="6"/>
      <c r="Q60" s="2"/>
      <c r="R60" s="7">
        <f t="shared" si="32"/>
        <v>0</v>
      </c>
      <c r="S60" s="2"/>
      <c r="T60" s="6">
        <v>0</v>
      </c>
      <c r="U60" s="2"/>
      <c r="V60" s="7">
        <f t="shared" si="33"/>
        <v>0</v>
      </c>
      <c r="W60" s="2"/>
      <c r="X60" s="6">
        <f t="shared" si="34"/>
        <v>0</v>
      </c>
      <c r="Y60" s="2"/>
      <c r="Z60" s="7">
        <f t="shared" si="35"/>
        <v>0</v>
      </c>
    </row>
    <row r="61" spans="1:26" s="24" customFormat="1" hidden="1" outlineLevel="2" x14ac:dyDescent="0.3">
      <c r="A61" s="27"/>
      <c r="B61" s="11" t="str">
        <f>CONCATENATE("          ", "9175", " - ", "EARNED DISCOUNTS")</f>
        <v xml:space="preserve">          9175 - EARNED DISCOUNTS</v>
      </c>
      <c r="C61" s="11"/>
      <c r="D61" s="6">
        <v>2.19</v>
      </c>
      <c r="E61" s="2"/>
      <c r="F61" s="7">
        <f t="shared" si="28"/>
        <v>1.4812580277083178E-4</v>
      </c>
      <c r="G61" s="2"/>
      <c r="H61" s="6"/>
      <c r="I61" s="2"/>
      <c r="J61" s="7">
        <f t="shared" si="29"/>
        <v>0</v>
      </c>
      <c r="K61" s="2"/>
      <c r="L61" s="6">
        <f t="shared" si="30"/>
        <v>2.19</v>
      </c>
      <c r="M61" s="2"/>
      <c r="N61" s="7">
        <f t="shared" si="31"/>
        <v>0</v>
      </c>
      <c r="O61" s="11"/>
      <c r="P61" s="6">
        <v>-41.35</v>
      </c>
      <c r="Q61" s="2"/>
      <c r="R61" s="7">
        <f t="shared" si="32"/>
        <v>-5.0226492938470915E-4</v>
      </c>
      <c r="S61" s="2"/>
      <c r="T61" s="6"/>
      <c r="U61" s="2"/>
      <c r="V61" s="7">
        <f t="shared" si="33"/>
        <v>0</v>
      </c>
      <c r="W61" s="2"/>
      <c r="X61" s="6">
        <f t="shared" si="34"/>
        <v>-41.35</v>
      </c>
      <c r="Y61" s="2"/>
      <c r="Z61" s="7">
        <f t="shared" si="35"/>
        <v>0</v>
      </c>
    </row>
    <row r="62" spans="1:26" s="29" customFormat="1" outlineLevel="1" collapsed="1" x14ac:dyDescent="0.3">
      <c r="A62" s="28"/>
      <c r="B62" s="14" t="str">
        <f>CONCATENATE("     ","Freight out/Postage                               ")</f>
        <v xml:space="preserve">     Freight out/Postage                               </v>
      </c>
      <c r="C62" s="14"/>
      <c r="D62" s="1">
        <f>SUM(OSRRefD22_6x_0)</f>
        <v>0</v>
      </c>
      <c r="E62" s="1"/>
      <c r="F62" s="5">
        <f t="shared" ref="F62:F70" si="36">IF(D$12=0,0,D62/D$12)</f>
        <v>0</v>
      </c>
      <c r="G62" s="1"/>
      <c r="H62" s="1">
        <f>SUM(OSRRefH22_6x_0)</f>
        <v>0</v>
      </c>
      <c r="I62" s="1"/>
      <c r="J62" s="5">
        <f t="shared" ref="J62:J70" si="37">IF(H$12=0,0,H62/H$12)</f>
        <v>0</v>
      </c>
      <c r="K62" s="1"/>
      <c r="L62" s="1">
        <f t="shared" ref="L62:L70" si="38">+D62-H62</f>
        <v>0</v>
      </c>
      <c r="M62" s="1"/>
      <c r="N62" s="5">
        <f t="shared" ref="N62:N70" si="39">IF(H62=0,0,L62/H62)</f>
        <v>0</v>
      </c>
      <c r="O62" s="14"/>
      <c r="P62" s="1">
        <f>SUM(OSRRefP22_6x_0)</f>
        <v>54.5</v>
      </c>
      <c r="Q62" s="1"/>
      <c r="R62" s="5">
        <f t="shared" ref="R62:R70" si="40">IF(P$12=0,0,P62/P$12)</f>
        <v>6.619936796001607E-4</v>
      </c>
      <c r="S62" s="1"/>
      <c r="T62" s="1">
        <f>SUM(OSRRefT22_6x_0)</f>
        <v>0</v>
      </c>
      <c r="U62" s="1"/>
      <c r="V62" s="5">
        <f t="shared" ref="V62:V70" si="41">IF(T$12=0,0,T62/T$12)</f>
        <v>0</v>
      </c>
      <c r="W62" s="1"/>
      <c r="X62" s="1">
        <f t="shared" ref="X62:X70" si="42">+P62-T62</f>
        <v>54.5</v>
      </c>
      <c r="Y62" s="1"/>
      <c r="Z62" s="5">
        <f t="shared" ref="Z62:Z70" si="43">IF(T62=0,0,X62/T62)</f>
        <v>0</v>
      </c>
    </row>
    <row r="63" spans="1:26" s="24" customFormat="1" hidden="1" outlineLevel="2" x14ac:dyDescent="0.3">
      <c r="A63" s="27"/>
      <c r="B63" s="11" t="str">
        <f>CONCATENATE("          ", "6307", " - ", "POSTAGE")</f>
        <v xml:space="preserve">          6307 - POSTAGE</v>
      </c>
      <c r="C63" s="11"/>
      <c r="D63" s="6"/>
      <c r="E63" s="2"/>
      <c r="F63" s="7">
        <f t="shared" si="36"/>
        <v>0</v>
      </c>
      <c r="G63" s="2"/>
      <c r="H63" s="6"/>
      <c r="I63" s="2"/>
      <c r="J63" s="7">
        <f t="shared" si="37"/>
        <v>0</v>
      </c>
      <c r="K63" s="2"/>
      <c r="L63" s="6">
        <f t="shared" si="38"/>
        <v>0</v>
      </c>
      <c r="M63" s="2"/>
      <c r="N63" s="7">
        <f t="shared" si="39"/>
        <v>0</v>
      </c>
      <c r="O63" s="11"/>
      <c r="P63" s="6">
        <v>54.5</v>
      </c>
      <c r="Q63" s="2"/>
      <c r="R63" s="7">
        <f t="shared" si="40"/>
        <v>6.619936796001607E-4</v>
      </c>
      <c r="S63" s="2"/>
      <c r="T63" s="6"/>
      <c r="U63" s="2"/>
      <c r="V63" s="7">
        <f t="shared" si="41"/>
        <v>0</v>
      </c>
      <c r="W63" s="2"/>
      <c r="X63" s="6">
        <f t="shared" si="42"/>
        <v>54.5</v>
      </c>
      <c r="Y63" s="2"/>
      <c r="Z63" s="7">
        <f t="shared" si="43"/>
        <v>0</v>
      </c>
    </row>
    <row r="64" spans="1:26" s="29" customFormat="1" outlineLevel="1" collapsed="1" x14ac:dyDescent="0.3">
      <c r="A64" s="28"/>
      <c r="B64" s="14" t="str">
        <f>CONCATENATE("     ","General                                           ")</f>
        <v xml:space="preserve">     General                                           </v>
      </c>
      <c r="C64" s="14"/>
      <c r="D64" s="1">
        <f>SUM(OSRRefD22_7x_0)</f>
        <v>0</v>
      </c>
      <c r="E64" s="1"/>
      <c r="F64" s="5">
        <f t="shared" si="36"/>
        <v>0</v>
      </c>
      <c r="G64" s="1"/>
      <c r="H64" s="1">
        <f>SUM(OSRRefH22_7x_0)</f>
        <v>0</v>
      </c>
      <c r="I64" s="1"/>
      <c r="J64" s="5">
        <f t="shared" si="37"/>
        <v>0</v>
      </c>
      <c r="K64" s="1"/>
      <c r="L64" s="1">
        <f t="shared" si="38"/>
        <v>0</v>
      </c>
      <c r="M64" s="1"/>
      <c r="N64" s="5">
        <f t="shared" si="39"/>
        <v>0</v>
      </c>
      <c r="O64" s="14"/>
      <c r="P64" s="1">
        <f>SUM(OSRRefP22_7x_0)</f>
        <v>228.04</v>
      </c>
      <c r="Q64" s="1"/>
      <c r="R64" s="5">
        <f t="shared" si="40"/>
        <v>2.7699273155233147E-3</v>
      </c>
      <c r="S64" s="1"/>
      <c r="T64" s="1">
        <f>SUM(OSRRefT22_7x_0)</f>
        <v>0</v>
      </c>
      <c r="U64" s="1"/>
      <c r="V64" s="5">
        <f t="shared" si="41"/>
        <v>0</v>
      </c>
      <c r="W64" s="1"/>
      <c r="X64" s="1">
        <f t="shared" si="42"/>
        <v>228.04</v>
      </c>
      <c r="Y64" s="1"/>
      <c r="Z64" s="5">
        <f t="shared" si="43"/>
        <v>0</v>
      </c>
    </row>
    <row r="65" spans="1:26" s="24" customFormat="1" hidden="1" outlineLevel="2" x14ac:dyDescent="0.3">
      <c r="A65" s="27"/>
      <c r="B65" s="11" t="str">
        <f>CONCATENATE("          ", "6279", " - ", "GENERAL EXPENSE")</f>
        <v xml:space="preserve">          6279 - GENERAL EXPENSE</v>
      </c>
      <c r="C65" s="11"/>
      <c r="D65" s="6"/>
      <c r="E65" s="2"/>
      <c r="F65" s="7">
        <f t="shared" si="36"/>
        <v>0</v>
      </c>
      <c r="G65" s="2"/>
      <c r="H65" s="6">
        <v>0</v>
      </c>
      <c r="I65" s="2"/>
      <c r="J65" s="7">
        <f t="shared" si="37"/>
        <v>0</v>
      </c>
      <c r="K65" s="2"/>
      <c r="L65" s="6">
        <f t="shared" si="38"/>
        <v>0</v>
      </c>
      <c r="M65" s="2"/>
      <c r="N65" s="7">
        <f t="shared" si="39"/>
        <v>0</v>
      </c>
      <c r="O65" s="11"/>
      <c r="P65" s="6">
        <v>228.04</v>
      </c>
      <c r="Q65" s="2"/>
      <c r="R65" s="7">
        <f t="shared" si="40"/>
        <v>2.7699273155233147E-3</v>
      </c>
      <c r="S65" s="2"/>
      <c r="T65" s="6">
        <v>0</v>
      </c>
      <c r="U65" s="2"/>
      <c r="V65" s="7">
        <f t="shared" si="41"/>
        <v>0</v>
      </c>
      <c r="W65" s="2"/>
      <c r="X65" s="6">
        <f t="shared" si="42"/>
        <v>228.04</v>
      </c>
      <c r="Y65" s="2"/>
      <c r="Z65" s="7">
        <f t="shared" si="43"/>
        <v>0</v>
      </c>
    </row>
    <row r="66" spans="1:26" s="29" customFormat="1" outlineLevel="1" collapsed="1" x14ac:dyDescent="0.3">
      <c r="A66" s="28"/>
      <c r="B66" s="14" t="str">
        <f>CONCATENATE("     ","Inventory Adjustment                              ")</f>
        <v xml:space="preserve">     Inventory Adjustment                              </v>
      </c>
      <c r="C66" s="14"/>
      <c r="D66" s="1">
        <f>SUM(OSRRefD22_8x_0)</f>
        <v>650</v>
      </c>
      <c r="E66" s="1"/>
      <c r="F66" s="5">
        <f t="shared" si="36"/>
        <v>4.3964279361205783E-2</v>
      </c>
      <c r="G66" s="1"/>
      <c r="H66" s="1">
        <f>SUM(OSRRefH22_8x_0)</f>
        <v>650</v>
      </c>
      <c r="I66" s="1"/>
      <c r="J66" s="5">
        <f t="shared" si="37"/>
        <v>1.3482400282093299E-2</v>
      </c>
      <c r="K66" s="1"/>
      <c r="L66" s="1">
        <f t="shared" si="38"/>
        <v>0</v>
      </c>
      <c r="M66" s="1"/>
      <c r="N66" s="5">
        <f t="shared" si="39"/>
        <v>0</v>
      </c>
      <c r="O66" s="14"/>
      <c r="P66" s="1">
        <f>SUM(OSRRefP22_8x_0)</f>
        <v>3250</v>
      </c>
      <c r="Q66" s="1"/>
      <c r="R66" s="5">
        <f t="shared" si="40"/>
        <v>3.9476687315605913E-2</v>
      </c>
      <c r="S66" s="1"/>
      <c r="T66" s="1">
        <f>SUM(OSRRefT22_8x_0)</f>
        <v>3250</v>
      </c>
      <c r="U66" s="1"/>
      <c r="V66" s="5">
        <f t="shared" si="41"/>
        <v>1.3009991673605328E-2</v>
      </c>
      <c r="W66" s="1"/>
      <c r="X66" s="1">
        <f t="shared" si="42"/>
        <v>0</v>
      </c>
      <c r="Y66" s="1"/>
      <c r="Z66" s="5">
        <f t="shared" si="43"/>
        <v>0</v>
      </c>
    </row>
    <row r="67" spans="1:26" s="24" customFormat="1" hidden="1" outlineLevel="2" x14ac:dyDescent="0.3">
      <c r="A67" s="27"/>
      <c r="B67" s="11" t="str">
        <f>CONCATENATE("          ", "6408", " - ", "INVENTORY ADJUSTMENT")</f>
        <v xml:space="preserve">          6408 - INVENTORY ADJUSTMENT</v>
      </c>
      <c r="C67" s="11"/>
      <c r="D67" s="6">
        <v>650</v>
      </c>
      <c r="E67" s="2"/>
      <c r="F67" s="7">
        <f t="shared" si="36"/>
        <v>4.3964279361205783E-2</v>
      </c>
      <c r="G67" s="2"/>
      <c r="H67" s="6">
        <v>650</v>
      </c>
      <c r="I67" s="2"/>
      <c r="J67" s="7">
        <f t="shared" si="37"/>
        <v>1.3482400282093299E-2</v>
      </c>
      <c r="K67" s="2"/>
      <c r="L67" s="6">
        <f t="shared" si="38"/>
        <v>0</v>
      </c>
      <c r="M67" s="2"/>
      <c r="N67" s="7">
        <f t="shared" si="39"/>
        <v>0</v>
      </c>
      <c r="O67" s="11"/>
      <c r="P67" s="6">
        <v>3250</v>
      </c>
      <c r="Q67" s="2"/>
      <c r="R67" s="7">
        <f t="shared" si="40"/>
        <v>3.9476687315605913E-2</v>
      </c>
      <c r="S67" s="2"/>
      <c r="T67" s="6">
        <v>3250</v>
      </c>
      <c r="U67" s="2"/>
      <c r="V67" s="7">
        <f t="shared" si="41"/>
        <v>1.3009991673605328E-2</v>
      </c>
      <c r="W67" s="2"/>
      <c r="X67" s="6">
        <f t="shared" si="42"/>
        <v>0</v>
      </c>
      <c r="Y67" s="2"/>
      <c r="Z67" s="7">
        <f t="shared" si="43"/>
        <v>0</v>
      </c>
    </row>
    <row r="68" spans="1:26" s="29" customFormat="1" outlineLevel="1" collapsed="1" x14ac:dyDescent="0.3">
      <c r="A68" s="28"/>
      <c r="B68" s="14" t="str">
        <f>CONCATENATE("     ","Repair and Maintenance                            ")</f>
        <v xml:space="preserve">     Repair and Maintenance                            </v>
      </c>
      <c r="C68" s="14"/>
      <c r="D68" s="1">
        <f>SUM(OSRRefD22_9x_0)</f>
        <v>0</v>
      </c>
      <c r="E68" s="1"/>
      <c r="F68" s="5">
        <f t="shared" si="36"/>
        <v>0</v>
      </c>
      <c r="G68" s="1"/>
      <c r="H68" s="1">
        <f>SUM(OSRRefH22_9x_0)</f>
        <v>0</v>
      </c>
      <c r="I68" s="1"/>
      <c r="J68" s="5">
        <f t="shared" si="37"/>
        <v>0</v>
      </c>
      <c r="K68" s="1"/>
      <c r="L68" s="1">
        <f t="shared" si="38"/>
        <v>0</v>
      </c>
      <c r="M68" s="1"/>
      <c r="N68" s="5">
        <f t="shared" si="39"/>
        <v>0</v>
      </c>
      <c r="O68" s="14"/>
      <c r="P68" s="1">
        <f>SUM(OSRRefP22_9x_0)</f>
        <v>244.32999999999998</v>
      </c>
      <c r="Q68" s="1"/>
      <c r="R68" s="5">
        <f t="shared" si="40"/>
        <v>2.9677966190221517E-3</v>
      </c>
      <c r="S68" s="1"/>
      <c r="T68" s="1">
        <f>SUM(OSRRefT22_9x_0)</f>
        <v>0</v>
      </c>
      <c r="U68" s="1"/>
      <c r="V68" s="5">
        <f t="shared" si="41"/>
        <v>0</v>
      </c>
      <c r="W68" s="1"/>
      <c r="X68" s="1">
        <f t="shared" si="42"/>
        <v>244.32999999999998</v>
      </c>
      <c r="Y68" s="1"/>
      <c r="Z68" s="5">
        <f t="shared" si="43"/>
        <v>0</v>
      </c>
    </row>
    <row r="69" spans="1:26" s="24" customFormat="1" hidden="1" outlineLevel="2" x14ac:dyDescent="0.3">
      <c r="A69" s="27"/>
      <c r="B69" s="11" t="str">
        <f>CONCATENATE("          ", "6373", " - ", "MAINTENANCE CONTRACTS")</f>
        <v xml:space="preserve">          6373 - MAINTENANCE CONTRACTS</v>
      </c>
      <c r="C69" s="11"/>
      <c r="D69" s="6"/>
      <c r="E69" s="2"/>
      <c r="F69" s="7">
        <f t="shared" si="36"/>
        <v>0</v>
      </c>
      <c r="G69" s="2"/>
      <c r="H69" s="6"/>
      <c r="I69" s="2"/>
      <c r="J69" s="7">
        <f t="shared" si="37"/>
        <v>0</v>
      </c>
      <c r="K69" s="2"/>
      <c r="L69" s="6">
        <f t="shared" si="38"/>
        <v>0</v>
      </c>
      <c r="M69" s="2"/>
      <c r="N69" s="7">
        <f t="shared" si="39"/>
        <v>0</v>
      </c>
      <c r="O69" s="11"/>
      <c r="P69" s="6">
        <v>61.11</v>
      </c>
      <c r="Q69" s="2"/>
      <c r="R69" s="7">
        <f t="shared" si="40"/>
        <v>7.4228318826359302E-4</v>
      </c>
      <c r="S69" s="2"/>
      <c r="T69" s="6"/>
      <c r="U69" s="2"/>
      <c r="V69" s="7">
        <f t="shared" si="41"/>
        <v>0</v>
      </c>
      <c r="W69" s="2"/>
      <c r="X69" s="6">
        <f t="shared" si="42"/>
        <v>61.11</v>
      </c>
      <c r="Y69" s="2"/>
      <c r="Z69" s="7">
        <f t="shared" si="43"/>
        <v>0</v>
      </c>
    </row>
    <row r="70" spans="1:26" s="24" customFormat="1" hidden="1" outlineLevel="2" x14ac:dyDescent="0.3">
      <c r="A70" s="27"/>
      <c r="B70" s="11" t="str">
        <f>CONCATENATE("          ", "6375", " - ", "OUTSIDE REPAIRS &amp; MAINTENANCE")</f>
        <v xml:space="preserve">          6375 - OUTSIDE REPAIRS &amp; MAINTENANCE</v>
      </c>
      <c r="C70" s="11"/>
      <c r="D70" s="6"/>
      <c r="E70" s="2"/>
      <c r="F70" s="7">
        <f t="shared" si="36"/>
        <v>0</v>
      </c>
      <c r="G70" s="2"/>
      <c r="H70" s="6"/>
      <c r="I70" s="2"/>
      <c r="J70" s="7">
        <f t="shared" si="37"/>
        <v>0</v>
      </c>
      <c r="K70" s="2"/>
      <c r="L70" s="6">
        <f t="shared" si="38"/>
        <v>0</v>
      </c>
      <c r="M70" s="2"/>
      <c r="N70" s="7">
        <f t="shared" si="39"/>
        <v>0</v>
      </c>
      <c r="O70" s="11"/>
      <c r="P70" s="6">
        <v>183.22</v>
      </c>
      <c r="Q70" s="2"/>
      <c r="R70" s="7">
        <f t="shared" si="40"/>
        <v>2.2255134307585587E-3</v>
      </c>
      <c r="S70" s="2"/>
      <c r="T70" s="6"/>
      <c r="U70" s="2"/>
      <c r="V70" s="7">
        <f t="shared" si="41"/>
        <v>0</v>
      </c>
      <c r="W70" s="2"/>
      <c r="X70" s="6">
        <f t="shared" si="42"/>
        <v>183.22</v>
      </c>
      <c r="Y70" s="2"/>
      <c r="Z70" s="7">
        <f t="shared" si="43"/>
        <v>0</v>
      </c>
    </row>
    <row r="71" spans="1:26" s="29" customFormat="1" outlineLevel="1" collapsed="1" x14ac:dyDescent="0.3">
      <c r="A71" s="28"/>
      <c r="B71" s="14" t="str">
        <f>CONCATENATE("     ","Services                                          ")</f>
        <v xml:space="preserve">     Services                                          </v>
      </c>
      <c r="C71" s="14"/>
      <c r="D71" s="1">
        <f>SUM(OSRRefD22_10x_0)</f>
        <v>123.45</v>
      </c>
      <c r="E71" s="1"/>
      <c r="F71" s="5">
        <f t="shared" ref="F71:F73" si="44">IF(D$12=0,0,D71/D$12)</f>
        <v>8.3498312109859286E-3</v>
      </c>
      <c r="G71" s="1"/>
      <c r="H71" s="1">
        <f>SUM(OSRRefH22_10x_0)</f>
        <v>0</v>
      </c>
      <c r="I71" s="1"/>
      <c r="J71" s="5">
        <f t="shared" ref="J71:J73" si="45">IF(H$12=0,0,H71/H$12)</f>
        <v>0</v>
      </c>
      <c r="K71" s="1"/>
      <c r="L71" s="1">
        <f t="shared" ref="L71:L73" si="46">+D71-H71</f>
        <v>123.45</v>
      </c>
      <c r="M71" s="1"/>
      <c r="N71" s="5">
        <f t="shared" ref="N71:N73" si="47">IF(H71=0,0,L71/H71)</f>
        <v>0</v>
      </c>
      <c r="O71" s="14"/>
      <c r="P71" s="1">
        <f>SUM(OSRRefP22_10x_0)</f>
        <v>3163.44</v>
      </c>
      <c r="Q71" s="1"/>
      <c r="R71" s="5">
        <f t="shared" ref="R71:R73" si="48">IF(P$12=0,0,P71/P$12)</f>
        <v>3.8425271298978575E-2</v>
      </c>
      <c r="S71" s="1"/>
      <c r="T71" s="1">
        <f>SUM(OSRRefT22_10x_0)</f>
        <v>0</v>
      </c>
      <c r="U71" s="1"/>
      <c r="V71" s="5">
        <f t="shared" ref="V71:V73" si="49">IF(T$12=0,0,T71/T$12)</f>
        <v>0</v>
      </c>
      <c r="W71" s="1"/>
      <c r="X71" s="1">
        <f t="shared" ref="X71:X73" si="50">+P71-T71</f>
        <v>3163.44</v>
      </c>
      <c r="Y71" s="1"/>
      <c r="Z71" s="5">
        <f t="shared" ref="Z71:Z73" si="51">IF(T71=0,0,X71/T71)</f>
        <v>0</v>
      </c>
    </row>
    <row r="72" spans="1:26" s="24" customFormat="1" hidden="1" outlineLevel="2" x14ac:dyDescent="0.3">
      <c r="A72" s="27"/>
      <c r="B72" s="11" t="str">
        <f>CONCATENATE("          ", "6282", " - ", "JANITORIAL/EXTERMINATOR EXPENS")</f>
        <v xml:space="preserve">          6282 - JANITORIAL/EXTERMINATOR EXPENS</v>
      </c>
      <c r="C72" s="11"/>
      <c r="D72" s="6"/>
      <c r="E72" s="2"/>
      <c r="F72" s="7">
        <f t="shared" si="44"/>
        <v>0</v>
      </c>
      <c r="G72" s="2"/>
      <c r="H72" s="6"/>
      <c r="I72" s="2"/>
      <c r="J72" s="7">
        <f t="shared" si="45"/>
        <v>0</v>
      </c>
      <c r="K72" s="2"/>
      <c r="L72" s="6">
        <f t="shared" si="46"/>
        <v>0</v>
      </c>
      <c r="M72" s="2"/>
      <c r="N72" s="7">
        <f t="shared" si="47"/>
        <v>0</v>
      </c>
      <c r="O72" s="11"/>
      <c r="P72" s="6">
        <v>491.6</v>
      </c>
      <c r="Q72" s="2"/>
      <c r="R72" s="7">
        <f t="shared" si="48"/>
        <v>5.9713044567236521E-3</v>
      </c>
      <c r="S72" s="2"/>
      <c r="T72" s="6"/>
      <c r="U72" s="2"/>
      <c r="V72" s="7">
        <f t="shared" si="49"/>
        <v>0</v>
      </c>
      <c r="W72" s="2"/>
      <c r="X72" s="6">
        <f t="shared" si="50"/>
        <v>491.6</v>
      </c>
      <c r="Y72" s="2"/>
      <c r="Z72" s="7">
        <f t="shared" si="51"/>
        <v>0</v>
      </c>
    </row>
    <row r="73" spans="1:26" s="24" customFormat="1" hidden="1" outlineLevel="2" x14ac:dyDescent="0.3">
      <c r="A73" s="27"/>
      <c r="B73" s="11" t="str">
        <f>CONCATENATE("          ", "6285", " - ", "JANITORIAL SERVICES")</f>
        <v xml:space="preserve">          6285 - JANITORIAL SERVICES</v>
      </c>
      <c r="C73" s="11"/>
      <c r="D73" s="6">
        <v>123.45</v>
      </c>
      <c r="E73" s="2"/>
      <c r="F73" s="7">
        <f t="shared" si="44"/>
        <v>8.3498312109859286E-3</v>
      </c>
      <c r="G73" s="2"/>
      <c r="H73" s="6"/>
      <c r="I73" s="2"/>
      <c r="J73" s="7">
        <f t="shared" si="45"/>
        <v>0</v>
      </c>
      <c r="K73" s="2"/>
      <c r="L73" s="6">
        <f t="shared" si="46"/>
        <v>123.45</v>
      </c>
      <c r="M73" s="2"/>
      <c r="N73" s="7">
        <f t="shared" si="47"/>
        <v>0</v>
      </c>
      <c r="O73" s="11"/>
      <c r="P73" s="6">
        <v>2671.84</v>
      </c>
      <c r="Q73" s="2"/>
      <c r="R73" s="7">
        <f t="shared" si="48"/>
        <v>3.2453966842254926E-2</v>
      </c>
      <c r="S73" s="2"/>
      <c r="T73" s="6"/>
      <c r="U73" s="2"/>
      <c r="V73" s="7">
        <f t="shared" si="49"/>
        <v>0</v>
      </c>
      <c r="W73" s="2"/>
      <c r="X73" s="6">
        <f t="shared" si="50"/>
        <v>2671.84</v>
      </c>
      <c r="Y73" s="2"/>
      <c r="Z73" s="7">
        <f t="shared" si="51"/>
        <v>0</v>
      </c>
    </row>
    <row r="74" spans="1:26" s="29" customFormat="1" outlineLevel="1" collapsed="1" x14ac:dyDescent="0.3">
      <c r="A74" s="28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SUM(OSRRefD22_11x_0)</f>
        <v>68.069999999999993</v>
      </c>
      <c r="E74" s="1"/>
      <c r="F74" s="5">
        <f t="shared" ref="F74:F78" si="52">IF(D$12=0,0,D74/D$12)</f>
        <v>4.6040746094111957E-3</v>
      </c>
      <c r="G74" s="1"/>
      <c r="H74" s="1">
        <f>SUM(OSRRefH22_11x_0)</f>
        <v>75</v>
      </c>
      <c r="I74" s="1"/>
      <c r="J74" s="5">
        <f t="shared" ref="J74:J78" si="53">IF(H$12=0,0,H74/H$12)</f>
        <v>1.5556615710107652E-3</v>
      </c>
      <c r="K74" s="1"/>
      <c r="L74" s="1">
        <f t="shared" ref="L74:L78" si="54">+D74-H74</f>
        <v>-6.9300000000000068</v>
      </c>
      <c r="M74" s="1"/>
      <c r="N74" s="5">
        <f t="shared" ref="N74:N78" si="55">IF(H74=0,0,L74/H74)</f>
        <v>-9.2400000000000093E-2</v>
      </c>
      <c r="O74" s="14"/>
      <c r="P74" s="1">
        <f>SUM(OSRRefP22_11x_0)</f>
        <v>1736.46</v>
      </c>
      <c r="Q74" s="1"/>
      <c r="R74" s="5">
        <f t="shared" ref="R74:R78" si="56">IF(P$12=0,0,P74/P$12)</f>
        <v>2.1092211832632938E-2</v>
      </c>
      <c r="S74" s="1"/>
      <c r="T74" s="1">
        <f>SUM(OSRRefT22_11x_0)</f>
        <v>375</v>
      </c>
      <c r="U74" s="1"/>
      <c r="V74" s="5">
        <f t="shared" ref="V74:V78" si="57">IF(T$12=0,0,T74/T$12)</f>
        <v>1.5011528854159996E-3</v>
      </c>
      <c r="W74" s="1"/>
      <c r="X74" s="1">
        <f t="shared" ref="X74:X78" si="58">+P74-T74</f>
        <v>1361.46</v>
      </c>
      <c r="Y74" s="1"/>
      <c r="Z74" s="5">
        <f t="shared" ref="Z74:Z78" si="59">IF(T74=0,0,X74/T74)</f>
        <v>3.63056</v>
      </c>
    </row>
    <row r="75" spans="1:26" s="24" customFormat="1" hidden="1" outlineLevel="2" x14ac:dyDescent="0.3">
      <c r="A75" s="27"/>
      <c r="B75" s="11" t="str">
        <f>CONCATENATE("          ", "6234", " - ", "EXPENDABLE SUPPLIES &amp; EQUIPMEN")</f>
        <v xml:space="preserve">          6234 - EXPENDABLE SUPPLIES &amp; EQUIPMEN</v>
      </c>
      <c r="C75" s="11"/>
      <c r="D75" s="6">
        <v>46.03</v>
      </c>
      <c r="E75" s="2"/>
      <c r="F75" s="7">
        <f t="shared" si="52"/>
        <v>3.1133473523020034E-3</v>
      </c>
      <c r="G75" s="2"/>
      <c r="H75" s="6"/>
      <c r="I75" s="2"/>
      <c r="J75" s="7">
        <f t="shared" si="53"/>
        <v>0</v>
      </c>
      <c r="K75" s="2"/>
      <c r="L75" s="6">
        <f t="shared" si="54"/>
        <v>46.03</v>
      </c>
      <c r="M75" s="2"/>
      <c r="N75" s="7">
        <f t="shared" si="55"/>
        <v>0</v>
      </c>
      <c r="O75" s="11"/>
      <c r="P75" s="6">
        <v>1393.55</v>
      </c>
      <c r="Q75" s="2"/>
      <c r="R75" s="7">
        <f t="shared" si="56"/>
        <v>1.6926996187280805E-2</v>
      </c>
      <c r="S75" s="2"/>
      <c r="T75" s="6"/>
      <c r="U75" s="2"/>
      <c r="V75" s="7">
        <f t="shared" si="57"/>
        <v>0</v>
      </c>
      <c r="W75" s="2"/>
      <c r="X75" s="6">
        <f t="shared" si="58"/>
        <v>1393.55</v>
      </c>
      <c r="Y75" s="2"/>
      <c r="Z75" s="7">
        <f t="shared" si="59"/>
        <v>0</v>
      </c>
    </row>
    <row r="76" spans="1:26" s="24" customFormat="1" hidden="1" outlineLevel="2" x14ac:dyDescent="0.3">
      <c r="A76" s="27"/>
      <c r="B76" s="11" t="str">
        <f>CONCATENATE("          ", "6235", " - ", "COVID-19 EXPENSES")</f>
        <v xml:space="preserve">          6235 - COVID-19 EXPENSES</v>
      </c>
      <c r="C76" s="11"/>
      <c r="D76" s="6"/>
      <c r="E76" s="2"/>
      <c r="F76" s="7">
        <f t="shared" si="52"/>
        <v>0</v>
      </c>
      <c r="G76" s="2"/>
      <c r="H76" s="6">
        <v>25</v>
      </c>
      <c r="I76" s="2"/>
      <c r="J76" s="7">
        <f t="shared" si="53"/>
        <v>5.1855385700358837E-4</v>
      </c>
      <c r="K76" s="2"/>
      <c r="L76" s="6">
        <f t="shared" si="54"/>
        <v>-25</v>
      </c>
      <c r="M76" s="2"/>
      <c r="N76" s="7">
        <f t="shared" si="55"/>
        <v>-1</v>
      </c>
      <c r="O76" s="11"/>
      <c r="P76" s="6"/>
      <c r="Q76" s="2"/>
      <c r="R76" s="7">
        <f t="shared" si="56"/>
        <v>0</v>
      </c>
      <c r="S76" s="2"/>
      <c r="T76" s="6">
        <v>125</v>
      </c>
      <c r="U76" s="2"/>
      <c r="V76" s="7">
        <f t="shared" si="57"/>
        <v>5.0038429513866653E-4</v>
      </c>
      <c r="W76" s="2"/>
      <c r="X76" s="6">
        <f t="shared" si="58"/>
        <v>-125</v>
      </c>
      <c r="Y76" s="2"/>
      <c r="Z76" s="7">
        <f t="shared" si="59"/>
        <v>-1</v>
      </c>
    </row>
    <row r="77" spans="1:26" s="24" customFormat="1" hidden="1" outlineLevel="2" x14ac:dyDescent="0.3">
      <c r="A77" s="27"/>
      <c r="B77" s="11" t="str">
        <f>CONCATENATE("          ", "6241", " - ", "OFFICE EXPENSE")</f>
        <v xml:space="preserve">          6241 - OFFICE EXPENSE</v>
      </c>
      <c r="C77" s="11"/>
      <c r="D77" s="6"/>
      <c r="E77" s="2"/>
      <c r="F77" s="7">
        <f t="shared" si="52"/>
        <v>0</v>
      </c>
      <c r="G77" s="2"/>
      <c r="H77" s="6">
        <v>25</v>
      </c>
      <c r="I77" s="2"/>
      <c r="J77" s="7">
        <f t="shared" si="53"/>
        <v>5.1855385700358837E-4</v>
      </c>
      <c r="K77" s="2"/>
      <c r="L77" s="6">
        <f t="shared" si="54"/>
        <v>-25</v>
      </c>
      <c r="M77" s="2"/>
      <c r="N77" s="7">
        <f t="shared" si="55"/>
        <v>-1</v>
      </c>
      <c r="O77" s="11"/>
      <c r="P77" s="6"/>
      <c r="Q77" s="2"/>
      <c r="R77" s="7">
        <f t="shared" si="56"/>
        <v>0</v>
      </c>
      <c r="S77" s="2"/>
      <c r="T77" s="6">
        <v>125</v>
      </c>
      <c r="U77" s="2"/>
      <c r="V77" s="7">
        <f t="shared" si="57"/>
        <v>5.0038429513866653E-4</v>
      </c>
      <c r="W77" s="2"/>
      <c r="X77" s="6">
        <f t="shared" si="58"/>
        <v>-125</v>
      </c>
      <c r="Y77" s="2"/>
      <c r="Z77" s="7">
        <f t="shared" si="59"/>
        <v>-1</v>
      </c>
    </row>
    <row r="78" spans="1:26" s="24" customFormat="1" hidden="1" outlineLevel="2" x14ac:dyDescent="0.3">
      <c r="A78" s="27"/>
      <c r="B78" s="11" t="str">
        <f>CONCATENATE("          ", "6247", " - ", "STORE SUPPLIES")</f>
        <v xml:space="preserve">          6247 - STORE SUPPLIES</v>
      </c>
      <c r="C78" s="11"/>
      <c r="D78" s="6">
        <v>22.04</v>
      </c>
      <c r="E78" s="2"/>
      <c r="F78" s="7">
        <f t="shared" si="52"/>
        <v>1.4907272571091929E-3</v>
      </c>
      <c r="G78" s="2"/>
      <c r="H78" s="6">
        <v>25</v>
      </c>
      <c r="I78" s="2"/>
      <c r="J78" s="7">
        <f t="shared" si="53"/>
        <v>5.1855385700358837E-4</v>
      </c>
      <c r="K78" s="2"/>
      <c r="L78" s="6">
        <f t="shared" si="54"/>
        <v>-2.9600000000000009</v>
      </c>
      <c r="M78" s="2"/>
      <c r="N78" s="7">
        <f t="shared" si="55"/>
        <v>-0.11840000000000003</v>
      </c>
      <c r="O78" s="11"/>
      <c r="P78" s="6">
        <v>342.91</v>
      </c>
      <c r="Q78" s="2"/>
      <c r="R78" s="7">
        <f t="shared" si="56"/>
        <v>4.165215645352131E-3</v>
      </c>
      <c r="S78" s="2"/>
      <c r="T78" s="6">
        <v>125</v>
      </c>
      <c r="U78" s="2"/>
      <c r="V78" s="7">
        <f t="shared" si="57"/>
        <v>5.0038429513866653E-4</v>
      </c>
      <c r="W78" s="2"/>
      <c r="X78" s="6">
        <f t="shared" si="58"/>
        <v>217.91000000000003</v>
      </c>
      <c r="Y78" s="2"/>
      <c r="Z78" s="7">
        <f t="shared" si="59"/>
        <v>1.7432800000000002</v>
      </c>
    </row>
    <row r="79" spans="1:26" s="29" customFormat="1" outlineLevel="1" collapsed="1" x14ac:dyDescent="0.3">
      <c r="A79" s="28"/>
      <c r="B79" s="14" t="str">
        <f>CONCATENATE("     ","Telephone/Data Lines                              ")</f>
        <v xml:space="preserve">     Telephone/Data Lines                              </v>
      </c>
      <c r="C79" s="14"/>
      <c r="D79" s="1">
        <f>SUM(OSRRefD22_12x_0)</f>
        <v>53</v>
      </c>
      <c r="E79" s="1"/>
      <c r="F79" s="5">
        <f t="shared" ref="F79:F80" si="60">IF(D$12=0,0,D79/D$12)</f>
        <v>3.5847797017598561E-3</v>
      </c>
      <c r="G79" s="1"/>
      <c r="H79" s="1">
        <f>SUM(OSRRefH22_12x_0)</f>
        <v>60</v>
      </c>
      <c r="I79" s="1"/>
      <c r="J79" s="5">
        <f t="shared" ref="J79:J80" si="61">IF(H$12=0,0,H79/H$12)</f>
        <v>1.2445292568086122E-3</v>
      </c>
      <c r="K79" s="1"/>
      <c r="L79" s="1">
        <f t="shared" ref="L79:L80" si="62">+D79-H79</f>
        <v>-7</v>
      </c>
      <c r="M79" s="1"/>
      <c r="N79" s="5">
        <f t="shared" ref="N79:N80" si="63">IF(H79=0,0,L79/H79)</f>
        <v>-0.11666666666666667</v>
      </c>
      <c r="O79" s="14"/>
      <c r="P79" s="1">
        <f>SUM(OSRRefP22_12x_0)</f>
        <v>225</v>
      </c>
      <c r="Q79" s="1"/>
      <c r="R79" s="5">
        <f t="shared" ref="R79:R80" si="64">IF(P$12=0,0,P79/P$12)</f>
        <v>2.7330014295419481E-3</v>
      </c>
      <c r="S79" s="1"/>
      <c r="T79" s="1">
        <f>SUM(OSRRefT22_12x_0)</f>
        <v>300</v>
      </c>
      <c r="U79" s="1"/>
      <c r="V79" s="5">
        <f t="shared" ref="V79:V80" si="65">IF(T$12=0,0,T79/T$12)</f>
        <v>1.2009223083327995E-3</v>
      </c>
      <c r="W79" s="1"/>
      <c r="X79" s="1">
        <f t="shared" ref="X79:X80" si="66">+P79-T79</f>
        <v>-75</v>
      </c>
      <c r="Y79" s="1"/>
      <c r="Z79" s="5">
        <f t="shared" ref="Z79:Z80" si="67">IF(T79=0,0,X79/T79)</f>
        <v>-0.25</v>
      </c>
    </row>
    <row r="80" spans="1:26" s="24" customFormat="1" hidden="1" outlineLevel="2" x14ac:dyDescent="0.3">
      <c r="A80" s="27"/>
      <c r="B80" s="11" t="str">
        <f>CONCATENATE("          ", "6309", " - ", "TELEPHONE")</f>
        <v xml:space="preserve">          6309 - TELEPHONE</v>
      </c>
      <c r="C80" s="11"/>
      <c r="D80" s="6">
        <v>53</v>
      </c>
      <c r="E80" s="2"/>
      <c r="F80" s="7">
        <f t="shared" si="60"/>
        <v>3.5847797017598561E-3</v>
      </c>
      <c r="G80" s="2"/>
      <c r="H80" s="6">
        <v>60</v>
      </c>
      <c r="I80" s="2"/>
      <c r="J80" s="7">
        <f t="shared" si="61"/>
        <v>1.2445292568086122E-3</v>
      </c>
      <c r="K80" s="2"/>
      <c r="L80" s="6">
        <f t="shared" si="62"/>
        <v>-7</v>
      </c>
      <c r="M80" s="2"/>
      <c r="N80" s="7">
        <f t="shared" si="63"/>
        <v>-0.11666666666666667</v>
      </c>
      <c r="O80" s="11"/>
      <c r="P80" s="6">
        <v>225</v>
      </c>
      <c r="Q80" s="2"/>
      <c r="R80" s="7">
        <f t="shared" si="64"/>
        <v>2.7330014295419481E-3</v>
      </c>
      <c r="S80" s="2"/>
      <c r="T80" s="6">
        <v>300</v>
      </c>
      <c r="U80" s="2"/>
      <c r="V80" s="7">
        <f t="shared" si="65"/>
        <v>1.2009223083327995E-3</v>
      </c>
      <c r="W80" s="2"/>
      <c r="X80" s="6">
        <f t="shared" si="66"/>
        <v>-75</v>
      </c>
      <c r="Y80" s="2"/>
      <c r="Z80" s="7">
        <f t="shared" si="67"/>
        <v>-0.25</v>
      </c>
    </row>
    <row r="81" spans="1:26" s="63" customFormat="1" x14ac:dyDescent="0.3">
      <c r="A81" s="36"/>
      <c r="B81" s="36"/>
      <c r="C81" s="36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6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x14ac:dyDescent="0.3">
      <c r="A82" s="10"/>
      <c r="B82" s="25" t="s">
        <v>293</v>
      </c>
      <c r="C82" s="10"/>
      <c r="D82" s="4">
        <f>SUM(0)</f>
        <v>0</v>
      </c>
      <c r="E82" s="4"/>
      <c r="F82" s="12">
        <f>IF(D$12=0,0,D82/D$12)</f>
        <v>0</v>
      </c>
      <c r="G82" s="4"/>
      <c r="H82" s="4">
        <f>SUM(0)</f>
        <v>0</v>
      </c>
      <c r="I82" s="4"/>
      <c r="J82" s="12">
        <f>IF(H$12=0,0,H82/H$12)</f>
        <v>0</v>
      </c>
      <c r="K82" s="4"/>
      <c r="L82" s="4">
        <f>+D82-H82</f>
        <v>0</v>
      </c>
      <c r="M82" s="4"/>
      <c r="N82" s="12">
        <f>IF(H82=0,0,L82/H82)</f>
        <v>0</v>
      </c>
      <c r="O82" s="10"/>
      <c r="P82" s="4">
        <f>SUM(0)</f>
        <v>0</v>
      </c>
      <c r="Q82" s="4"/>
      <c r="R82" s="12">
        <f>IF(P$12=0,0,P82/P$12)</f>
        <v>0</v>
      </c>
      <c r="S82" s="4"/>
      <c r="T82" s="4">
        <f>SUM(0)</f>
        <v>0</v>
      </c>
      <c r="U82" s="4"/>
      <c r="V82" s="12">
        <f>IF(T$12=0,0,T82/T$12)</f>
        <v>0</v>
      </c>
      <c r="W82" s="4"/>
      <c r="X82" s="4">
        <f>+P82-T82</f>
        <v>0</v>
      </c>
      <c r="Y82" s="4"/>
      <c r="Z82" s="12">
        <f>IF(T82=0,0,X82/T82)</f>
        <v>0</v>
      </c>
    </row>
    <row r="83" spans="1:26" x14ac:dyDescent="0.3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3">
      <c r="A84" s="10"/>
      <c r="B84" s="26" t="s">
        <v>277</v>
      </c>
      <c r="C84" s="26"/>
      <c r="D84" s="20">
        <f>+D30-D32+D82</f>
        <v>-184.65999999999804</v>
      </c>
      <c r="E84" s="13"/>
      <c r="F84" s="22">
        <f>IF(D$12=0,0,D84/D$12)</f>
        <v>-1.2489913579754113E-2</v>
      </c>
      <c r="G84" s="13"/>
      <c r="H84" s="20">
        <f>+H30-H32+H82</f>
        <v>11561.384399999999</v>
      </c>
      <c r="I84" s="13"/>
      <c r="J84" s="22">
        <f>IF(H$12=0,0,H84/H$12)</f>
        <v>0.2398080189168447</v>
      </c>
      <c r="K84" s="15"/>
      <c r="L84" s="20">
        <f>+D84-H84</f>
        <v>-11746.044399999997</v>
      </c>
      <c r="M84" s="15"/>
      <c r="N84" s="22">
        <f>IF(H84=0,0,L84/H84)</f>
        <v>-1.0159721356553111</v>
      </c>
      <c r="O84" s="25"/>
      <c r="P84" s="20">
        <f>+P30-P32+P82</f>
        <v>14839.329999999994</v>
      </c>
      <c r="Q84" s="13"/>
      <c r="R84" s="22">
        <f>IF(P$12=0,0,P84/P$12)</f>
        <v>0.1802484893486431</v>
      </c>
      <c r="S84" s="13"/>
      <c r="T84" s="20">
        <f>+T30-T32+T82</f>
        <v>51861.076849999998</v>
      </c>
      <c r="U84" s="13"/>
      <c r="V84" s="22">
        <f>IF(T$12=0,0,T84/T$12)</f>
        <v>0.2076037470777557</v>
      </c>
      <c r="W84" s="15"/>
      <c r="X84" s="20">
        <f>+P84-T84</f>
        <v>-37021.746850000003</v>
      </c>
      <c r="Y84" s="15"/>
      <c r="Z84" s="22">
        <f>IF(T84=0,0,X84/T84)</f>
        <v>-0.71386382810907645</v>
      </c>
    </row>
    <row r="85" spans="1:26" x14ac:dyDescent="0.3">
      <c r="A85" s="9"/>
      <c r="B85" s="10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3">
      <c r="A86" s="52"/>
      <c r="B86" s="10" t="s">
        <v>128</v>
      </c>
      <c r="C86" s="10"/>
      <c r="D86" s="4">
        <v>1998.78</v>
      </c>
      <c r="E86" s="4"/>
      <c r="F86" s="12">
        <f>IF(D$12=0,0,D86/D$12)</f>
        <v>0.13519218815629366</v>
      </c>
      <c r="G86" s="4"/>
      <c r="H86" s="4">
        <v>8047</v>
      </c>
      <c r="I86" s="4"/>
      <c r="J86" s="12">
        <f>IF(H$12=0,0,H86/H$12)</f>
        <v>0.16691211549231502</v>
      </c>
      <c r="K86" s="4"/>
      <c r="L86" s="4">
        <f>+D86-H86</f>
        <v>-6048.22</v>
      </c>
      <c r="M86" s="4"/>
      <c r="N86" s="12">
        <f>IF(H86=0,0,L86/H86)</f>
        <v>-0.75161178078787128</v>
      </c>
      <c r="O86" s="10"/>
      <c r="P86" s="4">
        <v>9806.1200000000008</v>
      </c>
      <c r="Q86" s="4"/>
      <c r="R86" s="12">
        <f>IF(P$12=0,0,P86/P$12)</f>
        <v>0.11911173323671062</v>
      </c>
      <c r="S86" s="4"/>
      <c r="T86" s="4">
        <v>31229</v>
      </c>
      <c r="U86" s="4"/>
      <c r="V86" s="12">
        <f>IF(T$12=0,0,T86/T$12)</f>
        <v>0.12501200922308334</v>
      </c>
      <c r="W86" s="4"/>
      <c r="X86" s="4">
        <f>+P86-T86</f>
        <v>-21422.879999999997</v>
      </c>
      <c r="Y86" s="4"/>
      <c r="Z86" s="12">
        <f>IF(T86=0,0,X86/T86)</f>
        <v>-0.68599314739504935</v>
      </c>
    </row>
    <row r="87" spans="1:26" x14ac:dyDescent="0.3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" thickBot="1" x14ac:dyDescent="0.35">
      <c r="A88" s="10"/>
      <c r="B88" s="26" t="s">
        <v>126</v>
      </c>
      <c r="C88" s="26"/>
      <c r="D88" s="33">
        <f>+D84-D86</f>
        <v>-2183.4399999999978</v>
      </c>
      <c r="E88" s="13"/>
      <c r="F88" s="34">
        <f>IF(D$12=0,0,D88/D$12)</f>
        <v>-0.14768210173604776</v>
      </c>
      <c r="G88" s="13"/>
      <c r="H88" s="33">
        <f>+H84-H86</f>
        <v>3514.384399999999</v>
      </c>
      <c r="I88" s="13"/>
      <c r="J88" s="34">
        <f>IF(H$12=0,0,H88/H$12)</f>
        <v>7.2895903424529646E-2</v>
      </c>
      <c r="K88" s="15"/>
      <c r="L88" s="33">
        <f>D88-H88</f>
        <v>-5697.8243999999968</v>
      </c>
      <c r="M88" s="15"/>
      <c r="N88" s="34">
        <f>IF(H88=0,0,L88/H88)</f>
        <v>-1.6212866185042247</v>
      </c>
      <c r="O88" s="25"/>
      <c r="P88" s="33">
        <f>+P84-P86</f>
        <v>5033.2099999999937</v>
      </c>
      <c r="Q88" s="13"/>
      <c r="R88" s="34">
        <f>IF(P$12=0,0,P88/P$12)</f>
        <v>6.1136756111932491E-2</v>
      </c>
      <c r="S88" s="13"/>
      <c r="T88" s="33">
        <f>+T84-T86</f>
        <v>20632.076849999998</v>
      </c>
      <c r="U88" s="13"/>
      <c r="V88" s="34">
        <f>IF(T$12=0,0,T88/T$12)</f>
        <v>8.2591737854672373E-2</v>
      </c>
      <c r="W88" s="15"/>
      <c r="X88" s="33">
        <f>P88-T88</f>
        <v>-15598.866850000004</v>
      </c>
      <c r="Y88" s="15"/>
      <c r="Z88" s="34">
        <f>IF(T88=0,0,X88/T88)</f>
        <v>-0.7560492801285783</v>
      </c>
    </row>
    <row r="89" spans="1:26" ht="15" thickTop="1" x14ac:dyDescent="0.3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x14ac:dyDescent="0.3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" thickBot="1" x14ac:dyDescent="0.35">
      <c r="A91" s="10"/>
      <c r="B91" s="26" t="s">
        <v>294</v>
      </c>
      <c r="C91" s="26"/>
      <c r="D91" s="35">
        <f>SUM(D88:D90)</f>
        <v>-2183.4399999999978</v>
      </c>
      <c r="E91" s="13"/>
      <c r="F91" s="32">
        <f>IF(D$12=0,0,D91/D$12)</f>
        <v>-0.14768210173604776</v>
      </c>
      <c r="G91" s="13"/>
      <c r="H91" s="35">
        <f>SUM(H88:H90)</f>
        <v>3514.384399999999</v>
      </c>
      <c r="I91" s="13"/>
      <c r="J91" s="32">
        <f>IF(H$12=0,0,H91/H$12)</f>
        <v>7.2895903424529646E-2</v>
      </c>
      <c r="K91" s="15"/>
      <c r="L91" s="35">
        <f>+D91-H91</f>
        <v>-5697.8243999999968</v>
      </c>
      <c r="M91" s="15"/>
      <c r="N91" s="32">
        <f>IF(H91=0,0,L91/H91)</f>
        <v>-1.6212866185042247</v>
      </c>
      <c r="O91" s="25"/>
      <c r="P91" s="35">
        <f>SUM(P88:P90)</f>
        <v>5033.2099999999937</v>
      </c>
      <c r="Q91" s="13"/>
      <c r="R91" s="32">
        <f>IF(P$12=0,0,P91/P$12)</f>
        <v>6.1136756111932491E-2</v>
      </c>
      <c r="S91" s="13"/>
      <c r="T91" s="35">
        <f>SUM(T88:T90)</f>
        <v>20632.076849999998</v>
      </c>
      <c r="U91" s="13"/>
      <c r="V91" s="32">
        <f>IF(T$12=0,0,T91/T$12)</f>
        <v>8.2591737854672373E-2</v>
      </c>
      <c r="W91" s="15"/>
      <c r="X91" s="35">
        <f>+P91-T91</f>
        <v>-15598.866850000004</v>
      </c>
      <c r="Y91" s="15"/>
      <c r="Z91" s="32">
        <f>IF(T91=0,0,X91/T91)</f>
        <v>-0.7560492801285783</v>
      </c>
    </row>
    <row r="92" spans="1:26" ht="15" thickTop="1" x14ac:dyDescent="0.3">
      <c r="A92" s="9"/>
      <c r="C92" s="9"/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  <row r="93" spans="1:26" x14ac:dyDescent="0.3">
      <c r="A93" s="9"/>
      <c r="B93" s="60">
        <v>44543.753077048612</v>
      </c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3">
      <c r="A94" s="9"/>
      <c r="B94" s="58" t="s">
        <v>56</v>
      </c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3">
      <c r="A95" s="9"/>
      <c r="B95" s="55"/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3"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92D050"/>
    <outlinePr summaryBelow="0" summaryRight="0"/>
  </sheetPr>
  <dimension ref="A2:Z9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","307", " - ", "Art Store")</f>
        <v>Department 307 - Art Store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14784.730000000001</v>
      </c>
      <c r="E12" s="4"/>
      <c r="F12" s="12"/>
      <c r="G12" s="4"/>
      <c r="H12" s="4">
        <f>SUM(OSRRefH13x_0)</f>
        <v>48211</v>
      </c>
      <c r="I12" s="4"/>
      <c r="J12" s="12"/>
      <c r="K12" s="4"/>
      <c r="L12" s="4">
        <f t="shared" ref="L12:L16" si="0">+D12-H12</f>
        <v>-33426.269999999997</v>
      </c>
      <c r="M12" s="4"/>
      <c r="N12" s="12">
        <f t="shared" ref="N12:N16" si="1">IF(H12=0,0,L12/H12)</f>
        <v>-0.69333284934973338</v>
      </c>
      <c r="O12" s="10"/>
      <c r="P12" s="4">
        <f>SUM(OSRRefP13x_0)</f>
        <v>82327.069999999992</v>
      </c>
      <c r="Q12" s="4"/>
      <c r="R12" s="12"/>
      <c r="S12" s="4"/>
      <c r="T12" s="4">
        <f>SUM(OSRRefT13x_0)</f>
        <v>249808</v>
      </c>
      <c r="U12" s="4"/>
      <c r="V12" s="12"/>
      <c r="W12" s="4"/>
      <c r="X12" s="4">
        <f t="shared" ref="X12:X16" si="2">+P12-T12</f>
        <v>-167480.93</v>
      </c>
      <c r="Y12" s="4"/>
      <c r="Z12" s="12">
        <f t="shared" ref="Z12:Z16" si="3">IF(T12=0,0,X12/T12)</f>
        <v>-0.67043861685774675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--9822.43</f>
        <v>9822.43</v>
      </c>
      <c r="E13" s="2"/>
      <c r="F13" s="19"/>
      <c r="G13" s="2"/>
      <c r="H13" s="2">
        <v>29226</v>
      </c>
      <c r="I13" s="2"/>
      <c r="J13" s="19"/>
      <c r="K13" s="2"/>
      <c r="L13" s="2">
        <f t="shared" si="0"/>
        <v>-19403.57</v>
      </c>
      <c r="M13" s="2"/>
      <c r="N13" s="19">
        <f t="shared" si="1"/>
        <v>-0.66391466502429342</v>
      </c>
      <c r="O13" s="11"/>
      <c r="P13" s="2">
        <f>--61071.48</f>
        <v>61071.48</v>
      </c>
      <c r="Q13" s="2"/>
      <c r="R13" s="19"/>
      <c r="S13" s="2"/>
      <c r="T13" s="2">
        <v>170251</v>
      </c>
      <c r="U13" s="2"/>
      <c r="V13" s="19"/>
      <c r="W13" s="2"/>
      <c r="X13" s="2">
        <f t="shared" si="2"/>
        <v>-109179.51999999999</v>
      </c>
      <c r="Y13" s="2"/>
      <c r="Z13" s="19">
        <f t="shared" si="3"/>
        <v>-0.6412856312150883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--5218.66</f>
        <v>5218.66</v>
      </c>
      <c r="E14" s="2"/>
      <c r="F14" s="19"/>
      <c r="G14" s="2"/>
      <c r="H14" s="2">
        <v>18985</v>
      </c>
      <c r="I14" s="2"/>
      <c r="J14" s="19"/>
      <c r="K14" s="2"/>
      <c r="L14" s="2">
        <f t="shared" si="0"/>
        <v>-13766.34</v>
      </c>
      <c r="M14" s="2"/>
      <c r="N14" s="19">
        <f t="shared" si="1"/>
        <v>-0.7251166710560969</v>
      </c>
      <c r="O14" s="11"/>
      <c r="P14" s="2">
        <f>--22537.83</f>
        <v>22537.83</v>
      </c>
      <c r="Q14" s="2"/>
      <c r="R14" s="19"/>
      <c r="S14" s="2"/>
      <c r="T14" s="2">
        <v>79557</v>
      </c>
      <c r="U14" s="2"/>
      <c r="V14" s="19"/>
      <c r="W14" s="2"/>
      <c r="X14" s="2">
        <f t="shared" si="2"/>
        <v>-57019.17</v>
      </c>
      <c r="Y14" s="2"/>
      <c r="Z14" s="19">
        <f t="shared" si="3"/>
        <v>-0.71670839775255479</v>
      </c>
    </row>
    <row r="15" spans="1:26" s="24" customFormat="1" hidden="1" outlineLevel="1" x14ac:dyDescent="0.3">
      <c r="A15" s="44"/>
      <c r="B15" s="11" t="str">
        <f>CONCATENATE("          ", "4200", " - ", "TAXABLE RETURNS")</f>
        <v xml:space="preserve">          4200 - TAXABLE RETURNS</v>
      </c>
      <c r="C15" s="11"/>
      <c r="D15" s="2">
        <f>-97.23</f>
        <v>-97.23</v>
      </c>
      <c r="E15" s="2"/>
      <c r="F15" s="19"/>
      <c r="G15" s="2"/>
      <c r="H15" s="2"/>
      <c r="I15" s="2"/>
      <c r="J15" s="19"/>
      <c r="K15" s="2"/>
      <c r="L15" s="2">
        <f t="shared" si="0"/>
        <v>-97.23</v>
      </c>
      <c r="M15" s="2"/>
      <c r="N15" s="19">
        <f t="shared" si="1"/>
        <v>0</v>
      </c>
      <c r="O15" s="11"/>
      <c r="P15" s="2">
        <f>-972.52</f>
        <v>-972.52</v>
      </c>
      <c r="Q15" s="2"/>
      <c r="R15" s="19"/>
      <c r="S15" s="2"/>
      <c r="T15" s="2"/>
      <c r="U15" s="2"/>
      <c r="V15" s="19"/>
      <c r="W15" s="2"/>
      <c r="X15" s="2">
        <f t="shared" si="2"/>
        <v>-972.52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"4500", " - ", "SALES DISCOUNT")</f>
        <v xml:space="preserve">          4500 - SALES DISCOUNT</v>
      </c>
      <c r="C16" s="11"/>
      <c r="D16" s="2">
        <f>-159.13</f>
        <v>-159.13</v>
      </c>
      <c r="E16" s="2"/>
      <c r="F16" s="19"/>
      <c r="G16" s="2"/>
      <c r="H16" s="2"/>
      <c r="I16" s="2"/>
      <c r="J16" s="19"/>
      <c r="K16" s="2"/>
      <c r="L16" s="2">
        <f t="shared" si="0"/>
        <v>-159.13</v>
      </c>
      <c r="M16" s="2"/>
      <c r="N16" s="19">
        <f t="shared" si="1"/>
        <v>0</v>
      </c>
      <c r="O16" s="11"/>
      <c r="P16" s="2">
        <f>-309.72</f>
        <v>-309.72000000000003</v>
      </c>
      <c r="Q16" s="2"/>
      <c r="R16" s="19"/>
      <c r="S16" s="2"/>
      <c r="T16" s="2"/>
      <c r="U16" s="2"/>
      <c r="V16" s="19"/>
      <c r="W16" s="2"/>
      <c r="X16" s="2">
        <f t="shared" si="2"/>
        <v>-309.72000000000003</v>
      </c>
      <c r="Y16" s="2"/>
      <c r="Z16" s="19">
        <f t="shared" si="3"/>
        <v>0</v>
      </c>
    </row>
    <row r="17" spans="1:26" x14ac:dyDescent="0.3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">
      <c r="A18" s="10"/>
      <c r="B18" s="25" t="s">
        <v>257</v>
      </c>
      <c r="C18" s="10"/>
      <c r="D18" s="4">
        <f>SUM(OSRRefD16x_0)</f>
        <v>8191.56</v>
      </c>
      <c r="E18" s="4"/>
      <c r="F18" s="12">
        <f t="shared" ref="F18:F28" si="4">IF(D$12=0,0,D18/D$12)</f>
        <v>0.5540554342216597</v>
      </c>
      <c r="G18" s="4"/>
      <c r="H18" s="4">
        <f>SUM(OSRRefH16x_0)</f>
        <v>26289</v>
      </c>
      <c r="I18" s="4"/>
      <c r="J18" s="12">
        <f t="shared" ref="J18:J28" si="5">IF(H$12=0,0,H18/H$12)</f>
        <v>0.54529049387069339</v>
      </c>
      <c r="K18" s="4"/>
      <c r="L18" s="4">
        <f t="shared" ref="L18:L28" si="6">+D18-H18</f>
        <v>-18097.439999999999</v>
      </c>
      <c r="M18" s="4"/>
      <c r="N18" s="12">
        <f t="shared" ref="N18:N28" si="7">IF(H18=0,0,L18/H18)</f>
        <v>-0.68840351477804396</v>
      </c>
      <c r="O18" s="10"/>
      <c r="P18" s="4">
        <f>SUM(OSRRefP16x_0)</f>
        <v>46493.02</v>
      </c>
      <c r="Q18" s="4"/>
      <c r="R18" s="12">
        <f t="shared" ref="R18:R28" si="8">IF(P$12=0,0,P18/P$12)</f>
        <v>0.56473551166098834</v>
      </c>
      <c r="S18" s="4"/>
      <c r="T18" s="4">
        <f>SUM(OSRRefT16x_0)</f>
        <v>140530</v>
      </c>
      <c r="U18" s="4"/>
      <c r="V18" s="12">
        <f t="shared" ref="V18:V28" si="9">IF(T$12=0,0,T18/T$12)</f>
        <v>0.56255203996669445</v>
      </c>
      <c r="W18" s="4"/>
      <c r="X18" s="4">
        <f t="shared" ref="X18:X28" si="10">+P18-T18</f>
        <v>-94036.98000000001</v>
      </c>
      <c r="Y18" s="4"/>
      <c r="Z18" s="12">
        <f t="shared" ref="Z18:Z28" si="11">IF(T18=0,0,X18/T18)</f>
        <v>-0.66915946772931056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2">
        <v>25133.41</v>
      </c>
      <c r="E19" s="2"/>
      <c r="F19" s="19">
        <f t="shared" si="4"/>
        <v>1.6999573208303431</v>
      </c>
      <c r="G19" s="2"/>
      <c r="H19" s="2">
        <v>26289</v>
      </c>
      <c r="I19" s="2"/>
      <c r="J19" s="19">
        <f t="shared" si="5"/>
        <v>0.54529049387069339</v>
      </c>
      <c r="K19" s="2"/>
      <c r="L19" s="2">
        <f t="shared" si="6"/>
        <v>-1155.5900000000001</v>
      </c>
      <c r="M19" s="2"/>
      <c r="N19" s="19">
        <f t="shared" si="7"/>
        <v>-4.3957168397428588E-2</v>
      </c>
      <c r="O19" s="11"/>
      <c r="P19" s="2">
        <v>72525.16</v>
      </c>
      <c r="Q19" s="2"/>
      <c r="R19" s="19">
        <f t="shared" si="8"/>
        <v>0.88093940425670447</v>
      </c>
      <c r="S19" s="2"/>
      <c r="T19" s="2">
        <v>140530</v>
      </c>
      <c r="U19" s="2"/>
      <c r="V19" s="19">
        <f t="shared" si="9"/>
        <v>0.56255203996669445</v>
      </c>
      <c r="W19" s="2"/>
      <c r="X19" s="2">
        <f t="shared" si="10"/>
        <v>-68004.84</v>
      </c>
      <c r="Y19" s="2"/>
      <c r="Z19" s="19">
        <f t="shared" si="11"/>
        <v>-0.48391688607414785</v>
      </c>
    </row>
    <row r="20" spans="1:26" s="24" customFormat="1" hidden="1" outlineLevel="1" x14ac:dyDescent="0.3">
      <c r="A20" s="44"/>
      <c r="B20" s="11" t="str">
        <f>CONCATENATE("          ", "5026", " - ", "PURCHASES @ COST-WRITING INSTR")</f>
        <v xml:space="preserve">          5026 - PURCHASES @ COST-WRITING INSTR</v>
      </c>
      <c r="C20" s="11"/>
      <c r="D20" s="2"/>
      <c r="E20" s="2"/>
      <c r="F20" s="19">
        <f t="shared" si="4"/>
        <v>0</v>
      </c>
      <c r="G20" s="2"/>
      <c r="H20" s="2"/>
      <c r="I20" s="2"/>
      <c r="J20" s="19">
        <f t="shared" si="5"/>
        <v>0</v>
      </c>
      <c r="K20" s="2"/>
      <c r="L20" s="2">
        <f t="shared" si="6"/>
        <v>0</v>
      </c>
      <c r="M20" s="2"/>
      <c r="N20" s="19">
        <f t="shared" si="7"/>
        <v>0</v>
      </c>
      <c r="O20" s="11"/>
      <c r="P20" s="2">
        <v>0</v>
      </c>
      <c r="Q20" s="2"/>
      <c r="R20" s="19">
        <f t="shared" si="8"/>
        <v>0</v>
      </c>
      <c r="S20" s="2"/>
      <c r="T20" s="2"/>
      <c r="U20" s="2"/>
      <c r="V20" s="19">
        <f t="shared" si="9"/>
        <v>0</v>
      </c>
      <c r="W20" s="2"/>
      <c r="X20" s="2">
        <f t="shared" si="10"/>
        <v>0</v>
      </c>
      <c r="Y20" s="2"/>
      <c r="Z20" s="19">
        <f t="shared" si="11"/>
        <v>0</v>
      </c>
    </row>
    <row r="21" spans="1:26" s="24" customFormat="1" hidden="1" outlineLevel="1" x14ac:dyDescent="0.3">
      <c r="A21" s="44"/>
      <c r="B21" s="11" t="str">
        <f>CONCATENATE("          ", "5027", " - ", "PURCHASES @ COST-SCHOOL SUPPLI")</f>
        <v xml:space="preserve">          5027 - PURCHASES @ COST-SCHOOL SUPPLI</v>
      </c>
      <c r="C21" s="11"/>
      <c r="D21" s="2"/>
      <c r="E21" s="2"/>
      <c r="F21" s="19">
        <f t="shared" si="4"/>
        <v>0</v>
      </c>
      <c r="G21" s="2"/>
      <c r="H21" s="2"/>
      <c r="I21" s="2"/>
      <c r="J21" s="19">
        <f t="shared" si="5"/>
        <v>0</v>
      </c>
      <c r="K21" s="2"/>
      <c r="L21" s="2">
        <f t="shared" si="6"/>
        <v>0</v>
      </c>
      <c r="M21" s="2"/>
      <c r="N21" s="19">
        <f t="shared" si="7"/>
        <v>0</v>
      </c>
      <c r="O21" s="11"/>
      <c r="P21" s="2">
        <v>0</v>
      </c>
      <c r="Q21" s="2"/>
      <c r="R21" s="19">
        <f t="shared" si="8"/>
        <v>0</v>
      </c>
      <c r="S21" s="2"/>
      <c r="T21" s="2"/>
      <c r="U21" s="2"/>
      <c r="V21" s="19">
        <f t="shared" si="9"/>
        <v>0</v>
      </c>
      <c r="W21" s="2"/>
      <c r="X21" s="2">
        <f t="shared" si="10"/>
        <v>0</v>
      </c>
      <c r="Y21" s="2"/>
      <c r="Z21" s="19">
        <f t="shared" si="11"/>
        <v>0</v>
      </c>
    </row>
    <row r="22" spans="1:26" s="24" customFormat="1" hidden="1" outlineLevel="1" x14ac:dyDescent="0.3">
      <c r="A22" s="44"/>
      <c r="B22" s="11" t="str">
        <f>CONCATENATE("          ", "5028", " - ", "PURCHASES @ COST-ART/TECH")</f>
        <v xml:space="preserve">          5028 - PURCHASES @ COST-ART/TECH</v>
      </c>
      <c r="C22" s="11"/>
      <c r="D22" s="2"/>
      <c r="E22" s="2"/>
      <c r="F22" s="19">
        <f t="shared" si="4"/>
        <v>0</v>
      </c>
      <c r="G22" s="2"/>
      <c r="H22" s="2"/>
      <c r="I22" s="2"/>
      <c r="J22" s="19">
        <f t="shared" si="5"/>
        <v>0</v>
      </c>
      <c r="K22" s="2"/>
      <c r="L22" s="2">
        <f t="shared" si="6"/>
        <v>0</v>
      </c>
      <c r="M22" s="2"/>
      <c r="N22" s="19">
        <f t="shared" si="7"/>
        <v>0</v>
      </c>
      <c r="O22" s="11"/>
      <c r="P22" s="2">
        <v>0</v>
      </c>
      <c r="Q22" s="2"/>
      <c r="R22" s="19">
        <f t="shared" si="8"/>
        <v>0</v>
      </c>
      <c r="S22" s="2"/>
      <c r="T22" s="2"/>
      <c r="U22" s="2"/>
      <c r="V22" s="19">
        <f t="shared" si="9"/>
        <v>0</v>
      </c>
      <c r="W22" s="2"/>
      <c r="X22" s="2">
        <f t="shared" si="10"/>
        <v>0</v>
      </c>
      <c r="Y22" s="2"/>
      <c r="Z22" s="19">
        <f t="shared" si="11"/>
        <v>0</v>
      </c>
    </row>
    <row r="23" spans="1:26" s="24" customFormat="1" hidden="1" outlineLevel="1" x14ac:dyDescent="0.3">
      <c r="A23" s="44"/>
      <c r="B23" s="11" t="str">
        <f>CONCATENATE("          ", "5031", " - ", "PURCHASES @ COST-FOOD")</f>
        <v xml:space="preserve">          5031 - PURCHASES @ COST-FOOD</v>
      </c>
      <c r="C23" s="11"/>
      <c r="D23" s="2"/>
      <c r="E23" s="2"/>
      <c r="F23" s="19">
        <f t="shared" si="4"/>
        <v>0</v>
      </c>
      <c r="G23" s="2"/>
      <c r="H23" s="2"/>
      <c r="I23" s="2"/>
      <c r="J23" s="19">
        <f t="shared" si="5"/>
        <v>0</v>
      </c>
      <c r="K23" s="2"/>
      <c r="L23" s="2">
        <f t="shared" si="6"/>
        <v>0</v>
      </c>
      <c r="M23" s="2"/>
      <c r="N23" s="19">
        <f t="shared" si="7"/>
        <v>0</v>
      </c>
      <c r="O23" s="11"/>
      <c r="P23" s="2">
        <v>0</v>
      </c>
      <c r="Q23" s="2"/>
      <c r="R23" s="19">
        <f t="shared" si="8"/>
        <v>0</v>
      </c>
      <c r="S23" s="2"/>
      <c r="T23" s="2"/>
      <c r="U23" s="2"/>
      <c r="V23" s="19">
        <f t="shared" si="9"/>
        <v>0</v>
      </c>
      <c r="W23" s="2"/>
      <c r="X23" s="2">
        <f t="shared" si="10"/>
        <v>0</v>
      </c>
      <c r="Y23" s="2"/>
      <c r="Z23" s="19">
        <f t="shared" si="11"/>
        <v>0</v>
      </c>
    </row>
    <row r="24" spans="1:26" s="24" customFormat="1" hidden="1" outlineLevel="1" x14ac:dyDescent="0.3">
      <c r="A24" s="44"/>
      <c r="B24" s="11" t="str">
        <f>CONCATENATE("          ", "5042", " - ", "PURCHASES @ COST-EVERYDAY GIFT")</f>
        <v xml:space="preserve">          5042 - PURCHASES @ COST-EVERYDAY GIFT</v>
      </c>
      <c r="C24" s="11"/>
      <c r="D24" s="2"/>
      <c r="E24" s="2"/>
      <c r="F24" s="19">
        <f t="shared" si="4"/>
        <v>0</v>
      </c>
      <c r="G24" s="2"/>
      <c r="H24" s="2"/>
      <c r="I24" s="2"/>
      <c r="J24" s="19">
        <f t="shared" si="5"/>
        <v>0</v>
      </c>
      <c r="K24" s="2"/>
      <c r="L24" s="2">
        <f t="shared" si="6"/>
        <v>0</v>
      </c>
      <c r="M24" s="2"/>
      <c r="N24" s="19">
        <f t="shared" si="7"/>
        <v>0</v>
      </c>
      <c r="O24" s="11"/>
      <c r="P24" s="2">
        <v>0</v>
      </c>
      <c r="Q24" s="2"/>
      <c r="R24" s="19">
        <f t="shared" si="8"/>
        <v>0</v>
      </c>
      <c r="S24" s="2"/>
      <c r="T24" s="2"/>
      <c r="U24" s="2"/>
      <c r="V24" s="19">
        <f t="shared" si="9"/>
        <v>0</v>
      </c>
      <c r="W24" s="2"/>
      <c r="X24" s="2">
        <f t="shared" si="10"/>
        <v>0</v>
      </c>
      <c r="Y24" s="2"/>
      <c r="Z24" s="19">
        <f t="shared" si="11"/>
        <v>0</v>
      </c>
    </row>
    <row r="25" spans="1:26" s="24" customFormat="1" hidden="1" outlineLevel="1" x14ac:dyDescent="0.3">
      <c r="A25" s="44"/>
      <c r="B25" s="11" t="str">
        <f>CONCATENATE("          ", "5200", " - ", "PURCHASES OFFSET")</f>
        <v xml:space="preserve">          5200 - PURCHASES OFFSET</v>
      </c>
      <c r="C25" s="11"/>
      <c r="D25" s="2">
        <v>-25192.57</v>
      </c>
      <c r="E25" s="2"/>
      <c r="F25" s="19">
        <f t="shared" si="4"/>
        <v>-1.7039587466257413</v>
      </c>
      <c r="G25" s="2"/>
      <c r="H25" s="2"/>
      <c r="I25" s="2"/>
      <c r="J25" s="19">
        <f t="shared" si="5"/>
        <v>0</v>
      </c>
      <c r="K25" s="2"/>
      <c r="L25" s="2">
        <f t="shared" si="6"/>
        <v>-25192.57</v>
      </c>
      <c r="M25" s="2"/>
      <c r="N25" s="19">
        <f t="shared" si="7"/>
        <v>0</v>
      </c>
      <c r="O25" s="11"/>
      <c r="P25" s="2">
        <v>-73336.55</v>
      </c>
      <c r="Q25" s="2"/>
      <c r="R25" s="19">
        <f t="shared" si="8"/>
        <v>-0.89079509327855355</v>
      </c>
      <c r="S25" s="2"/>
      <c r="T25" s="2"/>
      <c r="U25" s="2"/>
      <c r="V25" s="19">
        <f t="shared" si="9"/>
        <v>0</v>
      </c>
      <c r="W25" s="2"/>
      <c r="X25" s="2">
        <f t="shared" si="10"/>
        <v>-73336.55</v>
      </c>
      <c r="Y25" s="2"/>
      <c r="Z25" s="19">
        <f t="shared" si="11"/>
        <v>0</v>
      </c>
    </row>
    <row r="26" spans="1:26" s="24" customFormat="1" hidden="1" outlineLevel="1" x14ac:dyDescent="0.3">
      <c r="A26" s="44"/>
      <c r="B26" s="11" t="str">
        <f>CONCATENATE("          ", "5300", " - ", "COG$ OFFSET")</f>
        <v xml:space="preserve">          5300 - COG$ OFFSET</v>
      </c>
      <c r="C26" s="11"/>
      <c r="D26" s="2">
        <v>8191.56</v>
      </c>
      <c r="E26" s="2"/>
      <c r="F26" s="19">
        <f t="shared" si="4"/>
        <v>0.5540554342216597</v>
      </c>
      <c r="G26" s="2"/>
      <c r="H26" s="2"/>
      <c r="I26" s="2"/>
      <c r="J26" s="19">
        <f t="shared" si="5"/>
        <v>0</v>
      </c>
      <c r="K26" s="2"/>
      <c r="L26" s="2">
        <f t="shared" si="6"/>
        <v>8191.56</v>
      </c>
      <c r="M26" s="2"/>
      <c r="N26" s="19">
        <f t="shared" si="7"/>
        <v>0</v>
      </c>
      <c r="O26" s="11"/>
      <c r="P26" s="2">
        <v>46493.02</v>
      </c>
      <c r="Q26" s="2"/>
      <c r="R26" s="19">
        <f t="shared" si="8"/>
        <v>0.56473551166098834</v>
      </c>
      <c r="S26" s="2"/>
      <c r="T26" s="2"/>
      <c r="U26" s="2"/>
      <c r="V26" s="19">
        <f t="shared" si="9"/>
        <v>0</v>
      </c>
      <c r="W26" s="2"/>
      <c r="X26" s="2">
        <f t="shared" si="10"/>
        <v>46493.02</v>
      </c>
      <c r="Y26" s="2"/>
      <c r="Z26" s="19">
        <f t="shared" si="11"/>
        <v>0</v>
      </c>
    </row>
    <row r="27" spans="1:26" s="24" customFormat="1" hidden="1" outlineLevel="1" x14ac:dyDescent="0.3">
      <c r="A27" s="44"/>
      <c r="B27" s="11" t="str">
        <f>CONCATENATE("          ", "5500", " - ", "FREIGHT-IN")</f>
        <v xml:space="preserve">          5500 - FREIGHT-IN</v>
      </c>
      <c r="C27" s="11"/>
      <c r="D27" s="2">
        <v>59.16</v>
      </c>
      <c r="E27" s="2"/>
      <c r="F27" s="19">
        <f t="shared" si="4"/>
        <v>4.0014257953983595E-3</v>
      </c>
      <c r="G27" s="2"/>
      <c r="H27" s="2"/>
      <c r="I27" s="2"/>
      <c r="J27" s="19">
        <f t="shared" si="5"/>
        <v>0</v>
      </c>
      <c r="K27" s="2"/>
      <c r="L27" s="2">
        <f t="shared" si="6"/>
        <v>59.16</v>
      </c>
      <c r="M27" s="2"/>
      <c r="N27" s="19">
        <f t="shared" si="7"/>
        <v>0</v>
      </c>
      <c r="O27" s="11"/>
      <c r="P27" s="2">
        <v>811.39</v>
      </c>
      <c r="Q27" s="2"/>
      <c r="R27" s="19">
        <f t="shared" si="8"/>
        <v>9.855689021849072E-3</v>
      </c>
      <c r="S27" s="2"/>
      <c r="T27" s="2"/>
      <c r="U27" s="2"/>
      <c r="V27" s="19">
        <f t="shared" si="9"/>
        <v>0</v>
      </c>
      <c r="W27" s="2"/>
      <c r="X27" s="2">
        <f t="shared" si="10"/>
        <v>811.39</v>
      </c>
      <c r="Y27" s="2"/>
      <c r="Z27" s="19">
        <f t="shared" si="11"/>
        <v>0</v>
      </c>
    </row>
    <row r="28" spans="1:26" s="24" customFormat="1" hidden="1" outlineLevel="1" x14ac:dyDescent="0.3">
      <c r="A28" s="44"/>
      <c r="B28" s="11" t="str">
        <f>CONCATENATE("          ", "5528", " - ", "FREIGHT-IN-ART/TECH")</f>
        <v xml:space="preserve">          5528 - FREIGHT-IN-ART/TECH</v>
      </c>
      <c r="C28" s="11"/>
      <c r="D28" s="2"/>
      <c r="E28" s="2"/>
      <c r="F28" s="19">
        <f t="shared" si="4"/>
        <v>0</v>
      </c>
      <c r="G28" s="2"/>
      <c r="H28" s="2"/>
      <c r="I28" s="2"/>
      <c r="J28" s="19">
        <f t="shared" si="5"/>
        <v>0</v>
      </c>
      <c r="K28" s="2"/>
      <c r="L28" s="2">
        <f t="shared" si="6"/>
        <v>0</v>
      </c>
      <c r="M28" s="2"/>
      <c r="N28" s="19">
        <f t="shared" si="7"/>
        <v>0</v>
      </c>
      <c r="O28" s="11"/>
      <c r="P28" s="2">
        <v>0</v>
      </c>
      <c r="Q28" s="2"/>
      <c r="R28" s="19">
        <f t="shared" si="8"/>
        <v>0</v>
      </c>
      <c r="S28" s="2"/>
      <c r="T28" s="2"/>
      <c r="U28" s="2"/>
      <c r="V28" s="19">
        <f t="shared" si="9"/>
        <v>0</v>
      </c>
      <c r="W28" s="2"/>
      <c r="X28" s="2">
        <f t="shared" si="10"/>
        <v>0</v>
      </c>
      <c r="Y28" s="2"/>
      <c r="Z28" s="19">
        <f t="shared" si="11"/>
        <v>0</v>
      </c>
    </row>
    <row r="29" spans="1:26" x14ac:dyDescent="0.3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3">
      <c r="A30" s="10"/>
      <c r="B30" s="26" t="s">
        <v>108</v>
      </c>
      <c r="C30" s="26"/>
      <c r="D30" s="20">
        <f>D12-D18</f>
        <v>6593.170000000001</v>
      </c>
      <c r="E30" s="13"/>
      <c r="F30" s="22">
        <f>IF(D$12=0,0,D30/D$12)</f>
        <v>0.44594456577834024</v>
      </c>
      <c r="G30" s="13"/>
      <c r="H30" s="20">
        <f>H12-H18</f>
        <v>21922</v>
      </c>
      <c r="I30" s="13"/>
      <c r="J30" s="22">
        <f>IF(H$12=0,0,H30/H$12)</f>
        <v>0.45470950612930661</v>
      </c>
      <c r="K30" s="15"/>
      <c r="L30" s="20">
        <f>+D30-H30</f>
        <v>-15328.829999999998</v>
      </c>
      <c r="M30" s="15"/>
      <c r="N30" s="22">
        <f>IF(H30=0,0,L30/H30)</f>
        <v>-0.69924413830854837</v>
      </c>
      <c r="O30" s="25"/>
      <c r="P30" s="20">
        <f>P12-P18</f>
        <v>35834.049999999996</v>
      </c>
      <c r="Q30" s="13"/>
      <c r="R30" s="22">
        <f>IF(P$12=0,0,P30/P$12)</f>
        <v>0.43526448833901171</v>
      </c>
      <c r="S30" s="13"/>
      <c r="T30" s="20">
        <f>T12-T18</f>
        <v>109278</v>
      </c>
      <c r="U30" s="13"/>
      <c r="V30" s="22">
        <f>IF(T$12=0,0,T30/T$12)</f>
        <v>0.43744796003330561</v>
      </c>
      <c r="W30" s="15"/>
      <c r="X30" s="20">
        <f>+P30-T30</f>
        <v>-73443.950000000012</v>
      </c>
      <c r="Y30" s="15"/>
      <c r="Z30" s="22">
        <f>IF(T30=0,0,X30/T30)</f>
        <v>-0.67208358498508403</v>
      </c>
    </row>
    <row r="31" spans="1:26" x14ac:dyDescent="0.3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6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3">
      <c r="A32" s="10"/>
      <c r="B32" s="25" t="s">
        <v>295</v>
      </c>
      <c r="C32" s="10"/>
      <c r="D32" s="21">
        <f>SUM(OSRRefD22x_0)</f>
        <v>6777.829999999999</v>
      </c>
      <c r="E32" s="21"/>
      <c r="F32" s="30">
        <f t="shared" ref="F32:F41" si="12">IF(D$12=0,0,D32/D$12)</f>
        <v>0.45843447935809434</v>
      </c>
      <c r="G32" s="21"/>
      <c r="H32" s="21">
        <f>SUM(OSRRefH22x_0)</f>
        <v>10360.615600000001</v>
      </c>
      <c r="I32" s="21"/>
      <c r="J32" s="30">
        <f t="shared" ref="J32:J41" si="13">IF(H$12=0,0,H32/H$12)</f>
        <v>0.21490148721246191</v>
      </c>
      <c r="K32" s="4"/>
      <c r="L32" s="21">
        <f t="shared" ref="L32:L41" si="14">+D32-H32</f>
        <v>-3582.785600000002</v>
      </c>
      <c r="M32" s="4"/>
      <c r="N32" s="30">
        <f t="shared" ref="N32:N41" si="15">IF(H32=0,0,L32/H32)</f>
        <v>-0.3458081776530732</v>
      </c>
      <c r="O32" s="10"/>
      <c r="P32" s="21">
        <f>SUM(OSRRefP22x_0)</f>
        <v>20994.720000000001</v>
      </c>
      <c r="Q32" s="21"/>
      <c r="R32" s="30">
        <f t="shared" ref="R32:R41" si="16">IF(P$12=0,0,P32/P$12)</f>
        <v>0.25501599899036859</v>
      </c>
      <c r="S32" s="21"/>
      <c r="T32" s="21">
        <f>SUM(OSRRefT22x_0)</f>
        <v>57416.923150000002</v>
      </c>
      <c r="U32" s="21"/>
      <c r="V32" s="30">
        <f t="shared" ref="V32:V41" si="17">IF(T$12=0,0,T32/T$12)</f>
        <v>0.22984421295554988</v>
      </c>
      <c r="W32" s="4"/>
      <c r="X32" s="21">
        <f t="shared" ref="X32:X41" si="18">+P32-T32</f>
        <v>-36422.203150000001</v>
      </c>
      <c r="Y32" s="4"/>
      <c r="Z32" s="30">
        <f t="shared" ref="Z32:Z41" si="19">IF(T32=0,0,X32/T32)</f>
        <v>-0.63434613266977191</v>
      </c>
    </row>
    <row r="33" spans="1:26" s="29" customFormat="1" outlineLevel="1" collapsed="1" x14ac:dyDescent="0.3">
      <c r="A33" s="28"/>
      <c r="B33" s="14" t="str">
        <f>CONCATENATE("     ","*Benefits                                         ")</f>
        <v xml:space="preserve">     *Benefits                                         </v>
      </c>
      <c r="C33" s="14"/>
      <c r="D33" s="1">
        <f>SUM(OSRRefD22_0x_0)</f>
        <v>95.39</v>
      </c>
      <c r="E33" s="1"/>
      <c r="F33" s="5">
        <f t="shared" si="12"/>
        <v>6.4519270896391066E-3</v>
      </c>
      <c r="G33" s="1"/>
      <c r="H33" s="1">
        <f>SUM(OSRRefH22_0x_0)</f>
        <v>573.61560000000009</v>
      </c>
      <c r="I33" s="1"/>
      <c r="J33" s="5">
        <f t="shared" si="13"/>
        <v>1.1898023272697103E-2</v>
      </c>
      <c r="K33" s="1"/>
      <c r="L33" s="1">
        <f t="shared" si="14"/>
        <v>-478.2256000000001</v>
      </c>
      <c r="M33" s="1"/>
      <c r="N33" s="5">
        <f t="shared" si="15"/>
        <v>-0.83370396481546183</v>
      </c>
      <c r="O33" s="14"/>
      <c r="P33" s="1">
        <f>SUM(OSRRefP22_0x_0)</f>
        <v>225.75</v>
      </c>
      <c r="Q33" s="1"/>
      <c r="R33" s="5">
        <f t="shared" si="16"/>
        <v>2.7421114343070879E-3</v>
      </c>
      <c r="S33" s="1"/>
      <c r="T33" s="1">
        <f>SUM(OSRRefT22_0x_0)</f>
        <v>4225.9231499999996</v>
      </c>
      <c r="U33" s="1"/>
      <c r="V33" s="5">
        <f t="shared" si="17"/>
        <v>1.6916684613783383E-2</v>
      </c>
      <c r="W33" s="1"/>
      <c r="X33" s="1">
        <f t="shared" si="18"/>
        <v>-4000.1731499999996</v>
      </c>
      <c r="Y33" s="1"/>
      <c r="Z33" s="5">
        <f t="shared" si="19"/>
        <v>-0.94657971951051689</v>
      </c>
    </row>
    <row r="34" spans="1:26" s="24" customFormat="1" hidden="1" outlineLevel="2" x14ac:dyDescent="0.3">
      <c r="A34" s="27"/>
      <c r="B34" s="11" t="str">
        <f>CONCATENATE("          ", "6111", " - ", "F.I.C.A.")</f>
        <v xml:space="preserve">          6111 - F.I.C.A.</v>
      </c>
      <c r="C34" s="11"/>
      <c r="D34" s="6"/>
      <c r="E34" s="2"/>
      <c r="F34" s="7">
        <f t="shared" si="12"/>
        <v>0</v>
      </c>
      <c r="G34" s="2"/>
      <c r="H34" s="6">
        <v>146.9376</v>
      </c>
      <c r="I34" s="2"/>
      <c r="J34" s="7">
        <f t="shared" si="13"/>
        <v>3.0478023687540187E-3</v>
      </c>
      <c r="K34" s="2"/>
      <c r="L34" s="6">
        <f t="shared" si="14"/>
        <v>-146.9376</v>
      </c>
      <c r="M34" s="2"/>
      <c r="N34" s="7">
        <f t="shared" si="15"/>
        <v>-1</v>
      </c>
      <c r="O34" s="11"/>
      <c r="P34" s="6">
        <v>10.31</v>
      </c>
      <c r="Q34" s="2"/>
      <c r="R34" s="7">
        <f t="shared" si="16"/>
        <v>1.2523219883812215E-4</v>
      </c>
      <c r="S34" s="2"/>
      <c r="T34" s="6">
        <v>1879.19415</v>
      </c>
      <c r="U34" s="2"/>
      <c r="V34" s="7">
        <f t="shared" si="17"/>
        <v>7.5225539214116444E-3</v>
      </c>
      <c r="W34" s="2"/>
      <c r="X34" s="6">
        <f t="shared" si="18"/>
        <v>-1868.8841500000001</v>
      </c>
      <c r="Y34" s="2"/>
      <c r="Z34" s="7">
        <f t="shared" si="19"/>
        <v>-0.99451360573892811</v>
      </c>
    </row>
    <row r="35" spans="1:26" s="24" customFormat="1" hidden="1" outlineLevel="2" x14ac:dyDescent="0.3">
      <c r="A35" s="27"/>
      <c r="B35" s="11" t="str">
        <f>CONCATENATE("          ", "6112", " - ", "COMPENSATION INSURANCE")</f>
        <v xml:space="preserve">          6112 - COMPENSATION INSURANCE</v>
      </c>
      <c r="C35" s="11"/>
      <c r="D35" s="6">
        <v>81.14</v>
      </c>
      <c r="E35" s="2"/>
      <c r="F35" s="7">
        <f t="shared" si="12"/>
        <v>5.4880948113357492E-3</v>
      </c>
      <c r="G35" s="2"/>
      <c r="H35" s="6">
        <v>126.98399999999999</v>
      </c>
      <c r="I35" s="2"/>
      <c r="J35" s="7">
        <f t="shared" si="13"/>
        <v>2.6339217191097466E-3</v>
      </c>
      <c r="K35" s="2"/>
      <c r="L35" s="6">
        <f t="shared" si="14"/>
        <v>-45.843999999999994</v>
      </c>
      <c r="M35" s="2"/>
      <c r="N35" s="7">
        <f t="shared" si="15"/>
        <v>-0.36102186102186101</v>
      </c>
      <c r="O35" s="11"/>
      <c r="P35" s="6">
        <v>183.25</v>
      </c>
      <c r="Q35" s="2"/>
      <c r="R35" s="7">
        <f t="shared" si="16"/>
        <v>2.2258778309491643E-3</v>
      </c>
      <c r="S35" s="2"/>
      <c r="T35" s="6">
        <v>698.41200000000003</v>
      </c>
      <c r="U35" s="2"/>
      <c r="V35" s="7">
        <f t="shared" si="17"/>
        <v>2.7957951706910908E-3</v>
      </c>
      <c r="W35" s="2"/>
      <c r="X35" s="6">
        <f t="shared" si="18"/>
        <v>-515.16200000000003</v>
      </c>
      <c r="Y35" s="2"/>
      <c r="Z35" s="7">
        <f t="shared" si="19"/>
        <v>-0.73761905580087395</v>
      </c>
    </row>
    <row r="36" spans="1:26" s="24" customFormat="1" hidden="1" outlineLevel="2" x14ac:dyDescent="0.3">
      <c r="A36" s="27"/>
      <c r="B36" s="11" t="str">
        <f>CONCATENATE("          ", "6113", " - ", "GROUP INSURANCE")</f>
        <v xml:space="preserve">          6113 - GROUP INSURANCE</v>
      </c>
      <c r="C36" s="11"/>
      <c r="D36" s="6"/>
      <c r="E36" s="2"/>
      <c r="F36" s="7">
        <f t="shared" si="12"/>
        <v>0</v>
      </c>
      <c r="G36" s="2"/>
      <c r="H36" s="6">
        <v>0</v>
      </c>
      <c r="I36" s="2"/>
      <c r="J36" s="7">
        <f t="shared" si="13"/>
        <v>0</v>
      </c>
      <c r="K36" s="2"/>
      <c r="L36" s="6">
        <f t="shared" si="14"/>
        <v>0</v>
      </c>
      <c r="M36" s="2"/>
      <c r="N36" s="7">
        <f t="shared" si="15"/>
        <v>0</v>
      </c>
      <c r="O36" s="11"/>
      <c r="P36" s="6"/>
      <c r="Q36" s="2"/>
      <c r="R36" s="7">
        <f t="shared" si="16"/>
        <v>0</v>
      </c>
      <c r="S36" s="2"/>
      <c r="T36" s="6">
        <v>0</v>
      </c>
      <c r="U36" s="2"/>
      <c r="V36" s="7">
        <f t="shared" si="17"/>
        <v>0</v>
      </c>
      <c r="W36" s="2"/>
      <c r="X36" s="6">
        <f t="shared" si="18"/>
        <v>0</v>
      </c>
      <c r="Y36" s="2"/>
      <c r="Z36" s="7">
        <f t="shared" si="19"/>
        <v>0</v>
      </c>
    </row>
    <row r="37" spans="1:26" s="24" customFormat="1" hidden="1" outlineLevel="2" x14ac:dyDescent="0.3">
      <c r="A37" s="27"/>
      <c r="B37" s="11" t="str">
        <f>CONCATENATE("          ", "6114", " - ", "STATE UNEMPLOYMENT INSURANCE")</f>
        <v xml:space="preserve">          6114 - STATE UNEMPLOYMENT INSURANCE</v>
      </c>
      <c r="C37" s="11"/>
      <c r="D37" s="6">
        <v>14.25</v>
      </c>
      <c r="E37" s="2"/>
      <c r="F37" s="7">
        <f t="shared" si="12"/>
        <v>9.6383227830335754E-4</v>
      </c>
      <c r="G37" s="2"/>
      <c r="H37" s="6">
        <v>17.094000000000001</v>
      </c>
      <c r="I37" s="2"/>
      <c r="J37" s="7">
        <f t="shared" si="13"/>
        <v>3.5456638526477365E-4</v>
      </c>
      <c r="K37" s="2"/>
      <c r="L37" s="6">
        <f t="shared" si="14"/>
        <v>-2.8440000000000012</v>
      </c>
      <c r="M37" s="2"/>
      <c r="N37" s="7">
        <f t="shared" si="15"/>
        <v>-0.16637416637416644</v>
      </c>
      <c r="O37" s="11"/>
      <c r="P37" s="6">
        <v>32.19</v>
      </c>
      <c r="Q37" s="2"/>
      <c r="R37" s="7">
        <f t="shared" si="16"/>
        <v>3.9100140451980132E-4</v>
      </c>
      <c r="S37" s="2"/>
      <c r="T37" s="6">
        <v>94.016999999999996</v>
      </c>
      <c r="U37" s="2"/>
      <c r="V37" s="7">
        <f t="shared" si="17"/>
        <v>3.7635704220841603E-4</v>
      </c>
      <c r="W37" s="2"/>
      <c r="X37" s="6">
        <f t="shared" si="18"/>
        <v>-61.826999999999998</v>
      </c>
      <c r="Y37" s="2"/>
      <c r="Z37" s="7">
        <f t="shared" si="19"/>
        <v>-0.65761511216056667</v>
      </c>
    </row>
    <row r="38" spans="1:26" s="24" customFormat="1" hidden="1" outlineLevel="2" x14ac:dyDescent="0.3">
      <c r="A38" s="27"/>
      <c r="B38" s="11" t="str">
        <f>CONCATENATE("          ", "6115", " - ", "P.E.R.S.")</f>
        <v xml:space="preserve">          6115 - P.E.R.S.</v>
      </c>
      <c r="C38" s="11"/>
      <c r="D38" s="6"/>
      <c r="E38" s="2"/>
      <c r="F38" s="7">
        <f t="shared" si="12"/>
        <v>0</v>
      </c>
      <c r="G38" s="2"/>
      <c r="H38" s="6">
        <v>0</v>
      </c>
      <c r="I38" s="2"/>
      <c r="J38" s="7">
        <f t="shared" si="13"/>
        <v>0</v>
      </c>
      <c r="K38" s="2"/>
      <c r="L38" s="6">
        <f t="shared" si="14"/>
        <v>0</v>
      </c>
      <c r="M38" s="2"/>
      <c r="N38" s="7">
        <f t="shared" si="15"/>
        <v>0</v>
      </c>
      <c r="O38" s="11"/>
      <c r="P38" s="6"/>
      <c r="Q38" s="2"/>
      <c r="R38" s="7">
        <f t="shared" si="16"/>
        <v>0</v>
      </c>
      <c r="S38" s="2"/>
      <c r="T38" s="6">
        <v>0</v>
      </c>
      <c r="U38" s="2"/>
      <c r="V38" s="7">
        <f t="shared" si="17"/>
        <v>0</v>
      </c>
      <c r="W38" s="2"/>
      <c r="X38" s="6">
        <f t="shared" si="18"/>
        <v>0</v>
      </c>
      <c r="Y38" s="2"/>
      <c r="Z38" s="7">
        <f t="shared" si="19"/>
        <v>0</v>
      </c>
    </row>
    <row r="39" spans="1:26" s="24" customFormat="1" hidden="1" outlineLevel="2" x14ac:dyDescent="0.3">
      <c r="A39" s="27"/>
      <c r="B39" s="11" t="str">
        <f>CONCATENATE("          ", "6116", " - ", "EDUCATIONAL BENEFITS")</f>
        <v xml:space="preserve">          6116 - EDUCATIONAL BENEFITS</v>
      </c>
      <c r="C39" s="11"/>
      <c r="D39" s="6"/>
      <c r="E39" s="2"/>
      <c r="F39" s="7">
        <f t="shared" si="12"/>
        <v>0</v>
      </c>
      <c r="G39" s="2"/>
      <c r="H39" s="6">
        <v>0</v>
      </c>
      <c r="I39" s="2"/>
      <c r="J39" s="7">
        <f t="shared" si="13"/>
        <v>0</v>
      </c>
      <c r="K39" s="2"/>
      <c r="L39" s="6">
        <f t="shared" si="14"/>
        <v>0</v>
      </c>
      <c r="M39" s="2"/>
      <c r="N39" s="7">
        <f t="shared" si="15"/>
        <v>0</v>
      </c>
      <c r="O39" s="11"/>
      <c r="P39" s="6"/>
      <c r="Q39" s="2"/>
      <c r="R39" s="7">
        <f t="shared" si="16"/>
        <v>0</v>
      </c>
      <c r="S39" s="2"/>
      <c r="T39" s="6">
        <v>0</v>
      </c>
      <c r="U39" s="2"/>
      <c r="V39" s="7">
        <f t="shared" si="17"/>
        <v>0</v>
      </c>
      <c r="W39" s="2"/>
      <c r="X39" s="6">
        <f t="shared" si="18"/>
        <v>0</v>
      </c>
      <c r="Y39" s="2"/>
      <c r="Z39" s="7">
        <f t="shared" si="19"/>
        <v>0</v>
      </c>
    </row>
    <row r="40" spans="1:26" s="24" customFormat="1" hidden="1" outlineLevel="2" x14ac:dyDescent="0.3">
      <c r="A40" s="27"/>
      <c r="B40" s="11" t="str">
        <f>CONCATENATE("          ", "6118", " - ", "VACATION")</f>
        <v xml:space="preserve">          6118 - VACATION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4" customFormat="1" hidden="1" outlineLevel="2" x14ac:dyDescent="0.3">
      <c r="A41" s="27"/>
      <c r="B41" s="11" t="str">
        <f>CONCATENATE("          ", "6119", " - ", "SICK LEAVE")</f>
        <v xml:space="preserve">          6119 - SICK LEAVE</v>
      </c>
      <c r="C41" s="11"/>
      <c r="D41" s="6"/>
      <c r="E41" s="2"/>
      <c r="F41" s="7">
        <f t="shared" si="12"/>
        <v>0</v>
      </c>
      <c r="G41" s="2"/>
      <c r="H41" s="6">
        <v>282.60000000000002</v>
      </c>
      <c r="I41" s="2"/>
      <c r="J41" s="7">
        <f t="shared" si="13"/>
        <v>5.8617327995685638E-3</v>
      </c>
      <c r="K41" s="2"/>
      <c r="L41" s="6">
        <f t="shared" si="14"/>
        <v>-282.60000000000002</v>
      </c>
      <c r="M41" s="2"/>
      <c r="N41" s="7">
        <f t="shared" si="15"/>
        <v>-1</v>
      </c>
      <c r="O41" s="11"/>
      <c r="P41" s="6"/>
      <c r="Q41" s="2"/>
      <c r="R41" s="7">
        <f t="shared" si="16"/>
        <v>0</v>
      </c>
      <c r="S41" s="2"/>
      <c r="T41" s="6">
        <v>1554.3</v>
      </c>
      <c r="U41" s="2"/>
      <c r="V41" s="7">
        <f t="shared" si="17"/>
        <v>6.2219784794722349E-3</v>
      </c>
      <c r="W41" s="2"/>
      <c r="X41" s="6">
        <f t="shared" si="18"/>
        <v>-1554.3</v>
      </c>
      <c r="Y41" s="2"/>
      <c r="Z41" s="7">
        <f t="shared" si="19"/>
        <v>-1</v>
      </c>
    </row>
    <row r="42" spans="1:26" s="29" customFormat="1" outlineLevel="1" collapsed="1" x14ac:dyDescent="0.3">
      <c r="A42" s="28"/>
      <c r="B42" s="14" t="str">
        <f>CONCATENATE("     ","*Payroll                                          ")</f>
        <v xml:space="preserve">     *Payroll                                          </v>
      </c>
      <c r="C42" s="14"/>
      <c r="D42" s="1">
        <f>SUM(OSRRefD22_1x_0)</f>
        <v>4766.68</v>
      </c>
      <c r="E42" s="1"/>
      <c r="F42" s="5">
        <f t="shared" ref="F42:F52" si="20">IF(D$12=0,0,D42/D$12)</f>
        <v>0.3224056171468806</v>
      </c>
      <c r="G42" s="1"/>
      <c r="H42" s="1">
        <f>SUM(OSRRefH22_1x_0)</f>
        <v>8044</v>
      </c>
      <c r="I42" s="1"/>
      <c r="J42" s="5">
        <f t="shared" ref="J42:J52" si="21">IF(H$12=0,0,H42/H$12)</f>
        <v>0.16684988902947459</v>
      </c>
      <c r="K42" s="1"/>
      <c r="L42" s="1">
        <f t="shared" ref="L42:L52" si="22">+D42-H42</f>
        <v>-3277.3199999999997</v>
      </c>
      <c r="M42" s="1"/>
      <c r="N42" s="5">
        <f t="shared" ref="N42:N52" si="23">IF(H42=0,0,L42/H42)</f>
        <v>-0.40742416708105417</v>
      </c>
      <c r="O42" s="14"/>
      <c r="P42" s="1">
        <f>SUM(OSRRefP22_1x_0)</f>
        <v>10723.59</v>
      </c>
      <c r="Q42" s="1"/>
      <c r="R42" s="5">
        <f t="shared" ref="R42:R52" si="24">IF(P$12=0,0,P42/P$12)</f>
        <v>0.13025594133254106</v>
      </c>
      <c r="S42" s="1"/>
      <c r="T42" s="1">
        <f>SUM(OSRRefT22_1x_0)</f>
        <v>44242</v>
      </c>
      <c r="U42" s="1"/>
      <c r="V42" s="5">
        <f t="shared" ref="V42:V52" si="25">IF(T$12=0,0,T42/T$12)</f>
        <v>0.17710401588419908</v>
      </c>
      <c r="W42" s="1"/>
      <c r="X42" s="1">
        <f t="shared" ref="X42:X52" si="26">+P42-T42</f>
        <v>-33518.410000000003</v>
      </c>
      <c r="Y42" s="1"/>
      <c r="Z42" s="5">
        <f t="shared" ref="Z42:Z52" si="27">IF(T42=0,0,X42/T42)</f>
        <v>-0.7576151620631979</v>
      </c>
    </row>
    <row r="43" spans="1:26" s="24" customFormat="1" hidden="1" outlineLevel="2" x14ac:dyDescent="0.3">
      <c r="A43" s="27"/>
      <c r="B43" s="11" t="str">
        <f>CONCATENATE("          ", "6001", " - ", "ADMINISTRATIVE SALARIES")</f>
        <v xml:space="preserve">          6001 - ADMINISTRATIVE SALARIES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4" customFormat="1" hidden="1" outlineLevel="2" x14ac:dyDescent="0.3">
      <c r="A44" s="27"/>
      <c r="B44" s="11" t="str">
        <f>CONCATENATE("          ", "6002", " - ", "STAFF SALARIES")</f>
        <v xml:space="preserve">          6002 - STAFF SALARIES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3">
      <c r="A45" s="27"/>
      <c r="B45" s="11" t="str">
        <f>CONCATENATE("          ", "6003", " - ", "STAFF HOURLY-9 MONTH")</f>
        <v xml:space="preserve">          6003 - STAFF HOURLY-9 MONTH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3">
      <c r="A46" s="27"/>
      <c r="B46" s="11" t="str">
        <f>CONCATENATE("          ", "6004", " - ", "STAFF HOURLY")</f>
        <v xml:space="preserve">          6004 - STAFF HOURLY</v>
      </c>
      <c r="C46" s="11"/>
      <c r="D46" s="6"/>
      <c r="E46" s="2"/>
      <c r="F46" s="7">
        <f t="shared" si="20"/>
        <v>0</v>
      </c>
      <c r="G46" s="2"/>
      <c r="H46" s="6">
        <v>1824</v>
      </c>
      <c r="I46" s="2"/>
      <c r="J46" s="7">
        <f t="shared" si="21"/>
        <v>3.7833689406981806E-2</v>
      </c>
      <c r="K46" s="2"/>
      <c r="L46" s="6">
        <f t="shared" si="22"/>
        <v>-1824</v>
      </c>
      <c r="M46" s="2"/>
      <c r="N46" s="7">
        <f t="shared" si="23"/>
        <v>-1</v>
      </c>
      <c r="O46" s="11"/>
      <c r="P46" s="6"/>
      <c r="Q46" s="2"/>
      <c r="R46" s="7">
        <f t="shared" si="24"/>
        <v>0</v>
      </c>
      <c r="S46" s="2"/>
      <c r="T46" s="6">
        <v>10032</v>
      </c>
      <c r="U46" s="2"/>
      <c r="V46" s="7">
        <f t="shared" si="25"/>
        <v>4.0158841990648821E-2</v>
      </c>
      <c r="W46" s="2"/>
      <c r="X46" s="6">
        <f t="shared" si="26"/>
        <v>-10032</v>
      </c>
      <c r="Y46" s="2"/>
      <c r="Z46" s="7">
        <f t="shared" si="27"/>
        <v>-1</v>
      </c>
    </row>
    <row r="47" spans="1:26" s="24" customFormat="1" hidden="1" outlineLevel="2" x14ac:dyDescent="0.3">
      <c r="A47" s="27"/>
      <c r="B47" s="11" t="str">
        <f>CONCATENATE("          ", "6005", " - ", "TEMPORARY WAGES-HOURLY")</f>
        <v xml:space="preserve">          6005 - TEMPORARY WAGES-HOURLY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>
        <v>134.81</v>
      </c>
      <c r="Q47" s="2"/>
      <c r="R47" s="7">
        <f t="shared" si="24"/>
        <v>1.6374929898513334E-3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134.81</v>
      </c>
      <c r="Y47" s="2"/>
      <c r="Z47" s="7">
        <f t="shared" si="27"/>
        <v>0</v>
      </c>
    </row>
    <row r="48" spans="1:26" s="24" customFormat="1" hidden="1" outlineLevel="2" x14ac:dyDescent="0.3">
      <c r="A48" s="27"/>
      <c r="B48" s="11" t="str">
        <f>CONCATENATE("          ", "6006", " - ", "TEMPORARY PART TIME")</f>
        <v xml:space="preserve">          6006 - TEMPORARY PART TIME</v>
      </c>
      <c r="C48" s="11"/>
      <c r="D48" s="6"/>
      <c r="E48" s="2"/>
      <c r="F48" s="7">
        <f t="shared" si="20"/>
        <v>0</v>
      </c>
      <c r="G48" s="2"/>
      <c r="H48" s="6">
        <v>0</v>
      </c>
      <c r="I48" s="2"/>
      <c r="J48" s="7">
        <f t="shared" si="21"/>
        <v>0</v>
      </c>
      <c r="K48" s="2"/>
      <c r="L48" s="6">
        <f t="shared" si="22"/>
        <v>0</v>
      </c>
      <c r="M48" s="2"/>
      <c r="N48" s="7">
        <f t="shared" si="23"/>
        <v>0</v>
      </c>
      <c r="O48" s="11"/>
      <c r="P48" s="6"/>
      <c r="Q48" s="2"/>
      <c r="R48" s="7">
        <f t="shared" si="24"/>
        <v>0</v>
      </c>
      <c r="S48" s="2"/>
      <c r="T48" s="6">
        <v>0</v>
      </c>
      <c r="U48" s="2"/>
      <c r="V48" s="7">
        <f t="shared" si="25"/>
        <v>0</v>
      </c>
      <c r="W48" s="2"/>
      <c r="X48" s="6">
        <f t="shared" si="26"/>
        <v>0</v>
      </c>
      <c r="Y48" s="2"/>
      <c r="Z48" s="7">
        <f t="shared" si="27"/>
        <v>0</v>
      </c>
    </row>
    <row r="49" spans="1:26" s="24" customFormat="1" hidden="1" outlineLevel="2" x14ac:dyDescent="0.3">
      <c r="A49" s="27"/>
      <c r="B49" s="11" t="str">
        <f>CONCATENATE("          ", "6007", " - ", "STUDENT HOURLY")</f>
        <v xml:space="preserve">          6007 - STUDENT HOURLY</v>
      </c>
      <c r="C49" s="11"/>
      <c r="D49" s="6">
        <v>3684.6</v>
      </c>
      <c r="E49" s="2"/>
      <c r="F49" s="7">
        <f t="shared" si="20"/>
        <v>0.24921659036045971</v>
      </c>
      <c r="G49" s="2"/>
      <c r="H49" s="6">
        <v>0</v>
      </c>
      <c r="I49" s="2"/>
      <c r="J49" s="7">
        <f t="shared" si="21"/>
        <v>0</v>
      </c>
      <c r="K49" s="2"/>
      <c r="L49" s="6">
        <f t="shared" si="22"/>
        <v>3684.6</v>
      </c>
      <c r="M49" s="2"/>
      <c r="N49" s="7">
        <f t="shared" si="23"/>
        <v>0</v>
      </c>
      <c r="O49" s="11"/>
      <c r="P49" s="6">
        <v>8688.09</v>
      </c>
      <c r="Q49" s="2"/>
      <c r="R49" s="7">
        <f t="shared" si="24"/>
        <v>0.10553138839995158</v>
      </c>
      <c r="S49" s="2"/>
      <c r="T49" s="6">
        <v>13995</v>
      </c>
      <c r="U49" s="2"/>
      <c r="V49" s="7">
        <f t="shared" si="25"/>
        <v>5.6023025683725101E-2</v>
      </c>
      <c r="W49" s="2"/>
      <c r="X49" s="6">
        <f t="shared" si="26"/>
        <v>-5306.91</v>
      </c>
      <c r="Y49" s="2"/>
      <c r="Z49" s="7">
        <f t="shared" si="27"/>
        <v>-0.37920042872454446</v>
      </c>
    </row>
    <row r="50" spans="1:26" s="24" customFormat="1" hidden="1" outlineLevel="2" x14ac:dyDescent="0.3">
      <c r="A50" s="27"/>
      <c r="B50" s="11" t="str">
        <f>CONCATENATE("          ", "6008", " - ", "STUDENT HOURLY-FICA EXEMPT")</f>
        <v xml:space="preserve">          6008 - STUDENT HOURLY-FICA EXEMPT</v>
      </c>
      <c r="C50" s="11"/>
      <c r="D50" s="6">
        <v>1082.08</v>
      </c>
      <c r="E50" s="2"/>
      <c r="F50" s="7">
        <f t="shared" si="20"/>
        <v>7.3189026786420849E-2</v>
      </c>
      <c r="G50" s="2"/>
      <c r="H50" s="6">
        <v>6220</v>
      </c>
      <c r="I50" s="2"/>
      <c r="J50" s="7">
        <f t="shared" si="21"/>
        <v>0.12901619962249281</v>
      </c>
      <c r="K50" s="2"/>
      <c r="L50" s="6">
        <f t="shared" si="22"/>
        <v>-5137.92</v>
      </c>
      <c r="M50" s="2"/>
      <c r="N50" s="7">
        <f t="shared" si="23"/>
        <v>-0.82603215434083599</v>
      </c>
      <c r="O50" s="11"/>
      <c r="P50" s="6">
        <v>1900.69</v>
      </c>
      <c r="Q50" s="2"/>
      <c r="R50" s="7">
        <f t="shared" si="24"/>
        <v>2.3087059942738158E-2</v>
      </c>
      <c r="S50" s="2"/>
      <c r="T50" s="6">
        <v>20215</v>
      </c>
      <c r="U50" s="2"/>
      <c r="V50" s="7">
        <f t="shared" si="25"/>
        <v>8.0922148209825143E-2</v>
      </c>
      <c r="W50" s="2"/>
      <c r="X50" s="6">
        <f t="shared" si="26"/>
        <v>-18314.310000000001</v>
      </c>
      <c r="Y50" s="2"/>
      <c r="Z50" s="7">
        <f t="shared" si="27"/>
        <v>-0.90597625525599812</v>
      </c>
    </row>
    <row r="51" spans="1:26" s="24" customFormat="1" hidden="1" outlineLevel="2" x14ac:dyDescent="0.3">
      <c r="A51" s="27"/>
      <c r="B51" s="11" t="str">
        <f>CONCATENATE("          ", "6009", " - ", "TEMPORARY-SEASONAL")</f>
        <v xml:space="preserve">          6009 - TEMPORARY-SEASONAL</v>
      </c>
      <c r="C51" s="11"/>
      <c r="D51" s="6"/>
      <c r="E51" s="2"/>
      <c r="F51" s="7">
        <f t="shared" si="20"/>
        <v>0</v>
      </c>
      <c r="G51" s="2"/>
      <c r="H51" s="6">
        <v>0</v>
      </c>
      <c r="I51" s="2"/>
      <c r="J51" s="7">
        <f t="shared" si="21"/>
        <v>0</v>
      </c>
      <c r="K51" s="2"/>
      <c r="L51" s="6">
        <f t="shared" si="22"/>
        <v>0</v>
      </c>
      <c r="M51" s="2"/>
      <c r="N51" s="7">
        <f t="shared" si="23"/>
        <v>0</v>
      </c>
      <c r="O51" s="11"/>
      <c r="P51" s="6"/>
      <c r="Q51" s="2"/>
      <c r="R51" s="7">
        <f t="shared" si="24"/>
        <v>0</v>
      </c>
      <c r="S51" s="2"/>
      <c r="T51" s="6">
        <v>0</v>
      </c>
      <c r="U51" s="2"/>
      <c r="V51" s="7">
        <f t="shared" si="25"/>
        <v>0</v>
      </c>
      <c r="W51" s="2"/>
      <c r="X51" s="6">
        <f t="shared" si="26"/>
        <v>0</v>
      </c>
      <c r="Y51" s="2"/>
      <c r="Z51" s="7">
        <f t="shared" si="27"/>
        <v>0</v>
      </c>
    </row>
    <row r="52" spans="1:26" s="24" customFormat="1" hidden="1" outlineLevel="2" x14ac:dyDescent="0.3">
      <c r="A52" s="27"/>
      <c r="B52" s="11" t="str">
        <f>CONCATENATE("          ", "6010", " - ", "GRATUITY")</f>
        <v xml:space="preserve">          6010 - GRATUITY</v>
      </c>
      <c r="C52" s="11"/>
      <c r="D52" s="6"/>
      <c r="E52" s="2"/>
      <c r="F52" s="7">
        <f t="shared" si="20"/>
        <v>0</v>
      </c>
      <c r="G52" s="2"/>
      <c r="H52" s="6">
        <v>0</v>
      </c>
      <c r="I52" s="2"/>
      <c r="J52" s="7">
        <f t="shared" si="21"/>
        <v>0</v>
      </c>
      <c r="K52" s="2"/>
      <c r="L52" s="6">
        <f t="shared" si="22"/>
        <v>0</v>
      </c>
      <c r="M52" s="2"/>
      <c r="N52" s="7">
        <f t="shared" si="23"/>
        <v>0</v>
      </c>
      <c r="O52" s="11"/>
      <c r="P52" s="6"/>
      <c r="Q52" s="2"/>
      <c r="R52" s="7">
        <f t="shared" si="24"/>
        <v>0</v>
      </c>
      <c r="S52" s="2"/>
      <c r="T52" s="6">
        <v>0</v>
      </c>
      <c r="U52" s="2"/>
      <c r="V52" s="7">
        <f t="shared" si="25"/>
        <v>0</v>
      </c>
      <c r="W52" s="2"/>
      <c r="X52" s="6">
        <f t="shared" si="26"/>
        <v>0</v>
      </c>
      <c r="Y52" s="2"/>
      <c r="Z52" s="7">
        <f t="shared" si="27"/>
        <v>0</v>
      </c>
    </row>
    <row r="53" spans="1:26" s="29" customFormat="1" outlineLevel="1" collapsed="1" x14ac:dyDescent="0.3">
      <c r="A53" s="28"/>
      <c r="B53" s="14" t="str">
        <f>CONCATENATE("     ","Advertising/Promo                                 ")</f>
        <v xml:space="preserve">     Advertising/Promo                                 </v>
      </c>
      <c r="C53" s="14"/>
      <c r="D53" s="1">
        <f>SUM(OSRRefD22_2x_0)</f>
        <v>1019.63</v>
      </c>
      <c r="E53" s="1"/>
      <c r="F53" s="5">
        <f t="shared" ref="F53:F61" si="28">IF(D$12=0,0,D53/D$12)</f>
        <v>6.8965074100101928E-2</v>
      </c>
      <c r="G53" s="1"/>
      <c r="H53" s="1">
        <f>SUM(OSRRefH22_2x_0)</f>
        <v>50</v>
      </c>
      <c r="I53" s="1"/>
      <c r="J53" s="5">
        <f t="shared" ref="J53:J61" si="29">IF(H$12=0,0,H53/H$12)</f>
        <v>1.0371077140071767E-3</v>
      </c>
      <c r="K53" s="1"/>
      <c r="L53" s="1">
        <f t="shared" ref="L53:L61" si="30">+D53-H53</f>
        <v>969.63</v>
      </c>
      <c r="M53" s="1"/>
      <c r="N53" s="5">
        <f t="shared" ref="N53:N61" si="31">IF(H53=0,0,L53/H53)</f>
        <v>19.392600000000002</v>
      </c>
      <c r="O53" s="14"/>
      <c r="P53" s="1">
        <f>SUM(OSRRefP22_2x_0)</f>
        <v>1188.43</v>
      </c>
      <c r="Q53" s="1"/>
      <c r="R53" s="5">
        <f t="shared" ref="R53:R61" si="32">IF(P$12=0,0,P53/P$12)</f>
        <v>1.4435470617380167E-2</v>
      </c>
      <c r="S53" s="1"/>
      <c r="T53" s="1">
        <f>SUM(OSRRefT22_2x_0)</f>
        <v>250</v>
      </c>
      <c r="U53" s="1"/>
      <c r="V53" s="5">
        <f t="shared" ref="V53:V61" si="33">IF(T$12=0,0,T53/T$12)</f>
        <v>1.0007685902773331E-3</v>
      </c>
      <c r="W53" s="1"/>
      <c r="X53" s="1">
        <f t="shared" ref="X53:X61" si="34">+P53-T53</f>
        <v>938.43000000000006</v>
      </c>
      <c r="Y53" s="1"/>
      <c r="Z53" s="5">
        <f t="shared" ref="Z53:Z61" si="35">IF(T53=0,0,X53/T53)</f>
        <v>3.7537200000000004</v>
      </c>
    </row>
    <row r="54" spans="1:26" s="24" customFormat="1" hidden="1" outlineLevel="2" x14ac:dyDescent="0.3">
      <c r="A54" s="27"/>
      <c r="B54" s="11" t="str">
        <f>CONCATENATE("          ", "6362", " - ", "ADVERTISING EXPENSE")</f>
        <v xml:space="preserve">          6362 - ADVERTISING EXPENSE</v>
      </c>
      <c r="C54" s="11"/>
      <c r="D54" s="6">
        <v>1019.63</v>
      </c>
      <c r="E54" s="2"/>
      <c r="F54" s="7">
        <f t="shared" si="28"/>
        <v>6.8965074100101928E-2</v>
      </c>
      <c r="G54" s="2"/>
      <c r="H54" s="6">
        <v>50</v>
      </c>
      <c r="I54" s="2"/>
      <c r="J54" s="7">
        <f t="shared" si="29"/>
        <v>1.0371077140071767E-3</v>
      </c>
      <c r="K54" s="2"/>
      <c r="L54" s="6">
        <f t="shared" si="30"/>
        <v>969.63</v>
      </c>
      <c r="M54" s="2"/>
      <c r="N54" s="7">
        <f t="shared" si="31"/>
        <v>19.392600000000002</v>
      </c>
      <c r="O54" s="11"/>
      <c r="P54" s="6">
        <v>1188.43</v>
      </c>
      <c r="Q54" s="2"/>
      <c r="R54" s="7">
        <f t="shared" si="32"/>
        <v>1.4435470617380167E-2</v>
      </c>
      <c r="S54" s="2"/>
      <c r="T54" s="6">
        <v>250</v>
      </c>
      <c r="U54" s="2"/>
      <c r="V54" s="7">
        <f t="shared" si="33"/>
        <v>1.0007685902773331E-3</v>
      </c>
      <c r="W54" s="2"/>
      <c r="X54" s="6">
        <f t="shared" si="34"/>
        <v>938.43000000000006</v>
      </c>
      <c r="Y54" s="2"/>
      <c r="Z54" s="7">
        <f t="shared" si="35"/>
        <v>3.7537200000000004</v>
      </c>
    </row>
    <row r="55" spans="1:26" s="29" customFormat="1" outlineLevel="1" collapsed="1" x14ac:dyDescent="0.3">
      <c r="A55" s="28"/>
      <c r="B55" s="14" t="str">
        <f>CONCATENATE("     ","Bad Debts/Over/Short                              ")</f>
        <v xml:space="preserve">     Bad Debts/Over/Short                              </v>
      </c>
      <c r="C55" s="14"/>
      <c r="D55" s="1">
        <f>SUM(OSRRefD22_3x_0)</f>
        <v>-0.57999999999999996</v>
      </c>
      <c r="E55" s="1"/>
      <c r="F55" s="5">
        <f t="shared" si="28"/>
        <v>-3.922966466076823E-5</v>
      </c>
      <c r="G55" s="1"/>
      <c r="H55" s="1">
        <f>SUM(OSRRefH22_3x_0)</f>
        <v>25</v>
      </c>
      <c r="I55" s="1"/>
      <c r="J55" s="5">
        <f t="shared" si="29"/>
        <v>5.1855385700358837E-4</v>
      </c>
      <c r="K55" s="1"/>
      <c r="L55" s="1">
        <f t="shared" si="30"/>
        <v>-25.58</v>
      </c>
      <c r="M55" s="1"/>
      <c r="N55" s="5">
        <f t="shared" si="31"/>
        <v>-1.0231999999999999</v>
      </c>
      <c r="O55" s="14"/>
      <c r="P55" s="1">
        <f>SUM(OSRRefP22_3x_0)</f>
        <v>-3.47</v>
      </c>
      <c r="Q55" s="1"/>
      <c r="R55" s="5">
        <f t="shared" si="32"/>
        <v>-4.2148955380046935E-5</v>
      </c>
      <c r="S55" s="1"/>
      <c r="T55" s="1">
        <f>SUM(OSRRefT22_3x_0)</f>
        <v>125</v>
      </c>
      <c r="U55" s="1"/>
      <c r="V55" s="5">
        <f t="shared" si="33"/>
        <v>5.0038429513866653E-4</v>
      </c>
      <c r="W55" s="1"/>
      <c r="X55" s="1">
        <f t="shared" si="34"/>
        <v>-128.47</v>
      </c>
      <c r="Y55" s="1"/>
      <c r="Z55" s="5">
        <f t="shared" si="35"/>
        <v>-1.02776</v>
      </c>
    </row>
    <row r="56" spans="1:26" s="24" customFormat="1" hidden="1" outlineLevel="2" x14ac:dyDescent="0.3">
      <c r="A56" s="27"/>
      <c r="B56" s="11" t="str">
        <f>CONCATENATE("          ", "6272", " - ", "CASH (OVER/SHORT)")</f>
        <v xml:space="preserve">          6272 - CASH (OVER/SHORT)</v>
      </c>
      <c r="C56" s="11"/>
      <c r="D56" s="6">
        <v>-0.57999999999999996</v>
      </c>
      <c r="E56" s="2"/>
      <c r="F56" s="7">
        <f t="shared" si="28"/>
        <v>-3.922966466076823E-5</v>
      </c>
      <c r="G56" s="2"/>
      <c r="H56" s="6">
        <v>25</v>
      </c>
      <c r="I56" s="2"/>
      <c r="J56" s="7">
        <f t="shared" si="29"/>
        <v>5.1855385700358837E-4</v>
      </c>
      <c r="K56" s="2"/>
      <c r="L56" s="6">
        <f t="shared" si="30"/>
        <v>-25.58</v>
      </c>
      <c r="M56" s="2"/>
      <c r="N56" s="7">
        <f t="shared" si="31"/>
        <v>-1.0231999999999999</v>
      </c>
      <c r="O56" s="11"/>
      <c r="P56" s="6">
        <v>-3.47</v>
      </c>
      <c r="Q56" s="2"/>
      <c r="R56" s="7">
        <f t="shared" si="32"/>
        <v>-4.2148955380046935E-5</v>
      </c>
      <c r="S56" s="2"/>
      <c r="T56" s="6">
        <v>125</v>
      </c>
      <c r="U56" s="2"/>
      <c r="V56" s="7">
        <f t="shared" si="33"/>
        <v>5.0038429513866653E-4</v>
      </c>
      <c r="W56" s="2"/>
      <c r="X56" s="6">
        <f t="shared" si="34"/>
        <v>-128.47</v>
      </c>
      <c r="Y56" s="2"/>
      <c r="Z56" s="7">
        <f t="shared" si="35"/>
        <v>-1.02776</v>
      </c>
    </row>
    <row r="57" spans="1:26" s="29" customFormat="1" outlineLevel="1" collapsed="1" x14ac:dyDescent="0.3">
      <c r="A57" s="28"/>
      <c r="B57" s="14" t="str">
        <f>CONCATENATE("     ","Bank/card Fees                                    ")</f>
        <v xml:space="preserve">     Bank/card Fees                                    </v>
      </c>
      <c r="C57" s="14"/>
      <c r="D57" s="1">
        <f>SUM(OSRRefD22_4x_0)</f>
        <v>0</v>
      </c>
      <c r="E57" s="1"/>
      <c r="F57" s="5">
        <f t="shared" si="28"/>
        <v>0</v>
      </c>
      <c r="G57" s="1"/>
      <c r="H57" s="1">
        <f>SUM(OSRRefH22_4x_0)</f>
        <v>883</v>
      </c>
      <c r="I57" s="1"/>
      <c r="J57" s="5">
        <f t="shared" si="29"/>
        <v>1.8315322229366743E-2</v>
      </c>
      <c r="K57" s="1"/>
      <c r="L57" s="1">
        <f t="shared" si="30"/>
        <v>-883</v>
      </c>
      <c r="M57" s="1"/>
      <c r="N57" s="5">
        <f t="shared" si="31"/>
        <v>-1</v>
      </c>
      <c r="O57" s="14"/>
      <c r="P57" s="1">
        <f>SUM(OSRRefP22_4x_0)</f>
        <v>0</v>
      </c>
      <c r="Q57" s="1"/>
      <c r="R57" s="5">
        <f t="shared" si="32"/>
        <v>0</v>
      </c>
      <c r="S57" s="1"/>
      <c r="T57" s="1">
        <f>SUM(OSRRefT22_4x_0)</f>
        <v>4649</v>
      </c>
      <c r="U57" s="1"/>
      <c r="V57" s="5">
        <f t="shared" si="33"/>
        <v>1.8610292704797284E-2</v>
      </c>
      <c r="W57" s="1"/>
      <c r="X57" s="1">
        <f t="shared" si="34"/>
        <v>-4649</v>
      </c>
      <c r="Y57" s="1"/>
      <c r="Z57" s="5">
        <f t="shared" si="35"/>
        <v>-1</v>
      </c>
    </row>
    <row r="58" spans="1:26" s="24" customFormat="1" hidden="1" outlineLevel="2" x14ac:dyDescent="0.3">
      <c r="A58" s="27"/>
      <c r="B58" s="11" t="str">
        <f>CONCATENATE("          ", "6381", " - ", "BANK/CREDIT CARD FEES")</f>
        <v xml:space="preserve">          6381 - BANK/CREDIT CARD FEES</v>
      </c>
      <c r="C58" s="11"/>
      <c r="D58" s="6"/>
      <c r="E58" s="2"/>
      <c r="F58" s="7">
        <f t="shared" si="28"/>
        <v>0</v>
      </c>
      <c r="G58" s="2"/>
      <c r="H58" s="6">
        <v>883</v>
      </c>
      <c r="I58" s="2"/>
      <c r="J58" s="7">
        <f t="shared" si="29"/>
        <v>1.8315322229366743E-2</v>
      </c>
      <c r="K58" s="2"/>
      <c r="L58" s="6">
        <f t="shared" si="30"/>
        <v>-883</v>
      </c>
      <c r="M58" s="2"/>
      <c r="N58" s="7">
        <f t="shared" si="31"/>
        <v>-1</v>
      </c>
      <c r="O58" s="11"/>
      <c r="P58" s="6"/>
      <c r="Q58" s="2"/>
      <c r="R58" s="7">
        <f t="shared" si="32"/>
        <v>0</v>
      </c>
      <c r="S58" s="2"/>
      <c r="T58" s="6">
        <v>4649</v>
      </c>
      <c r="U58" s="2"/>
      <c r="V58" s="7">
        <f t="shared" si="33"/>
        <v>1.8610292704797284E-2</v>
      </c>
      <c r="W58" s="2"/>
      <c r="X58" s="6">
        <f t="shared" si="34"/>
        <v>-4649</v>
      </c>
      <c r="Y58" s="2"/>
      <c r="Z58" s="7">
        <f t="shared" si="35"/>
        <v>-1</v>
      </c>
    </row>
    <row r="59" spans="1:26" s="29" customFormat="1" outlineLevel="1" collapsed="1" x14ac:dyDescent="0.3">
      <c r="A59" s="28"/>
      <c r="B59" s="14" t="str">
        <f>CONCATENATE("     ","Discounts and Markdowns                           ")</f>
        <v xml:space="preserve">     Discounts and Markdowns                           </v>
      </c>
      <c r="C59" s="14"/>
      <c r="D59" s="1">
        <f>SUM(OSRRefD22_5x_0)</f>
        <v>2.19</v>
      </c>
      <c r="E59" s="1"/>
      <c r="F59" s="5">
        <f t="shared" si="28"/>
        <v>1.4812580277083178E-4</v>
      </c>
      <c r="G59" s="1"/>
      <c r="H59" s="1">
        <f>SUM(OSRRefH22_5x_0)</f>
        <v>0</v>
      </c>
      <c r="I59" s="1"/>
      <c r="J59" s="5">
        <f t="shared" si="29"/>
        <v>0</v>
      </c>
      <c r="K59" s="1"/>
      <c r="L59" s="1">
        <f t="shared" si="30"/>
        <v>2.19</v>
      </c>
      <c r="M59" s="1"/>
      <c r="N59" s="5">
        <f t="shared" si="31"/>
        <v>0</v>
      </c>
      <c r="O59" s="14"/>
      <c r="P59" s="1">
        <f>SUM(OSRRefP22_5x_0)</f>
        <v>-41.35</v>
      </c>
      <c r="Q59" s="1"/>
      <c r="R59" s="5">
        <f t="shared" si="32"/>
        <v>-5.0226492938470915E-4</v>
      </c>
      <c r="S59" s="1"/>
      <c r="T59" s="1">
        <f>SUM(OSRRefT22_5x_0)</f>
        <v>0</v>
      </c>
      <c r="U59" s="1"/>
      <c r="V59" s="5">
        <f t="shared" si="33"/>
        <v>0</v>
      </c>
      <c r="W59" s="1"/>
      <c r="X59" s="1">
        <f t="shared" si="34"/>
        <v>-41.35</v>
      </c>
      <c r="Y59" s="1"/>
      <c r="Z59" s="5">
        <f t="shared" si="35"/>
        <v>0</v>
      </c>
    </row>
    <row r="60" spans="1:26" s="24" customFormat="1" hidden="1" outlineLevel="2" x14ac:dyDescent="0.3">
      <c r="A60" s="27"/>
      <c r="B60" s="11" t="str">
        <f>CONCATENATE("          ", "6382", " - ", "DISCOUNTS/MARK DOWNS")</f>
        <v xml:space="preserve">          6382 - DISCOUNTS/MARK DOWNS</v>
      </c>
      <c r="C60" s="11"/>
      <c r="D60" s="6"/>
      <c r="E60" s="2"/>
      <c r="F60" s="7">
        <f t="shared" si="28"/>
        <v>0</v>
      </c>
      <c r="G60" s="2"/>
      <c r="H60" s="6"/>
      <c r="I60" s="2"/>
      <c r="J60" s="7">
        <f t="shared" si="29"/>
        <v>0</v>
      </c>
      <c r="K60" s="2"/>
      <c r="L60" s="6">
        <f t="shared" si="30"/>
        <v>0</v>
      </c>
      <c r="M60" s="2"/>
      <c r="N60" s="7">
        <f t="shared" si="31"/>
        <v>0</v>
      </c>
      <c r="O60" s="11"/>
      <c r="P60" s="6"/>
      <c r="Q60" s="2"/>
      <c r="R60" s="7">
        <f t="shared" si="32"/>
        <v>0</v>
      </c>
      <c r="S60" s="2"/>
      <c r="T60" s="6">
        <v>0</v>
      </c>
      <c r="U60" s="2"/>
      <c r="V60" s="7">
        <f t="shared" si="33"/>
        <v>0</v>
      </c>
      <c r="W60" s="2"/>
      <c r="X60" s="6">
        <f t="shared" si="34"/>
        <v>0</v>
      </c>
      <c r="Y60" s="2"/>
      <c r="Z60" s="7">
        <f t="shared" si="35"/>
        <v>0</v>
      </c>
    </row>
    <row r="61" spans="1:26" s="24" customFormat="1" hidden="1" outlineLevel="2" x14ac:dyDescent="0.3">
      <c r="A61" s="27"/>
      <c r="B61" s="11" t="str">
        <f>CONCATENATE("          ", "9175", " - ", "EARNED DISCOUNTS")</f>
        <v xml:space="preserve">          9175 - EARNED DISCOUNTS</v>
      </c>
      <c r="C61" s="11"/>
      <c r="D61" s="6">
        <v>2.19</v>
      </c>
      <c r="E61" s="2"/>
      <c r="F61" s="7">
        <f t="shared" si="28"/>
        <v>1.4812580277083178E-4</v>
      </c>
      <c r="G61" s="2"/>
      <c r="H61" s="6"/>
      <c r="I61" s="2"/>
      <c r="J61" s="7">
        <f t="shared" si="29"/>
        <v>0</v>
      </c>
      <c r="K61" s="2"/>
      <c r="L61" s="6">
        <f t="shared" si="30"/>
        <v>2.19</v>
      </c>
      <c r="M61" s="2"/>
      <c r="N61" s="7">
        <f t="shared" si="31"/>
        <v>0</v>
      </c>
      <c r="O61" s="11"/>
      <c r="P61" s="6">
        <v>-41.35</v>
      </c>
      <c r="Q61" s="2"/>
      <c r="R61" s="7">
        <f t="shared" si="32"/>
        <v>-5.0226492938470915E-4</v>
      </c>
      <c r="S61" s="2"/>
      <c r="T61" s="6"/>
      <c r="U61" s="2"/>
      <c r="V61" s="7">
        <f t="shared" si="33"/>
        <v>0</v>
      </c>
      <c r="W61" s="2"/>
      <c r="X61" s="6">
        <f t="shared" si="34"/>
        <v>-41.35</v>
      </c>
      <c r="Y61" s="2"/>
      <c r="Z61" s="7">
        <f t="shared" si="35"/>
        <v>0</v>
      </c>
    </row>
    <row r="62" spans="1:26" s="29" customFormat="1" outlineLevel="1" collapsed="1" x14ac:dyDescent="0.3">
      <c r="A62" s="28"/>
      <c r="B62" s="14" t="str">
        <f>CONCATENATE("     ","Freight out/Postage                               ")</f>
        <v xml:space="preserve">     Freight out/Postage                               </v>
      </c>
      <c r="C62" s="14"/>
      <c r="D62" s="1">
        <f>SUM(OSRRefD22_6x_0)</f>
        <v>0</v>
      </c>
      <c r="E62" s="1"/>
      <c r="F62" s="5">
        <f t="shared" ref="F62:F70" si="36">IF(D$12=0,0,D62/D$12)</f>
        <v>0</v>
      </c>
      <c r="G62" s="1"/>
      <c r="H62" s="1">
        <f>SUM(OSRRefH22_6x_0)</f>
        <v>0</v>
      </c>
      <c r="I62" s="1"/>
      <c r="J62" s="5">
        <f t="shared" ref="J62:J70" si="37">IF(H$12=0,0,H62/H$12)</f>
        <v>0</v>
      </c>
      <c r="K62" s="1"/>
      <c r="L62" s="1">
        <f t="shared" ref="L62:L70" si="38">+D62-H62</f>
        <v>0</v>
      </c>
      <c r="M62" s="1"/>
      <c r="N62" s="5">
        <f t="shared" ref="N62:N70" si="39">IF(H62=0,0,L62/H62)</f>
        <v>0</v>
      </c>
      <c r="O62" s="14"/>
      <c r="P62" s="1">
        <f>SUM(OSRRefP22_6x_0)</f>
        <v>54.5</v>
      </c>
      <c r="Q62" s="1"/>
      <c r="R62" s="5">
        <f t="shared" ref="R62:R70" si="40">IF(P$12=0,0,P62/P$12)</f>
        <v>6.619936796001607E-4</v>
      </c>
      <c r="S62" s="1"/>
      <c r="T62" s="1">
        <f>SUM(OSRRefT22_6x_0)</f>
        <v>0</v>
      </c>
      <c r="U62" s="1"/>
      <c r="V62" s="5">
        <f t="shared" ref="V62:V70" si="41">IF(T$12=0,0,T62/T$12)</f>
        <v>0</v>
      </c>
      <c r="W62" s="1"/>
      <c r="X62" s="1">
        <f t="shared" ref="X62:X70" si="42">+P62-T62</f>
        <v>54.5</v>
      </c>
      <c r="Y62" s="1"/>
      <c r="Z62" s="5">
        <f t="shared" ref="Z62:Z70" si="43">IF(T62=0,0,X62/T62)</f>
        <v>0</v>
      </c>
    </row>
    <row r="63" spans="1:26" s="24" customFormat="1" hidden="1" outlineLevel="2" x14ac:dyDescent="0.3">
      <c r="A63" s="27"/>
      <c r="B63" s="11" t="str">
        <f>CONCATENATE("          ", "6307", " - ", "POSTAGE")</f>
        <v xml:space="preserve">          6307 - POSTAGE</v>
      </c>
      <c r="C63" s="11"/>
      <c r="D63" s="6"/>
      <c r="E63" s="2"/>
      <c r="F63" s="7">
        <f t="shared" si="36"/>
        <v>0</v>
      </c>
      <c r="G63" s="2"/>
      <c r="H63" s="6"/>
      <c r="I63" s="2"/>
      <c r="J63" s="7">
        <f t="shared" si="37"/>
        <v>0</v>
      </c>
      <c r="K63" s="2"/>
      <c r="L63" s="6">
        <f t="shared" si="38"/>
        <v>0</v>
      </c>
      <c r="M63" s="2"/>
      <c r="N63" s="7">
        <f t="shared" si="39"/>
        <v>0</v>
      </c>
      <c r="O63" s="11"/>
      <c r="P63" s="6">
        <v>54.5</v>
      </c>
      <c r="Q63" s="2"/>
      <c r="R63" s="7">
        <f t="shared" si="40"/>
        <v>6.619936796001607E-4</v>
      </c>
      <c r="S63" s="2"/>
      <c r="T63" s="6"/>
      <c r="U63" s="2"/>
      <c r="V63" s="7">
        <f t="shared" si="41"/>
        <v>0</v>
      </c>
      <c r="W63" s="2"/>
      <c r="X63" s="6">
        <f t="shared" si="42"/>
        <v>54.5</v>
      </c>
      <c r="Y63" s="2"/>
      <c r="Z63" s="7">
        <f t="shared" si="43"/>
        <v>0</v>
      </c>
    </row>
    <row r="64" spans="1:26" s="29" customFormat="1" outlineLevel="1" collapsed="1" x14ac:dyDescent="0.3">
      <c r="A64" s="28"/>
      <c r="B64" s="14" t="str">
        <f>CONCATENATE("     ","General                                           ")</f>
        <v xml:space="preserve">     General                                           </v>
      </c>
      <c r="C64" s="14"/>
      <c r="D64" s="1">
        <f>SUM(OSRRefD22_7x_0)</f>
        <v>0</v>
      </c>
      <c r="E64" s="1"/>
      <c r="F64" s="5">
        <f t="shared" si="36"/>
        <v>0</v>
      </c>
      <c r="G64" s="1"/>
      <c r="H64" s="1">
        <f>SUM(OSRRefH22_7x_0)</f>
        <v>0</v>
      </c>
      <c r="I64" s="1"/>
      <c r="J64" s="5">
        <f t="shared" si="37"/>
        <v>0</v>
      </c>
      <c r="K64" s="1"/>
      <c r="L64" s="1">
        <f t="shared" si="38"/>
        <v>0</v>
      </c>
      <c r="M64" s="1"/>
      <c r="N64" s="5">
        <f t="shared" si="39"/>
        <v>0</v>
      </c>
      <c r="O64" s="14"/>
      <c r="P64" s="1">
        <f>SUM(OSRRefP22_7x_0)</f>
        <v>228.04</v>
      </c>
      <c r="Q64" s="1"/>
      <c r="R64" s="5">
        <f t="shared" si="40"/>
        <v>2.7699273155233147E-3</v>
      </c>
      <c r="S64" s="1"/>
      <c r="T64" s="1">
        <f>SUM(OSRRefT22_7x_0)</f>
        <v>0</v>
      </c>
      <c r="U64" s="1"/>
      <c r="V64" s="5">
        <f t="shared" si="41"/>
        <v>0</v>
      </c>
      <c r="W64" s="1"/>
      <c r="X64" s="1">
        <f t="shared" si="42"/>
        <v>228.04</v>
      </c>
      <c r="Y64" s="1"/>
      <c r="Z64" s="5">
        <f t="shared" si="43"/>
        <v>0</v>
      </c>
    </row>
    <row r="65" spans="1:26" s="24" customFormat="1" hidden="1" outlineLevel="2" x14ac:dyDescent="0.3">
      <c r="A65" s="27"/>
      <c r="B65" s="11" t="str">
        <f>CONCATENATE("          ", "6279", " - ", "GENERAL EXPENSE")</f>
        <v xml:space="preserve">          6279 - GENERAL EXPENSE</v>
      </c>
      <c r="C65" s="11"/>
      <c r="D65" s="6"/>
      <c r="E65" s="2"/>
      <c r="F65" s="7">
        <f t="shared" si="36"/>
        <v>0</v>
      </c>
      <c r="G65" s="2"/>
      <c r="H65" s="6">
        <v>0</v>
      </c>
      <c r="I65" s="2"/>
      <c r="J65" s="7">
        <f t="shared" si="37"/>
        <v>0</v>
      </c>
      <c r="K65" s="2"/>
      <c r="L65" s="6">
        <f t="shared" si="38"/>
        <v>0</v>
      </c>
      <c r="M65" s="2"/>
      <c r="N65" s="7">
        <f t="shared" si="39"/>
        <v>0</v>
      </c>
      <c r="O65" s="11"/>
      <c r="P65" s="6">
        <v>228.04</v>
      </c>
      <c r="Q65" s="2"/>
      <c r="R65" s="7">
        <f t="shared" si="40"/>
        <v>2.7699273155233147E-3</v>
      </c>
      <c r="S65" s="2"/>
      <c r="T65" s="6">
        <v>0</v>
      </c>
      <c r="U65" s="2"/>
      <c r="V65" s="7">
        <f t="shared" si="41"/>
        <v>0</v>
      </c>
      <c r="W65" s="2"/>
      <c r="X65" s="6">
        <f t="shared" si="42"/>
        <v>228.04</v>
      </c>
      <c r="Y65" s="2"/>
      <c r="Z65" s="7">
        <f t="shared" si="43"/>
        <v>0</v>
      </c>
    </row>
    <row r="66" spans="1:26" s="29" customFormat="1" outlineLevel="1" collapsed="1" x14ac:dyDescent="0.3">
      <c r="A66" s="28"/>
      <c r="B66" s="14" t="str">
        <f>CONCATENATE("     ","Inventory Adjustment                              ")</f>
        <v xml:space="preserve">     Inventory Adjustment                              </v>
      </c>
      <c r="C66" s="14"/>
      <c r="D66" s="1">
        <f>SUM(OSRRefD22_8x_0)</f>
        <v>650</v>
      </c>
      <c r="E66" s="1"/>
      <c r="F66" s="5">
        <f t="shared" si="36"/>
        <v>4.3964279361205783E-2</v>
      </c>
      <c r="G66" s="1"/>
      <c r="H66" s="1">
        <f>SUM(OSRRefH22_8x_0)</f>
        <v>650</v>
      </c>
      <c r="I66" s="1"/>
      <c r="J66" s="5">
        <f t="shared" si="37"/>
        <v>1.3482400282093299E-2</v>
      </c>
      <c r="K66" s="1"/>
      <c r="L66" s="1">
        <f t="shared" si="38"/>
        <v>0</v>
      </c>
      <c r="M66" s="1"/>
      <c r="N66" s="5">
        <f t="shared" si="39"/>
        <v>0</v>
      </c>
      <c r="O66" s="14"/>
      <c r="P66" s="1">
        <f>SUM(OSRRefP22_8x_0)</f>
        <v>3250</v>
      </c>
      <c r="Q66" s="1"/>
      <c r="R66" s="5">
        <f t="shared" si="40"/>
        <v>3.9476687315605913E-2</v>
      </c>
      <c r="S66" s="1"/>
      <c r="T66" s="1">
        <f>SUM(OSRRefT22_8x_0)</f>
        <v>3250</v>
      </c>
      <c r="U66" s="1"/>
      <c r="V66" s="5">
        <f t="shared" si="41"/>
        <v>1.3009991673605328E-2</v>
      </c>
      <c r="W66" s="1"/>
      <c r="X66" s="1">
        <f t="shared" si="42"/>
        <v>0</v>
      </c>
      <c r="Y66" s="1"/>
      <c r="Z66" s="5">
        <f t="shared" si="43"/>
        <v>0</v>
      </c>
    </row>
    <row r="67" spans="1:26" s="24" customFormat="1" hidden="1" outlineLevel="2" x14ac:dyDescent="0.3">
      <c r="A67" s="27"/>
      <c r="B67" s="11" t="str">
        <f>CONCATENATE("          ", "6408", " - ", "INVENTORY ADJUSTMENT")</f>
        <v xml:space="preserve">          6408 - INVENTORY ADJUSTMENT</v>
      </c>
      <c r="C67" s="11"/>
      <c r="D67" s="6">
        <v>650</v>
      </c>
      <c r="E67" s="2"/>
      <c r="F67" s="7">
        <f t="shared" si="36"/>
        <v>4.3964279361205783E-2</v>
      </c>
      <c r="G67" s="2"/>
      <c r="H67" s="6">
        <v>650</v>
      </c>
      <c r="I67" s="2"/>
      <c r="J67" s="7">
        <f t="shared" si="37"/>
        <v>1.3482400282093299E-2</v>
      </c>
      <c r="K67" s="2"/>
      <c r="L67" s="6">
        <f t="shared" si="38"/>
        <v>0</v>
      </c>
      <c r="M67" s="2"/>
      <c r="N67" s="7">
        <f t="shared" si="39"/>
        <v>0</v>
      </c>
      <c r="O67" s="11"/>
      <c r="P67" s="6">
        <v>3250</v>
      </c>
      <c r="Q67" s="2"/>
      <c r="R67" s="7">
        <f t="shared" si="40"/>
        <v>3.9476687315605913E-2</v>
      </c>
      <c r="S67" s="2"/>
      <c r="T67" s="6">
        <v>3250</v>
      </c>
      <c r="U67" s="2"/>
      <c r="V67" s="7">
        <f t="shared" si="41"/>
        <v>1.3009991673605328E-2</v>
      </c>
      <c r="W67" s="2"/>
      <c r="X67" s="6">
        <f t="shared" si="42"/>
        <v>0</v>
      </c>
      <c r="Y67" s="2"/>
      <c r="Z67" s="7">
        <f t="shared" si="43"/>
        <v>0</v>
      </c>
    </row>
    <row r="68" spans="1:26" s="29" customFormat="1" outlineLevel="1" collapsed="1" x14ac:dyDescent="0.3">
      <c r="A68" s="28"/>
      <c r="B68" s="14" t="str">
        <f>CONCATENATE("     ","Repair and Maintenance                            ")</f>
        <v xml:space="preserve">     Repair and Maintenance                            </v>
      </c>
      <c r="C68" s="14"/>
      <c r="D68" s="1">
        <f>SUM(OSRRefD22_9x_0)</f>
        <v>0</v>
      </c>
      <c r="E68" s="1"/>
      <c r="F68" s="5">
        <f t="shared" si="36"/>
        <v>0</v>
      </c>
      <c r="G68" s="1"/>
      <c r="H68" s="1">
        <f>SUM(OSRRefH22_9x_0)</f>
        <v>0</v>
      </c>
      <c r="I68" s="1"/>
      <c r="J68" s="5">
        <f t="shared" si="37"/>
        <v>0</v>
      </c>
      <c r="K68" s="1"/>
      <c r="L68" s="1">
        <f t="shared" si="38"/>
        <v>0</v>
      </c>
      <c r="M68" s="1"/>
      <c r="N68" s="5">
        <f t="shared" si="39"/>
        <v>0</v>
      </c>
      <c r="O68" s="14"/>
      <c r="P68" s="1">
        <f>SUM(OSRRefP22_9x_0)</f>
        <v>244.32999999999998</v>
      </c>
      <c r="Q68" s="1"/>
      <c r="R68" s="5">
        <f t="shared" si="40"/>
        <v>2.9677966190221517E-3</v>
      </c>
      <c r="S68" s="1"/>
      <c r="T68" s="1">
        <f>SUM(OSRRefT22_9x_0)</f>
        <v>0</v>
      </c>
      <c r="U68" s="1"/>
      <c r="V68" s="5">
        <f t="shared" si="41"/>
        <v>0</v>
      </c>
      <c r="W68" s="1"/>
      <c r="X68" s="1">
        <f t="shared" si="42"/>
        <v>244.32999999999998</v>
      </c>
      <c r="Y68" s="1"/>
      <c r="Z68" s="5">
        <f t="shared" si="43"/>
        <v>0</v>
      </c>
    </row>
    <row r="69" spans="1:26" s="24" customFormat="1" hidden="1" outlineLevel="2" x14ac:dyDescent="0.3">
      <c r="A69" s="27"/>
      <c r="B69" s="11" t="str">
        <f>CONCATENATE("          ", "6373", " - ", "MAINTENANCE CONTRACTS")</f>
        <v xml:space="preserve">          6373 - MAINTENANCE CONTRACTS</v>
      </c>
      <c r="C69" s="11"/>
      <c r="D69" s="6"/>
      <c r="E69" s="2"/>
      <c r="F69" s="7">
        <f t="shared" si="36"/>
        <v>0</v>
      </c>
      <c r="G69" s="2"/>
      <c r="H69" s="6"/>
      <c r="I69" s="2"/>
      <c r="J69" s="7">
        <f t="shared" si="37"/>
        <v>0</v>
      </c>
      <c r="K69" s="2"/>
      <c r="L69" s="6">
        <f t="shared" si="38"/>
        <v>0</v>
      </c>
      <c r="M69" s="2"/>
      <c r="N69" s="7">
        <f t="shared" si="39"/>
        <v>0</v>
      </c>
      <c r="O69" s="11"/>
      <c r="P69" s="6">
        <v>61.11</v>
      </c>
      <c r="Q69" s="2"/>
      <c r="R69" s="7">
        <f t="shared" si="40"/>
        <v>7.4228318826359302E-4</v>
      </c>
      <c r="S69" s="2"/>
      <c r="T69" s="6"/>
      <c r="U69" s="2"/>
      <c r="V69" s="7">
        <f t="shared" si="41"/>
        <v>0</v>
      </c>
      <c r="W69" s="2"/>
      <c r="X69" s="6">
        <f t="shared" si="42"/>
        <v>61.11</v>
      </c>
      <c r="Y69" s="2"/>
      <c r="Z69" s="7">
        <f t="shared" si="43"/>
        <v>0</v>
      </c>
    </row>
    <row r="70" spans="1:26" s="24" customFormat="1" hidden="1" outlineLevel="2" x14ac:dyDescent="0.3">
      <c r="A70" s="27"/>
      <c r="B70" s="11" t="str">
        <f>CONCATENATE("          ", "6375", " - ", "OUTSIDE REPAIRS &amp; MAINTENANCE")</f>
        <v xml:space="preserve">          6375 - OUTSIDE REPAIRS &amp; MAINTENANCE</v>
      </c>
      <c r="C70" s="11"/>
      <c r="D70" s="6"/>
      <c r="E70" s="2"/>
      <c r="F70" s="7">
        <f t="shared" si="36"/>
        <v>0</v>
      </c>
      <c r="G70" s="2"/>
      <c r="H70" s="6"/>
      <c r="I70" s="2"/>
      <c r="J70" s="7">
        <f t="shared" si="37"/>
        <v>0</v>
      </c>
      <c r="K70" s="2"/>
      <c r="L70" s="6">
        <f t="shared" si="38"/>
        <v>0</v>
      </c>
      <c r="M70" s="2"/>
      <c r="N70" s="7">
        <f t="shared" si="39"/>
        <v>0</v>
      </c>
      <c r="O70" s="11"/>
      <c r="P70" s="6">
        <v>183.22</v>
      </c>
      <c r="Q70" s="2"/>
      <c r="R70" s="7">
        <f t="shared" si="40"/>
        <v>2.2255134307585587E-3</v>
      </c>
      <c r="S70" s="2"/>
      <c r="T70" s="6"/>
      <c r="U70" s="2"/>
      <c r="V70" s="7">
        <f t="shared" si="41"/>
        <v>0</v>
      </c>
      <c r="W70" s="2"/>
      <c r="X70" s="6">
        <f t="shared" si="42"/>
        <v>183.22</v>
      </c>
      <c r="Y70" s="2"/>
      <c r="Z70" s="7">
        <f t="shared" si="43"/>
        <v>0</v>
      </c>
    </row>
    <row r="71" spans="1:26" s="29" customFormat="1" outlineLevel="1" collapsed="1" x14ac:dyDescent="0.3">
      <c r="A71" s="28"/>
      <c r="B71" s="14" t="str">
        <f>CONCATENATE("     ","Services                                          ")</f>
        <v xml:space="preserve">     Services                                          </v>
      </c>
      <c r="C71" s="14"/>
      <c r="D71" s="1">
        <f>SUM(OSRRefD22_10x_0)</f>
        <v>123.45</v>
      </c>
      <c r="E71" s="1"/>
      <c r="F71" s="5">
        <f t="shared" ref="F71:F73" si="44">IF(D$12=0,0,D71/D$12)</f>
        <v>8.3498312109859286E-3</v>
      </c>
      <c r="G71" s="1"/>
      <c r="H71" s="1">
        <f>SUM(OSRRefH22_10x_0)</f>
        <v>0</v>
      </c>
      <c r="I71" s="1"/>
      <c r="J71" s="5">
        <f t="shared" ref="J71:J73" si="45">IF(H$12=0,0,H71/H$12)</f>
        <v>0</v>
      </c>
      <c r="K71" s="1"/>
      <c r="L71" s="1">
        <f t="shared" ref="L71:L73" si="46">+D71-H71</f>
        <v>123.45</v>
      </c>
      <c r="M71" s="1"/>
      <c r="N71" s="5">
        <f t="shared" ref="N71:N73" si="47">IF(H71=0,0,L71/H71)</f>
        <v>0</v>
      </c>
      <c r="O71" s="14"/>
      <c r="P71" s="1">
        <f>SUM(OSRRefP22_10x_0)</f>
        <v>3163.44</v>
      </c>
      <c r="Q71" s="1"/>
      <c r="R71" s="5">
        <f t="shared" ref="R71:R73" si="48">IF(P$12=0,0,P71/P$12)</f>
        <v>3.8425271298978575E-2</v>
      </c>
      <c r="S71" s="1"/>
      <c r="T71" s="1">
        <f>SUM(OSRRefT22_10x_0)</f>
        <v>0</v>
      </c>
      <c r="U71" s="1"/>
      <c r="V71" s="5">
        <f t="shared" ref="V71:V73" si="49">IF(T$12=0,0,T71/T$12)</f>
        <v>0</v>
      </c>
      <c r="W71" s="1"/>
      <c r="X71" s="1">
        <f t="shared" ref="X71:X73" si="50">+P71-T71</f>
        <v>3163.44</v>
      </c>
      <c r="Y71" s="1"/>
      <c r="Z71" s="5">
        <f t="shared" ref="Z71:Z73" si="51">IF(T71=0,0,X71/T71)</f>
        <v>0</v>
      </c>
    </row>
    <row r="72" spans="1:26" s="24" customFormat="1" hidden="1" outlineLevel="2" x14ac:dyDescent="0.3">
      <c r="A72" s="27"/>
      <c r="B72" s="11" t="str">
        <f>CONCATENATE("          ", "6282", " - ", "JANITORIAL/EXTERMINATOR EXPENS")</f>
        <v xml:space="preserve">          6282 - JANITORIAL/EXTERMINATOR EXPENS</v>
      </c>
      <c r="C72" s="11"/>
      <c r="D72" s="6"/>
      <c r="E72" s="2"/>
      <c r="F72" s="7">
        <f t="shared" si="44"/>
        <v>0</v>
      </c>
      <c r="G72" s="2"/>
      <c r="H72" s="6"/>
      <c r="I72" s="2"/>
      <c r="J72" s="7">
        <f t="shared" si="45"/>
        <v>0</v>
      </c>
      <c r="K72" s="2"/>
      <c r="L72" s="6">
        <f t="shared" si="46"/>
        <v>0</v>
      </c>
      <c r="M72" s="2"/>
      <c r="N72" s="7">
        <f t="shared" si="47"/>
        <v>0</v>
      </c>
      <c r="O72" s="11"/>
      <c r="P72" s="6">
        <v>491.6</v>
      </c>
      <c r="Q72" s="2"/>
      <c r="R72" s="7">
        <f t="shared" si="48"/>
        <v>5.9713044567236521E-3</v>
      </c>
      <c r="S72" s="2"/>
      <c r="T72" s="6"/>
      <c r="U72" s="2"/>
      <c r="V72" s="7">
        <f t="shared" si="49"/>
        <v>0</v>
      </c>
      <c r="W72" s="2"/>
      <c r="X72" s="6">
        <f t="shared" si="50"/>
        <v>491.6</v>
      </c>
      <c r="Y72" s="2"/>
      <c r="Z72" s="7">
        <f t="shared" si="51"/>
        <v>0</v>
      </c>
    </row>
    <row r="73" spans="1:26" s="24" customFormat="1" hidden="1" outlineLevel="2" x14ac:dyDescent="0.3">
      <c r="A73" s="27"/>
      <c r="B73" s="11" t="str">
        <f>CONCATENATE("          ", "6285", " - ", "JANITORIAL SERVICES")</f>
        <v xml:space="preserve">          6285 - JANITORIAL SERVICES</v>
      </c>
      <c r="C73" s="11"/>
      <c r="D73" s="6">
        <v>123.45</v>
      </c>
      <c r="E73" s="2"/>
      <c r="F73" s="7">
        <f t="shared" si="44"/>
        <v>8.3498312109859286E-3</v>
      </c>
      <c r="G73" s="2"/>
      <c r="H73" s="6"/>
      <c r="I73" s="2"/>
      <c r="J73" s="7">
        <f t="shared" si="45"/>
        <v>0</v>
      </c>
      <c r="K73" s="2"/>
      <c r="L73" s="6">
        <f t="shared" si="46"/>
        <v>123.45</v>
      </c>
      <c r="M73" s="2"/>
      <c r="N73" s="7">
        <f t="shared" si="47"/>
        <v>0</v>
      </c>
      <c r="O73" s="11"/>
      <c r="P73" s="6">
        <v>2671.84</v>
      </c>
      <c r="Q73" s="2"/>
      <c r="R73" s="7">
        <f t="shared" si="48"/>
        <v>3.2453966842254926E-2</v>
      </c>
      <c r="S73" s="2"/>
      <c r="T73" s="6"/>
      <c r="U73" s="2"/>
      <c r="V73" s="7">
        <f t="shared" si="49"/>
        <v>0</v>
      </c>
      <c r="W73" s="2"/>
      <c r="X73" s="6">
        <f t="shared" si="50"/>
        <v>2671.84</v>
      </c>
      <c r="Y73" s="2"/>
      <c r="Z73" s="7">
        <f t="shared" si="51"/>
        <v>0</v>
      </c>
    </row>
    <row r="74" spans="1:26" s="29" customFormat="1" outlineLevel="1" collapsed="1" x14ac:dyDescent="0.3">
      <c r="A74" s="28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SUM(OSRRefD22_11x_0)</f>
        <v>68.069999999999993</v>
      </c>
      <c r="E74" s="1"/>
      <c r="F74" s="5">
        <f t="shared" ref="F74:F78" si="52">IF(D$12=0,0,D74/D$12)</f>
        <v>4.6040746094111957E-3</v>
      </c>
      <c r="G74" s="1"/>
      <c r="H74" s="1">
        <f>SUM(OSRRefH22_11x_0)</f>
        <v>75</v>
      </c>
      <c r="I74" s="1"/>
      <c r="J74" s="5">
        <f t="shared" ref="J74:J78" si="53">IF(H$12=0,0,H74/H$12)</f>
        <v>1.5556615710107652E-3</v>
      </c>
      <c r="K74" s="1"/>
      <c r="L74" s="1">
        <f t="shared" ref="L74:L78" si="54">+D74-H74</f>
        <v>-6.9300000000000068</v>
      </c>
      <c r="M74" s="1"/>
      <c r="N74" s="5">
        <f t="shared" ref="N74:N78" si="55">IF(H74=0,0,L74/H74)</f>
        <v>-9.2400000000000093E-2</v>
      </c>
      <c r="O74" s="14"/>
      <c r="P74" s="1">
        <f>SUM(OSRRefP22_11x_0)</f>
        <v>1736.46</v>
      </c>
      <c r="Q74" s="1"/>
      <c r="R74" s="5">
        <f t="shared" ref="R74:R78" si="56">IF(P$12=0,0,P74/P$12)</f>
        <v>2.1092211832632938E-2</v>
      </c>
      <c r="S74" s="1"/>
      <c r="T74" s="1">
        <f>SUM(OSRRefT22_11x_0)</f>
        <v>375</v>
      </c>
      <c r="U74" s="1"/>
      <c r="V74" s="5">
        <f t="shared" ref="V74:V78" si="57">IF(T$12=0,0,T74/T$12)</f>
        <v>1.5011528854159996E-3</v>
      </c>
      <c r="W74" s="1"/>
      <c r="X74" s="1">
        <f t="shared" ref="X74:X78" si="58">+P74-T74</f>
        <v>1361.46</v>
      </c>
      <c r="Y74" s="1"/>
      <c r="Z74" s="5">
        <f t="shared" ref="Z74:Z78" si="59">IF(T74=0,0,X74/T74)</f>
        <v>3.63056</v>
      </c>
    </row>
    <row r="75" spans="1:26" s="24" customFormat="1" hidden="1" outlineLevel="2" x14ac:dyDescent="0.3">
      <c r="A75" s="27"/>
      <c r="B75" s="11" t="str">
        <f>CONCATENATE("          ", "6234", " - ", "EXPENDABLE SUPPLIES &amp; EQUIPMEN")</f>
        <v xml:space="preserve">          6234 - EXPENDABLE SUPPLIES &amp; EQUIPMEN</v>
      </c>
      <c r="C75" s="11"/>
      <c r="D75" s="6">
        <v>46.03</v>
      </c>
      <c r="E75" s="2"/>
      <c r="F75" s="7">
        <f t="shared" si="52"/>
        <v>3.1133473523020034E-3</v>
      </c>
      <c r="G75" s="2"/>
      <c r="H75" s="6"/>
      <c r="I75" s="2"/>
      <c r="J75" s="7">
        <f t="shared" si="53"/>
        <v>0</v>
      </c>
      <c r="K75" s="2"/>
      <c r="L75" s="6">
        <f t="shared" si="54"/>
        <v>46.03</v>
      </c>
      <c r="M75" s="2"/>
      <c r="N75" s="7">
        <f t="shared" si="55"/>
        <v>0</v>
      </c>
      <c r="O75" s="11"/>
      <c r="P75" s="6">
        <v>1393.55</v>
      </c>
      <c r="Q75" s="2"/>
      <c r="R75" s="7">
        <f t="shared" si="56"/>
        <v>1.6926996187280805E-2</v>
      </c>
      <c r="S75" s="2"/>
      <c r="T75" s="6"/>
      <c r="U75" s="2"/>
      <c r="V75" s="7">
        <f t="shared" si="57"/>
        <v>0</v>
      </c>
      <c r="W75" s="2"/>
      <c r="X75" s="6">
        <f t="shared" si="58"/>
        <v>1393.55</v>
      </c>
      <c r="Y75" s="2"/>
      <c r="Z75" s="7">
        <f t="shared" si="59"/>
        <v>0</v>
      </c>
    </row>
    <row r="76" spans="1:26" s="24" customFormat="1" hidden="1" outlineLevel="2" x14ac:dyDescent="0.3">
      <c r="A76" s="27"/>
      <c r="B76" s="11" t="str">
        <f>CONCATENATE("          ", "6235", " - ", "COVID-19 EXPENSES")</f>
        <v xml:space="preserve">          6235 - COVID-19 EXPENSES</v>
      </c>
      <c r="C76" s="11"/>
      <c r="D76" s="6"/>
      <c r="E76" s="2"/>
      <c r="F76" s="7">
        <f t="shared" si="52"/>
        <v>0</v>
      </c>
      <c r="G76" s="2"/>
      <c r="H76" s="6">
        <v>25</v>
      </c>
      <c r="I76" s="2"/>
      <c r="J76" s="7">
        <f t="shared" si="53"/>
        <v>5.1855385700358837E-4</v>
      </c>
      <c r="K76" s="2"/>
      <c r="L76" s="6">
        <f t="shared" si="54"/>
        <v>-25</v>
      </c>
      <c r="M76" s="2"/>
      <c r="N76" s="7">
        <f t="shared" si="55"/>
        <v>-1</v>
      </c>
      <c r="O76" s="11"/>
      <c r="P76" s="6"/>
      <c r="Q76" s="2"/>
      <c r="R76" s="7">
        <f t="shared" si="56"/>
        <v>0</v>
      </c>
      <c r="S76" s="2"/>
      <c r="T76" s="6">
        <v>125</v>
      </c>
      <c r="U76" s="2"/>
      <c r="V76" s="7">
        <f t="shared" si="57"/>
        <v>5.0038429513866653E-4</v>
      </c>
      <c r="W76" s="2"/>
      <c r="X76" s="6">
        <f t="shared" si="58"/>
        <v>-125</v>
      </c>
      <c r="Y76" s="2"/>
      <c r="Z76" s="7">
        <f t="shared" si="59"/>
        <v>-1</v>
      </c>
    </row>
    <row r="77" spans="1:26" s="24" customFormat="1" hidden="1" outlineLevel="2" x14ac:dyDescent="0.3">
      <c r="A77" s="27"/>
      <c r="B77" s="11" t="str">
        <f>CONCATENATE("          ", "6241", " - ", "OFFICE EXPENSE")</f>
        <v xml:space="preserve">          6241 - OFFICE EXPENSE</v>
      </c>
      <c r="C77" s="11"/>
      <c r="D77" s="6"/>
      <c r="E77" s="2"/>
      <c r="F77" s="7">
        <f t="shared" si="52"/>
        <v>0</v>
      </c>
      <c r="G77" s="2"/>
      <c r="H77" s="6">
        <v>25</v>
      </c>
      <c r="I77" s="2"/>
      <c r="J77" s="7">
        <f t="shared" si="53"/>
        <v>5.1855385700358837E-4</v>
      </c>
      <c r="K77" s="2"/>
      <c r="L77" s="6">
        <f t="shared" si="54"/>
        <v>-25</v>
      </c>
      <c r="M77" s="2"/>
      <c r="N77" s="7">
        <f t="shared" si="55"/>
        <v>-1</v>
      </c>
      <c r="O77" s="11"/>
      <c r="P77" s="6"/>
      <c r="Q77" s="2"/>
      <c r="R77" s="7">
        <f t="shared" si="56"/>
        <v>0</v>
      </c>
      <c r="S77" s="2"/>
      <c r="T77" s="6">
        <v>125</v>
      </c>
      <c r="U77" s="2"/>
      <c r="V77" s="7">
        <f t="shared" si="57"/>
        <v>5.0038429513866653E-4</v>
      </c>
      <c r="W77" s="2"/>
      <c r="X77" s="6">
        <f t="shared" si="58"/>
        <v>-125</v>
      </c>
      <c r="Y77" s="2"/>
      <c r="Z77" s="7">
        <f t="shared" si="59"/>
        <v>-1</v>
      </c>
    </row>
    <row r="78" spans="1:26" s="24" customFormat="1" hidden="1" outlineLevel="2" x14ac:dyDescent="0.3">
      <c r="A78" s="27"/>
      <c r="B78" s="11" t="str">
        <f>CONCATENATE("          ", "6247", " - ", "STORE SUPPLIES")</f>
        <v xml:space="preserve">          6247 - STORE SUPPLIES</v>
      </c>
      <c r="C78" s="11"/>
      <c r="D78" s="6">
        <v>22.04</v>
      </c>
      <c r="E78" s="2"/>
      <c r="F78" s="7">
        <f t="shared" si="52"/>
        <v>1.4907272571091929E-3</v>
      </c>
      <c r="G78" s="2"/>
      <c r="H78" s="6">
        <v>25</v>
      </c>
      <c r="I78" s="2"/>
      <c r="J78" s="7">
        <f t="shared" si="53"/>
        <v>5.1855385700358837E-4</v>
      </c>
      <c r="K78" s="2"/>
      <c r="L78" s="6">
        <f t="shared" si="54"/>
        <v>-2.9600000000000009</v>
      </c>
      <c r="M78" s="2"/>
      <c r="N78" s="7">
        <f t="shared" si="55"/>
        <v>-0.11840000000000003</v>
      </c>
      <c r="O78" s="11"/>
      <c r="P78" s="6">
        <v>342.91</v>
      </c>
      <c r="Q78" s="2"/>
      <c r="R78" s="7">
        <f t="shared" si="56"/>
        <v>4.165215645352131E-3</v>
      </c>
      <c r="S78" s="2"/>
      <c r="T78" s="6">
        <v>125</v>
      </c>
      <c r="U78" s="2"/>
      <c r="V78" s="7">
        <f t="shared" si="57"/>
        <v>5.0038429513866653E-4</v>
      </c>
      <c r="W78" s="2"/>
      <c r="X78" s="6">
        <f t="shared" si="58"/>
        <v>217.91000000000003</v>
      </c>
      <c r="Y78" s="2"/>
      <c r="Z78" s="7">
        <f t="shared" si="59"/>
        <v>1.7432800000000002</v>
      </c>
    </row>
    <row r="79" spans="1:26" s="29" customFormat="1" outlineLevel="1" collapsed="1" x14ac:dyDescent="0.3">
      <c r="A79" s="28"/>
      <c r="B79" s="14" t="str">
        <f>CONCATENATE("     ","Telephone/Data Lines                              ")</f>
        <v xml:space="preserve">     Telephone/Data Lines                              </v>
      </c>
      <c r="C79" s="14"/>
      <c r="D79" s="1">
        <f>SUM(OSRRefD22_12x_0)</f>
        <v>53</v>
      </c>
      <c r="E79" s="1"/>
      <c r="F79" s="5">
        <f t="shared" ref="F79:F80" si="60">IF(D$12=0,0,D79/D$12)</f>
        <v>3.5847797017598561E-3</v>
      </c>
      <c r="G79" s="1"/>
      <c r="H79" s="1">
        <f>SUM(OSRRefH22_12x_0)</f>
        <v>60</v>
      </c>
      <c r="I79" s="1"/>
      <c r="J79" s="5">
        <f t="shared" ref="J79:J80" si="61">IF(H$12=0,0,H79/H$12)</f>
        <v>1.2445292568086122E-3</v>
      </c>
      <c r="K79" s="1"/>
      <c r="L79" s="1">
        <f t="shared" ref="L79:L80" si="62">+D79-H79</f>
        <v>-7</v>
      </c>
      <c r="M79" s="1"/>
      <c r="N79" s="5">
        <f t="shared" ref="N79:N80" si="63">IF(H79=0,0,L79/H79)</f>
        <v>-0.11666666666666667</v>
      </c>
      <c r="O79" s="14"/>
      <c r="P79" s="1">
        <f>SUM(OSRRefP22_12x_0)</f>
        <v>225</v>
      </c>
      <c r="Q79" s="1"/>
      <c r="R79" s="5">
        <f t="shared" ref="R79:R80" si="64">IF(P$12=0,0,P79/P$12)</f>
        <v>2.7330014295419481E-3</v>
      </c>
      <c r="S79" s="1"/>
      <c r="T79" s="1">
        <f>SUM(OSRRefT22_12x_0)</f>
        <v>300</v>
      </c>
      <c r="U79" s="1"/>
      <c r="V79" s="5">
        <f t="shared" ref="V79:V80" si="65">IF(T$12=0,0,T79/T$12)</f>
        <v>1.2009223083327995E-3</v>
      </c>
      <c r="W79" s="1"/>
      <c r="X79" s="1">
        <f t="shared" ref="X79:X80" si="66">+P79-T79</f>
        <v>-75</v>
      </c>
      <c r="Y79" s="1"/>
      <c r="Z79" s="5">
        <f t="shared" ref="Z79:Z80" si="67">IF(T79=0,0,X79/T79)</f>
        <v>-0.25</v>
      </c>
    </row>
    <row r="80" spans="1:26" s="24" customFormat="1" hidden="1" outlineLevel="2" x14ac:dyDescent="0.3">
      <c r="A80" s="27"/>
      <c r="B80" s="11" t="str">
        <f>CONCATENATE("          ", "6309", " - ", "TELEPHONE")</f>
        <v xml:space="preserve">          6309 - TELEPHONE</v>
      </c>
      <c r="C80" s="11"/>
      <c r="D80" s="6">
        <v>53</v>
      </c>
      <c r="E80" s="2"/>
      <c r="F80" s="7">
        <f t="shared" si="60"/>
        <v>3.5847797017598561E-3</v>
      </c>
      <c r="G80" s="2"/>
      <c r="H80" s="6">
        <v>60</v>
      </c>
      <c r="I80" s="2"/>
      <c r="J80" s="7">
        <f t="shared" si="61"/>
        <v>1.2445292568086122E-3</v>
      </c>
      <c r="K80" s="2"/>
      <c r="L80" s="6">
        <f t="shared" si="62"/>
        <v>-7</v>
      </c>
      <c r="M80" s="2"/>
      <c r="N80" s="7">
        <f t="shared" si="63"/>
        <v>-0.11666666666666667</v>
      </c>
      <c r="O80" s="11"/>
      <c r="P80" s="6">
        <v>225</v>
      </c>
      <c r="Q80" s="2"/>
      <c r="R80" s="7">
        <f t="shared" si="64"/>
        <v>2.7330014295419481E-3</v>
      </c>
      <c r="S80" s="2"/>
      <c r="T80" s="6">
        <v>300</v>
      </c>
      <c r="U80" s="2"/>
      <c r="V80" s="7">
        <f t="shared" si="65"/>
        <v>1.2009223083327995E-3</v>
      </c>
      <c r="W80" s="2"/>
      <c r="X80" s="6">
        <f t="shared" si="66"/>
        <v>-75</v>
      </c>
      <c r="Y80" s="2"/>
      <c r="Z80" s="7">
        <f t="shared" si="67"/>
        <v>-0.25</v>
      </c>
    </row>
    <row r="81" spans="1:26" s="63" customFormat="1" x14ac:dyDescent="0.3">
      <c r="A81" s="36"/>
      <c r="B81" s="36"/>
      <c r="C81" s="36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6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x14ac:dyDescent="0.3">
      <c r="A82" s="10"/>
      <c r="B82" s="25" t="s">
        <v>293</v>
      </c>
      <c r="C82" s="10"/>
      <c r="D82" s="4">
        <f>SUM(0)</f>
        <v>0</v>
      </c>
      <c r="E82" s="4"/>
      <c r="F82" s="12">
        <f>IF(D$12=0,0,D82/D$12)</f>
        <v>0</v>
      </c>
      <c r="G82" s="4"/>
      <c r="H82" s="4">
        <f>SUM(0)</f>
        <v>0</v>
      </c>
      <c r="I82" s="4"/>
      <c r="J82" s="12">
        <f>IF(H$12=0,0,H82/H$12)</f>
        <v>0</v>
      </c>
      <c r="K82" s="4"/>
      <c r="L82" s="4">
        <f>+D82-H82</f>
        <v>0</v>
      </c>
      <c r="M82" s="4"/>
      <c r="N82" s="12">
        <f>IF(H82=0,0,L82/H82)</f>
        <v>0</v>
      </c>
      <c r="O82" s="10"/>
      <c r="P82" s="4">
        <f>SUM(0)</f>
        <v>0</v>
      </c>
      <c r="Q82" s="4"/>
      <c r="R82" s="12">
        <f>IF(P$12=0,0,P82/P$12)</f>
        <v>0</v>
      </c>
      <c r="S82" s="4"/>
      <c r="T82" s="4">
        <f>SUM(0)</f>
        <v>0</v>
      </c>
      <c r="U82" s="4"/>
      <c r="V82" s="12">
        <f>IF(T$12=0,0,T82/T$12)</f>
        <v>0</v>
      </c>
      <c r="W82" s="4"/>
      <c r="X82" s="4">
        <f>+P82-T82</f>
        <v>0</v>
      </c>
      <c r="Y82" s="4"/>
      <c r="Z82" s="12">
        <f>IF(T82=0,0,X82/T82)</f>
        <v>0</v>
      </c>
    </row>
    <row r="83" spans="1:26" x14ac:dyDescent="0.3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3">
      <c r="A84" s="10"/>
      <c r="B84" s="26" t="s">
        <v>277</v>
      </c>
      <c r="C84" s="26"/>
      <c r="D84" s="20">
        <f>+D30-D32+D82</f>
        <v>-184.65999999999804</v>
      </c>
      <c r="E84" s="13"/>
      <c r="F84" s="22">
        <f>IF(D$12=0,0,D84/D$12)</f>
        <v>-1.2489913579754113E-2</v>
      </c>
      <c r="G84" s="13"/>
      <c r="H84" s="20">
        <f>+H30-H32+H82</f>
        <v>11561.384399999999</v>
      </c>
      <c r="I84" s="13"/>
      <c r="J84" s="22">
        <f>IF(H$12=0,0,H84/H$12)</f>
        <v>0.2398080189168447</v>
      </c>
      <c r="K84" s="15"/>
      <c r="L84" s="20">
        <f>+D84-H84</f>
        <v>-11746.044399999997</v>
      </c>
      <c r="M84" s="15"/>
      <c r="N84" s="22">
        <f>IF(H84=0,0,L84/H84)</f>
        <v>-1.0159721356553111</v>
      </c>
      <c r="O84" s="25"/>
      <c r="P84" s="20">
        <f>+P30-P32+P82</f>
        <v>14839.329999999994</v>
      </c>
      <c r="Q84" s="13"/>
      <c r="R84" s="22">
        <f>IF(P$12=0,0,P84/P$12)</f>
        <v>0.1802484893486431</v>
      </c>
      <c r="S84" s="13"/>
      <c r="T84" s="20">
        <f>+T30-T32+T82</f>
        <v>51861.076849999998</v>
      </c>
      <c r="U84" s="13"/>
      <c r="V84" s="22">
        <f>IF(T$12=0,0,T84/T$12)</f>
        <v>0.2076037470777557</v>
      </c>
      <c r="W84" s="15"/>
      <c r="X84" s="20">
        <f>+P84-T84</f>
        <v>-37021.746850000003</v>
      </c>
      <c r="Y84" s="15"/>
      <c r="Z84" s="22">
        <f>IF(T84=0,0,X84/T84)</f>
        <v>-0.71386382810907645</v>
      </c>
    </row>
    <row r="85" spans="1:26" x14ac:dyDescent="0.3">
      <c r="A85" s="9"/>
      <c r="B85" s="10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3">
      <c r="A86" s="52"/>
      <c r="B86" s="10" t="s">
        <v>128</v>
      </c>
      <c r="C86" s="10"/>
      <c r="D86" s="4">
        <v>1998.78</v>
      </c>
      <c r="E86" s="4"/>
      <c r="F86" s="12">
        <f>IF(D$12=0,0,D86/D$12)</f>
        <v>0.13519218815629366</v>
      </c>
      <c r="G86" s="4"/>
      <c r="H86" s="4">
        <v>8047</v>
      </c>
      <c r="I86" s="4"/>
      <c r="J86" s="12">
        <f>IF(H$12=0,0,H86/H$12)</f>
        <v>0.16691211549231502</v>
      </c>
      <c r="K86" s="4"/>
      <c r="L86" s="4">
        <f>+D86-H86</f>
        <v>-6048.22</v>
      </c>
      <c r="M86" s="4"/>
      <c r="N86" s="12">
        <f>IF(H86=0,0,L86/H86)</f>
        <v>-0.75161178078787128</v>
      </c>
      <c r="O86" s="10"/>
      <c r="P86" s="4">
        <v>9806.1200000000008</v>
      </c>
      <c r="Q86" s="4"/>
      <c r="R86" s="12">
        <f>IF(P$12=0,0,P86/P$12)</f>
        <v>0.11911173323671062</v>
      </c>
      <c r="S86" s="4"/>
      <c r="T86" s="4">
        <v>31229</v>
      </c>
      <c r="U86" s="4"/>
      <c r="V86" s="12">
        <f>IF(T$12=0,0,T86/T$12)</f>
        <v>0.12501200922308334</v>
      </c>
      <c r="W86" s="4"/>
      <c r="X86" s="4">
        <f>+P86-T86</f>
        <v>-21422.879999999997</v>
      </c>
      <c r="Y86" s="4"/>
      <c r="Z86" s="12">
        <f>IF(T86=0,0,X86/T86)</f>
        <v>-0.68599314739504935</v>
      </c>
    </row>
    <row r="87" spans="1:26" x14ac:dyDescent="0.3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" thickBot="1" x14ac:dyDescent="0.35">
      <c r="A88" s="10"/>
      <c r="B88" s="26" t="s">
        <v>126</v>
      </c>
      <c r="C88" s="26"/>
      <c r="D88" s="33">
        <f>+D84-D86</f>
        <v>-2183.4399999999978</v>
      </c>
      <c r="E88" s="13"/>
      <c r="F88" s="34">
        <f>IF(D$12=0,0,D88/D$12)</f>
        <v>-0.14768210173604776</v>
      </c>
      <c r="G88" s="13"/>
      <c r="H88" s="33">
        <f>+H84-H86</f>
        <v>3514.384399999999</v>
      </c>
      <c r="I88" s="13"/>
      <c r="J88" s="34">
        <f>IF(H$12=0,0,H88/H$12)</f>
        <v>7.2895903424529646E-2</v>
      </c>
      <c r="K88" s="15"/>
      <c r="L88" s="33">
        <f>D88-H88</f>
        <v>-5697.8243999999968</v>
      </c>
      <c r="M88" s="15"/>
      <c r="N88" s="34">
        <f>IF(H88=0,0,L88/H88)</f>
        <v>-1.6212866185042247</v>
      </c>
      <c r="O88" s="25"/>
      <c r="P88" s="33">
        <f>+P84-P86</f>
        <v>5033.2099999999937</v>
      </c>
      <c r="Q88" s="13"/>
      <c r="R88" s="34">
        <f>IF(P$12=0,0,P88/P$12)</f>
        <v>6.1136756111932491E-2</v>
      </c>
      <c r="S88" s="13"/>
      <c r="T88" s="33">
        <f>+T84-T86</f>
        <v>20632.076849999998</v>
      </c>
      <c r="U88" s="13"/>
      <c r="V88" s="34">
        <f>IF(T$12=0,0,T88/T$12)</f>
        <v>8.2591737854672373E-2</v>
      </c>
      <c r="W88" s="15"/>
      <c r="X88" s="33">
        <f>P88-T88</f>
        <v>-15598.866850000004</v>
      </c>
      <c r="Y88" s="15"/>
      <c r="Z88" s="34">
        <f>IF(T88=0,0,X88/T88)</f>
        <v>-0.7560492801285783</v>
      </c>
    </row>
    <row r="89" spans="1:26" ht="15" thickTop="1" x14ac:dyDescent="0.3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x14ac:dyDescent="0.3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" thickBot="1" x14ac:dyDescent="0.35">
      <c r="A91" s="10"/>
      <c r="B91" s="26" t="s">
        <v>294</v>
      </c>
      <c r="C91" s="26"/>
      <c r="D91" s="35">
        <f>SUM(D88:D90)</f>
        <v>-2183.4399999999978</v>
      </c>
      <c r="E91" s="13"/>
      <c r="F91" s="32">
        <f>IF(D$12=0,0,D91/D$12)</f>
        <v>-0.14768210173604776</v>
      </c>
      <c r="G91" s="13"/>
      <c r="H91" s="35">
        <f>SUM(H88:H90)</f>
        <v>3514.384399999999</v>
      </c>
      <c r="I91" s="13"/>
      <c r="J91" s="32">
        <f>IF(H$12=0,0,H91/H$12)</f>
        <v>7.2895903424529646E-2</v>
      </c>
      <c r="K91" s="15"/>
      <c r="L91" s="35">
        <f>+D91-H91</f>
        <v>-5697.8243999999968</v>
      </c>
      <c r="M91" s="15"/>
      <c r="N91" s="32">
        <f>IF(H91=0,0,L91/H91)</f>
        <v>-1.6212866185042247</v>
      </c>
      <c r="O91" s="25"/>
      <c r="P91" s="35">
        <f>SUM(P88:P90)</f>
        <v>5033.2099999999937</v>
      </c>
      <c r="Q91" s="13"/>
      <c r="R91" s="32">
        <f>IF(P$12=0,0,P91/P$12)</f>
        <v>6.1136756111932491E-2</v>
      </c>
      <c r="S91" s="13"/>
      <c r="T91" s="35">
        <f>SUM(T88:T90)</f>
        <v>20632.076849999998</v>
      </c>
      <c r="U91" s="13"/>
      <c r="V91" s="32">
        <f>IF(T$12=0,0,T91/T$12)</f>
        <v>8.2591737854672373E-2</v>
      </c>
      <c r="W91" s="15"/>
      <c r="X91" s="35">
        <f>+P91-T91</f>
        <v>-15598.866850000004</v>
      </c>
      <c r="Y91" s="15"/>
      <c r="Z91" s="32">
        <f>IF(T91=0,0,X91/T91)</f>
        <v>-0.7560492801285783</v>
      </c>
    </row>
    <row r="92" spans="1:26" ht="15" thickTop="1" x14ac:dyDescent="0.3">
      <c r="A92" s="9"/>
      <c r="C92" s="9"/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  <row r="93" spans="1:26" x14ac:dyDescent="0.3">
      <c r="A93" s="9"/>
      <c r="B93" s="60">
        <v>44543.753113078703</v>
      </c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3">
      <c r="A94" s="9"/>
      <c r="B94" s="58" t="s">
        <v>56</v>
      </c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3">
      <c r="A95" s="9"/>
      <c r="B95" s="55"/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3"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  <outlinePr summaryBelow="0" summaryRight="0"/>
  </sheetPr>
  <dimension ref="A2:Z10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21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7877.45</v>
      </c>
      <c r="E12" s="4"/>
      <c r="F12" s="12"/>
      <c r="G12" s="4"/>
      <c r="H12" s="4">
        <f>SUM(OSRRefH13x_0)</f>
        <v>14244</v>
      </c>
      <c r="I12" s="4"/>
      <c r="J12" s="12"/>
      <c r="K12" s="4"/>
      <c r="L12" s="4">
        <f t="shared" ref="L12:L17" si="0">+D12-H12</f>
        <v>-6366.55</v>
      </c>
      <c r="M12" s="4"/>
      <c r="N12" s="12">
        <f t="shared" ref="N12:N17" si="1">IF(H12=0,0,L12/H12)</f>
        <v>-0.44696363381072735</v>
      </c>
      <c r="O12" s="10"/>
      <c r="P12" s="4">
        <f>SUM(OSRRefP13x_0)</f>
        <v>1351637.15</v>
      </c>
      <c r="Q12" s="4"/>
      <c r="R12" s="12"/>
      <c r="S12" s="4"/>
      <c r="T12" s="4">
        <f>SUM(OSRRefT13x_0)</f>
        <v>2802642</v>
      </c>
      <c r="U12" s="4"/>
      <c r="V12" s="12"/>
      <c r="W12" s="4"/>
      <c r="X12" s="4">
        <f t="shared" ref="X12:X17" si="2">+P12-T12</f>
        <v>-1451004.85</v>
      </c>
      <c r="Y12" s="4"/>
      <c r="Z12" s="12">
        <f t="shared" ref="Z12:Z17" si="3">IF(T12=0,0,X12/T12)</f>
        <v>-0.51772750497566233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--6339.97</f>
        <v>6339.97</v>
      </c>
      <c r="E13" s="2"/>
      <c r="F13" s="19"/>
      <c r="G13" s="2"/>
      <c r="H13" s="2">
        <v>14244</v>
      </c>
      <c r="I13" s="2"/>
      <c r="J13" s="19"/>
      <c r="K13" s="2"/>
      <c r="L13" s="2">
        <f t="shared" si="0"/>
        <v>-7904.03</v>
      </c>
      <c r="M13" s="2"/>
      <c r="N13" s="19">
        <f t="shared" si="1"/>
        <v>-0.5549024150519517</v>
      </c>
      <c r="O13" s="11"/>
      <c r="P13" s="2">
        <f>--987387.47</f>
        <v>987387.47</v>
      </c>
      <c r="Q13" s="2"/>
      <c r="R13" s="19"/>
      <c r="S13" s="2"/>
      <c r="T13" s="2">
        <v>2802642</v>
      </c>
      <c r="U13" s="2"/>
      <c r="V13" s="19"/>
      <c r="W13" s="2"/>
      <c r="X13" s="2">
        <f t="shared" si="2"/>
        <v>-1815254.53</v>
      </c>
      <c r="Y13" s="2"/>
      <c r="Z13" s="19">
        <f t="shared" si="3"/>
        <v>-0.64769404369163097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--2768.92</f>
        <v>2768.92</v>
      </c>
      <c r="E14" s="2"/>
      <c r="F14" s="19"/>
      <c r="G14" s="2"/>
      <c r="H14" s="2">
        <v>0</v>
      </c>
      <c r="I14" s="2"/>
      <c r="J14" s="19"/>
      <c r="K14" s="2"/>
      <c r="L14" s="2">
        <f t="shared" si="0"/>
        <v>2768.92</v>
      </c>
      <c r="M14" s="2"/>
      <c r="N14" s="19">
        <f t="shared" si="1"/>
        <v>0</v>
      </c>
      <c r="O14" s="11"/>
      <c r="P14" s="2">
        <f>--419252.14</f>
        <v>419252.14</v>
      </c>
      <c r="Q14" s="2"/>
      <c r="R14" s="19"/>
      <c r="S14" s="2"/>
      <c r="T14" s="2">
        <v>0</v>
      </c>
      <c r="U14" s="2"/>
      <c r="V14" s="19"/>
      <c r="W14" s="2"/>
      <c r="X14" s="2">
        <f t="shared" si="2"/>
        <v>419252.14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"4200", " - ", "TAXABLE RETURNS")</f>
        <v xml:space="preserve">          4200 - TAXABLE RETURNS</v>
      </c>
      <c r="C15" s="11"/>
      <c r="D15" s="2">
        <f>-652.65</f>
        <v>-652.65</v>
      </c>
      <c r="E15" s="2"/>
      <c r="F15" s="19"/>
      <c r="G15" s="2"/>
      <c r="H15" s="2"/>
      <c r="I15" s="2"/>
      <c r="J15" s="19"/>
      <c r="K15" s="2"/>
      <c r="L15" s="2">
        <f t="shared" si="0"/>
        <v>-652.65</v>
      </c>
      <c r="M15" s="2"/>
      <c r="N15" s="19">
        <f t="shared" si="1"/>
        <v>0</v>
      </c>
      <c r="O15" s="11"/>
      <c r="P15" s="2">
        <f>-28985.78</f>
        <v>-28985.78</v>
      </c>
      <c r="Q15" s="2"/>
      <c r="R15" s="19"/>
      <c r="S15" s="2"/>
      <c r="T15" s="2"/>
      <c r="U15" s="2"/>
      <c r="V15" s="19"/>
      <c r="W15" s="2"/>
      <c r="X15" s="2">
        <f t="shared" si="2"/>
        <v>-28985.78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"4300", " - ", "NON-TAX RETURNS")</f>
        <v xml:space="preserve">          4300 - NON-TAX RETURNS</v>
      </c>
      <c r="C16" s="11"/>
      <c r="D16" s="2">
        <f>-487.82</f>
        <v>-487.82</v>
      </c>
      <c r="E16" s="2"/>
      <c r="F16" s="19"/>
      <c r="G16" s="2"/>
      <c r="H16" s="2"/>
      <c r="I16" s="2"/>
      <c r="J16" s="19"/>
      <c r="K16" s="2"/>
      <c r="L16" s="2">
        <f t="shared" si="0"/>
        <v>-487.82</v>
      </c>
      <c r="M16" s="2"/>
      <c r="N16" s="19">
        <f t="shared" si="1"/>
        <v>0</v>
      </c>
      <c r="O16" s="11"/>
      <c r="P16" s="2">
        <f>-25392.98</f>
        <v>-25392.98</v>
      </c>
      <c r="Q16" s="2"/>
      <c r="R16" s="19"/>
      <c r="S16" s="2"/>
      <c r="T16" s="2"/>
      <c r="U16" s="2"/>
      <c r="V16" s="19"/>
      <c r="W16" s="2"/>
      <c r="X16" s="2">
        <f t="shared" si="2"/>
        <v>-25392.98</v>
      </c>
      <c r="Y16" s="2"/>
      <c r="Z16" s="19">
        <f t="shared" si="3"/>
        <v>0</v>
      </c>
    </row>
    <row r="17" spans="1:26" s="24" customFormat="1" hidden="1" outlineLevel="1" x14ac:dyDescent="0.3">
      <c r="A17" s="44"/>
      <c r="B17" s="11" t="str">
        <f>CONCATENATE("          ", "4500", " - ", "SALES DISCOUNT")</f>
        <v xml:space="preserve">          4500 - SALES DISCOUNT</v>
      </c>
      <c r="C17" s="11"/>
      <c r="D17" s="2">
        <f>-90.97</f>
        <v>-90.97</v>
      </c>
      <c r="E17" s="2"/>
      <c r="F17" s="19"/>
      <c r="G17" s="2"/>
      <c r="H17" s="2"/>
      <c r="I17" s="2"/>
      <c r="J17" s="19"/>
      <c r="K17" s="2"/>
      <c r="L17" s="2">
        <f t="shared" si="0"/>
        <v>-90.97</v>
      </c>
      <c r="M17" s="2"/>
      <c r="N17" s="19">
        <f t="shared" si="1"/>
        <v>0</v>
      </c>
      <c r="O17" s="11"/>
      <c r="P17" s="2">
        <f>-623.7</f>
        <v>-623.70000000000005</v>
      </c>
      <c r="Q17" s="2"/>
      <c r="R17" s="19"/>
      <c r="S17" s="2"/>
      <c r="T17" s="2"/>
      <c r="U17" s="2"/>
      <c r="V17" s="19"/>
      <c r="W17" s="2"/>
      <c r="X17" s="2">
        <f t="shared" si="2"/>
        <v>-623.70000000000005</v>
      </c>
      <c r="Y17" s="2"/>
      <c r="Z17" s="19">
        <f t="shared" si="3"/>
        <v>0</v>
      </c>
    </row>
    <row r="18" spans="1:26" x14ac:dyDescent="0.3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3">
      <c r="A19" s="10"/>
      <c r="B19" s="25" t="s">
        <v>257</v>
      </c>
      <c r="C19" s="10"/>
      <c r="D19" s="4">
        <f>SUM(OSRRefD16x_0)</f>
        <v>5436.6200000000063</v>
      </c>
      <c r="E19" s="4"/>
      <c r="F19" s="12">
        <f t="shared" ref="F19:F29" si="4">IF(D$12=0,0,D19/D$12)</f>
        <v>0.69014973119474021</v>
      </c>
      <c r="G19" s="4"/>
      <c r="H19" s="4">
        <f>SUM(OSRRefH16x_0)</f>
        <v>10301</v>
      </c>
      <c r="I19" s="4"/>
      <c r="J19" s="12">
        <f t="shared" ref="J19:J29" si="5">IF(H$12=0,0,H19/H$12)</f>
        <v>0.72318169053636616</v>
      </c>
      <c r="K19" s="4"/>
      <c r="L19" s="4">
        <f t="shared" ref="L19:L29" si="6">+D19-H19</f>
        <v>-4864.3799999999937</v>
      </c>
      <c r="M19" s="4"/>
      <c r="N19" s="12">
        <f t="shared" ref="N19:N29" si="7">IF(H19=0,0,L19/H19)</f>
        <v>-0.47222405591690064</v>
      </c>
      <c r="O19" s="10"/>
      <c r="P19" s="4">
        <f>SUM(OSRRefP16x_0)</f>
        <v>1102272.58</v>
      </c>
      <c r="Q19" s="4"/>
      <c r="R19" s="12">
        <f t="shared" ref="R19:R29" si="8">IF(P$12=0,0,P19/P$12)</f>
        <v>0.81550923633609818</v>
      </c>
      <c r="S19" s="4"/>
      <c r="T19" s="4">
        <f>SUM(OSRRefT16x_0)</f>
        <v>2027209</v>
      </c>
      <c r="U19" s="4"/>
      <c r="V19" s="12">
        <f t="shared" ref="V19:V29" si="9">IF(T$12=0,0,T19/T$12)</f>
        <v>0.72332070953050731</v>
      </c>
      <c r="W19" s="4"/>
      <c r="X19" s="4">
        <f t="shared" ref="X19:X29" si="10">+P19-T19</f>
        <v>-924936.41999999993</v>
      </c>
      <c r="Y19" s="4"/>
      <c r="Z19" s="12">
        <f t="shared" ref="Z19:Z29" si="11">IF(T19=0,0,X19/T19)</f>
        <v>-0.45626100712852002</v>
      </c>
    </row>
    <row r="20" spans="1:26" s="24" customFormat="1" hidden="1" outlineLevel="1" x14ac:dyDescent="0.3">
      <c r="A20" s="44"/>
      <c r="B20" s="11" t="str">
        <f>CONCATENATE("          ", "5000", " - ", "PURCHASES @ COST")</f>
        <v xml:space="preserve">          5000 - PURCHASES @ COST</v>
      </c>
      <c r="C20" s="11"/>
      <c r="D20" s="2">
        <v>-202187.1</v>
      </c>
      <c r="E20" s="2"/>
      <c r="F20" s="19">
        <f t="shared" si="4"/>
        <v>-25.666567226704075</v>
      </c>
      <c r="G20" s="2"/>
      <c r="H20" s="2">
        <v>10301</v>
      </c>
      <c r="I20" s="2"/>
      <c r="J20" s="19">
        <f t="shared" si="5"/>
        <v>0.72318169053636616</v>
      </c>
      <c r="K20" s="2"/>
      <c r="L20" s="2">
        <f t="shared" si="6"/>
        <v>-212488.1</v>
      </c>
      <c r="M20" s="2"/>
      <c r="N20" s="19">
        <f t="shared" si="7"/>
        <v>-20.627909911659064</v>
      </c>
      <c r="O20" s="11"/>
      <c r="P20" s="2">
        <v>1341622.8</v>
      </c>
      <c r="Q20" s="2"/>
      <c r="R20" s="19">
        <f t="shared" si="8"/>
        <v>0.99259094794782765</v>
      </c>
      <c r="S20" s="2"/>
      <c r="T20" s="2">
        <v>2027209</v>
      </c>
      <c r="U20" s="2"/>
      <c r="V20" s="19">
        <f t="shared" si="9"/>
        <v>0.72332070953050731</v>
      </c>
      <c r="W20" s="2"/>
      <c r="X20" s="2">
        <f t="shared" si="10"/>
        <v>-685586.2</v>
      </c>
      <c r="Y20" s="2"/>
      <c r="Z20" s="19">
        <f t="shared" si="11"/>
        <v>-0.33819216469540136</v>
      </c>
    </row>
    <row r="21" spans="1:26" s="24" customFormat="1" hidden="1" outlineLevel="1" x14ac:dyDescent="0.3">
      <c r="A21" s="44"/>
      <c r="B21" s="11" t="str">
        <f>CONCATENATE("          ", "5001", " - ", "PURCHASES @ COST-NEW TEXT")</f>
        <v xml:space="preserve">          5001 - PURCHASES @ COST-NEW TEXT</v>
      </c>
      <c r="C21" s="11"/>
      <c r="D21" s="2"/>
      <c r="E21" s="2"/>
      <c r="F21" s="19">
        <f t="shared" si="4"/>
        <v>0</v>
      </c>
      <c r="G21" s="2"/>
      <c r="H21" s="2"/>
      <c r="I21" s="2"/>
      <c r="J21" s="19">
        <f t="shared" si="5"/>
        <v>0</v>
      </c>
      <c r="K21" s="2"/>
      <c r="L21" s="2">
        <f t="shared" si="6"/>
        <v>0</v>
      </c>
      <c r="M21" s="2"/>
      <c r="N21" s="19">
        <f t="shared" si="7"/>
        <v>0</v>
      </c>
      <c r="O21" s="11"/>
      <c r="P21" s="2">
        <v>0</v>
      </c>
      <c r="Q21" s="2"/>
      <c r="R21" s="19">
        <f t="shared" si="8"/>
        <v>0</v>
      </c>
      <c r="S21" s="2"/>
      <c r="T21" s="2"/>
      <c r="U21" s="2"/>
      <c r="V21" s="19">
        <f t="shared" si="9"/>
        <v>0</v>
      </c>
      <c r="W21" s="2"/>
      <c r="X21" s="2">
        <f t="shared" si="10"/>
        <v>0</v>
      </c>
      <c r="Y21" s="2"/>
      <c r="Z21" s="19">
        <f t="shared" si="11"/>
        <v>0</v>
      </c>
    </row>
    <row r="22" spans="1:26" s="24" customFormat="1" hidden="1" outlineLevel="1" x14ac:dyDescent="0.3">
      <c r="A22" s="44"/>
      <c r="B22" s="11" t="str">
        <f>CONCATENATE("          ", "5002", " - ", "PURCHASES @ COST-USED TEXT")</f>
        <v xml:space="preserve">          5002 - PURCHASES @ COST-USED TEXT</v>
      </c>
      <c r="C22" s="11"/>
      <c r="D22" s="2"/>
      <c r="E22" s="2"/>
      <c r="F22" s="19">
        <f t="shared" si="4"/>
        <v>0</v>
      </c>
      <c r="G22" s="2"/>
      <c r="H22" s="2"/>
      <c r="I22" s="2"/>
      <c r="J22" s="19">
        <f t="shared" si="5"/>
        <v>0</v>
      </c>
      <c r="K22" s="2"/>
      <c r="L22" s="2">
        <f t="shared" si="6"/>
        <v>0</v>
      </c>
      <c r="M22" s="2"/>
      <c r="N22" s="19">
        <f t="shared" si="7"/>
        <v>0</v>
      </c>
      <c r="O22" s="11"/>
      <c r="P22" s="2">
        <v>0</v>
      </c>
      <c r="Q22" s="2"/>
      <c r="R22" s="19">
        <f t="shared" si="8"/>
        <v>0</v>
      </c>
      <c r="S22" s="2"/>
      <c r="T22" s="2"/>
      <c r="U22" s="2"/>
      <c r="V22" s="19">
        <f t="shared" si="9"/>
        <v>0</v>
      </c>
      <c r="W22" s="2"/>
      <c r="X22" s="2">
        <f t="shared" si="10"/>
        <v>0</v>
      </c>
      <c r="Y22" s="2"/>
      <c r="Z22" s="19">
        <f t="shared" si="11"/>
        <v>0</v>
      </c>
    </row>
    <row r="23" spans="1:26" s="24" customFormat="1" hidden="1" outlineLevel="1" x14ac:dyDescent="0.3">
      <c r="A23" s="44"/>
      <c r="B23" s="11" t="str">
        <f>CONCATENATE("          ", "5004", " - ", "PURCHASES @ COST-DIGITAL TEXT")</f>
        <v xml:space="preserve">          5004 - PURCHASES @ COST-DIGITAL TEXT</v>
      </c>
      <c r="C23" s="11"/>
      <c r="D23" s="2"/>
      <c r="E23" s="2"/>
      <c r="F23" s="19">
        <f t="shared" si="4"/>
        <v>0</v>
      </c>
      <c r="G23" s="2"/>
      <c r="H23" s="2"/>
      <c r="I23" s="2"/>
      <c r="J23" s="19">
        <f t="shared" si="5"/>
        <v>0</v>
      </c>
      <c r="K23" s="2"/>
      <c r="L23" s="2">
        <f t="shared" si="6"/>
        <v>0</v>
      </c>
      <c r="M23" s="2"/>
      <c r="N23" s="19">
        <f t="shared" si="7"/>
        <v>0</v>
      </c>
      <c r="O23" s="11"/>
      <c r="P23" s="2">
        <v>0</v>
      </c>
      <c r="Q23" s="2"/>
      <c r="R23" s="19">
        <f t="shared" si="8"/>
        <v>0</v>
      </c>
      <c r="S23" s="2"/>
      <c r="T23" s="2"/>
      <c r="U23" s="2"/>
      <c r="V23" s="19">
        <f t="shared" si="9"/>
        <v>0</v>
      </c>
      <c r="W23" s="2"/>
      <c r="X23" s="2">
        <f t="shared" si="10"/>
        <v>0</v>
      </c>
      <c r="Y23" s="2"/>
      <c r="Z23" s="19">
        <f t="shared" si="11"/>
        <v>0</v>
      </c>
    </row>
    <row r="24" spans="1:26" s="24" customFormat="1" hidden="1" outlineLevel="1" x14ac:dyDescent="0.3">
      <c r="A24" s="44"/>
      <c r="B24" s="11" t="str">
        <f>CONCATENATE("          ", "5200", " - ", "PURCHASES OFFSET")</f>
        <v xml:space="preserve">          5200 - PURCHASES OFFSET</v>
      </c>
      <c r="C24" s="11"/>
      <c r="D24" s="2">
        <v>202125.45</v>
      </c>
      <c r="E24" s="2"/>
      <c r="F24" s="19">
        <f t="shared" si="4"/>
        <v>25.658741090073566</v>
      </c>
      <c r="G24" s="2"/>
      <c r="H24" s="2"/>
      <c r="I24" s="2"/>
      <c r="J24" s="19">
        <f t="shared" si="5"/>
        <v>0</v>
      </c>
      <c r="K24" s="2"/>
      <c r="L24" s="2">
        <f t="shared" si="6"/>
        <v>202125.45</v>
      </c>
      <c r="M24" s="2"/>
      <c r="N24" s="19">
        <f t="shared" si="7"/>
        <v>0</v>
      </c>
      <c r="O24" s="11"/>
      <c r="P24" s="2">
        <v>-1124404.4099999999</v>
      </c>
      <c r="Q24" s="2"/>
      <c r="R24" s="19">
        <f t="shared" si="8"/>
        <v>-0.83188332756317029</v>
      </c>
      <c r="S24" s="2"/>
      <c r="T24" s="2"/>
      <c r="U24" s="2"/>
      <c r="V24" s="19">
        <f t="shared" si="9"/>
        <v>0</v>
      </c>
      <c r="W24" s="2"/>
      <c r="X24" s="2">
        <f t="shared" si="10"/>
        <v>-1124404.4099999999</v>
      </c>
      <c r="Y24" s="2"/>
      <c r="Z24" s="19">
        <f t="shared" si="11"/>
        <v>0</v>
      </c>
    </row>
    <row r="25" spans="1:26" s="24" customFormat="1" hidden="1" outlineLevel="1" x14ac:dyDescent="0.3">
      <c r="A25" s="44"/>
      <c r="B25" s="11" t="str">
        <f>CONCATENATE("          ", "5300", " - ", "COG$ OFFSET")</f>
        <v xml:space="preserve">          5300 - COG$ OFFSET</v>
      </c>
      <c r="C25" s="11"/>
      <c r="D25" s="2">
        <v>5116.34</v>
      </c>
      <c r="E25" s="2"/>
      <c r="F25" s="19">
        <f t="shared" si="4"/>
        <v>0.6494919041060242</v>
      </c>
      <c r="G25" s="2"/>
      <c r="H25" s="2"/>
      <c r="I25" s="2"/>
      <c r="J25" s="19">
        <f t="shared" si="5"/>
        <v>0</v>
      </c>
      <c r="K25" s="2"/>
      <c r="L25" s="2">
        <f t="shared" si="6"/>
        <v>5116.34</v>
      </c>
      <c r="M25" s="2"/>
      <c r="N25" s="19">
        <f t="shared" si="7"/>
        <v>0</v>
      </c>
      <c r="O25" s="11"/>
      <c r="P25" s="2">
        <v>848534.21</v>
      </c>
      <c r="Q25" s="2"/>
      <c r="R25" s="19">
        <f t="shared" si="8"/>
        <v>0.62778254504176656</v>
      </c>
      <c r="S25" s="2"/>
      <c r="T25" s="2"/>
      <c r="U25" s="2"/>
      <c r="V25" s="19">
        <f t="shared" si="9"/>
        <v>0</v>
      </c>
      <c r="W25" s="2"/>
      <c r="X25" s="2">
        <f t="shared" si="10"/>
        <v>848534.21</v>
      </c>
      <c r="Y25" s="2"/>
      <c r="Z25" s="19">
        <f t="shared" si="11"/>
        <v>0</v>
      </c>
    </row>
    <row r="26" spans="1:26" s="24" customFormat="1" hidden="1" outlineLevel="1" x14ac:dyDescent="0.3">
      <c r="A26" s="44"/>
      <c r="B26" s="11" t="str">
        <f>CONCATENATE("          ", "5500", " - ", "FREIGHT-IN")</f>
        <v xml:space="preserve">          5500 - FREIGHT-IN</v>
      </c>
      <c r="C26" s="11"/>
      <c r="D26" s="2">
        <v>381.93</v>
      </c>
      <c r="E26" s="2"/>
      <c r="F26" s="19">
        <f t="shared" si="4"/>
        <v>4.8483963719223866E-2</v>
      </c>
      <c r="G26" s="2"/>
      <c r="H26" s="2"/>
      <c r="I26" s="2"/>
      <c r="J26" s="19">
        <f t="shared" si="5"/>
        <v>0</v>
      </c>
      <c r="K26" s="2"/>
      <c r="L26" s="2">
        <f t="shared" si="6"/>
        <v>381.93</v>
      </c>
      <c r="M26" s="2"/>
      <c r="N26" s="19">
        <f t="shared" si="7"/>
        <v>0</v>
      </c>
      <c r="O26" s="11"/>
      <c r="P26" s="2">
        <v>36519.980000000003</v>
      </c>
      <c r="Q26" s="2"/>
      <c r="R26" s="19">
        <f t="shared" si="8"/>
        <v>2.7019070909674245E-2</v>
      </c>
      <c r="S26" s="2"/>
      <c r="T26" s="2"/>
      <c r="U26" s="2"/>
      <c r="V26" s="19">
        <f t="shared" si="9"/>
        <v>0</v>
      </c>
      <c r="W26" s="2"/>
      <c r="X26" s="2">
        <f t="shared" si="10"/>
        <v>36519.980000000003</v>
      </c>
      <c r="Y26" s="2"/>
      <c r="Z26" s="19">
        <f t="shared" si="11"/>
        <v>0</v>
      </c>
    </row>
    <row r="27" spans="1:26" s="24" customFormat="1" hidden="1" outlineLevel="1" x14ac:dyDescent="0.3">
      <c r="A27" s="44"/>
      <c r="B27" s="11" t="str">
        <f>CONCATENATE("          ", "5501", " - ", "FREIGHT-IN-NEW TEXT")</f>
        <v xml:space="preserve">          5501 - FREIGHT-IN-NEW TEXT</v>
      </c>
      <c r="C27" s="11"/>
      <c r="D27" s="2"/>
      <c r="E27" s="2"/>
      <c r="F27" s="19">
        <f t="shared" si="4"/>
        <v>0</v>
      </c>
      <c r="G27" s="2"/>
      <c r="H27" s="2"/>
      <c r="I27" s="2"/>
      <c r="J27" s="19">
        <f t="shared" si="5"/>
        <v>0</v>
      </c>
      <c r="K27" s="2"/>
      <c r="L27" s="2">
        <f t="shared" si="6"/>
        <v>0</v>
      </c>
      <c r="M27" s="2"/>
      <c r="N27" s="19">
        <f t="shared" si="7"/>
        <v>0</v>
      </c>
      <c r="O27" s="11"/>
      <c r="P27" s="2">
        <v>0</v>
      </c>
      <c r="Q27" s="2"/>
      <c r="R27" s="19">
        <f t="shared" si="8"/>
        <v>0</v>
      </c>
      <c r="S27" s="2"/>
      <c r="T27" s="2"/>
      <c r="U27" s="2"/>
      <c r="V27" s="19">
        <f t="shared" si="9"/>
        <v>0</v>
      </c>
      <c r="W27" s="2"/>
      <c r="X27" s="2">
        <f t="shared" si="10"/>
        <v>0</v>
      </c>
      <c r="Y27" s="2"/>
      <c r="Z27" s="19">
        <f t="shared" si="11"/>
        <v>0</v>
      </c>
    </row>
    <row r="28" spans="1:26" s="24" customFormat="1" hidden="1" outlineLevel="1" x14ac:dyDescent="0.3">
      <c r="A28" s="44"/>
      <c r="B28" s="11" t="str">
        <f>CONCATENATE("          ", "5502", " - ", "FREIGHT-IN-USED TEXT")</f>
        <v xml:space="preserve">          5502 - FREIGHT-IN-USED TEXT</v>
      </c>
      <c r="C28" s="11"/>
      <c r="D28" s="2"/>
      <c r="E28" s="2"/>
      <c r="F28" s="19">
        <f t="shared" si="4"/>
        <v>0</v>
      </c>
      <c r="G28" s="2"/>
      <c r="H28" s="2"/>
      <c r="I28" s="2"/>
      <c r="J28" s="19">
        <f t="shared" si="5"/>
        <v>0</v>
      </c>
      <c r="K28" s="2"/>
      <c r="L28" s="2">
        <f t="shared" si="6"/>
        <v>0</v>
      </c>
      <c r="M28" s="2"/>
      <c r="N28" s="19">
        <f t="shared" si="7"/>
        <v>0</v>
      </c>
      <c r="O28" s="11"/>
      <c r="P28" s="2">
        <v>0</v>
      </c>
      <c r="Q28" s="2"/>
      <c r="R28" s="19">
        <f t="shared" si="8"/>
        <v>0</v>
      </c>
      <c r="S28" s="2"/>
      <c r="T28" s="2"/>
      <c r="U28" s="2"/>
      <c r="V28" s="19">
        <f t="shared" si="9"/>
        <v>0</v>
      </c>
      <c r="W28" s="2"/>
      <c r="X28" s="2">
        <f t="shared" si="10"/>
        <v>0</v>
      </c>
      <c r="Y28" s="2"/>
      <c r="Z28" s="19">
        <f t="shared" si="11"/>
        <v>0</v>
      </c>
    </row>
    <row r="29" spans="1:26" s="24" customFormat="1" hidden="1" outlineLevel="1" x14ac:dyDescent="0.3">
      <c r="A29" s="44"/>
      <c r="B29" s="11" t="str">
        <f>CONCATENATE("          ", "5518", " - ", "FREIGHT-IN-STUDY GUIDES")</f>
        <v xml:space="preserve">          5518 - FREIGHT-IN-STUDY GUIDES</v>
      </c>
      <c r="C29" s="11"/>
      <c r="D29" s="2"/>
      <c r="E29" s="2"/>
      <c r="F29" s="19">
        <f t="shared" si="4"/>
        <v>0</v>
      </c>
      <c r="G29" s="2"/>
      <c r="H29" s="2"/>
      <c r="I29" s="2"/>
      <c r="J29" s="19">
        <f t="shared" si="5"/>
        <v>0</v>
      </c>
      <c r="K29" s="2"/>
      <c r="L29" s="2">
        <f t="shared" si="6"/>
        <v>0</v>
      </c>
      <c r="M29" s="2"/>
      <c r="N29" s="19">
        <f t="shared" si="7"/>
        <v>0</v>
      </c>
      <c r="O29" s="11"/>
      <c r="P29" s="2">
        <v>0</v>
      </c>
      <c r="Q29" s="2"/>
      <c r="R29" s="19">
        <f t="shared" si="8"/>
        <v>0</v>
      </c>
      <c r="S29" s="2"/>
      <c r="T29" s="2"/>
      <c r="U29" s="2"/>
      <c r="V29" s="19">
        <f t="shared" si="9"/>
        <v>0</v>
      </c>
      <c r="W29" s="2"/>
      <c r="X29" s="2">
        <f t="shared" si="10"/>
        <v>0</v>
      </c>
      <c r="Y29" s="2"/>
      <c r="Z29" s="19">
        <f t="shared" si="11"/>
        <v>0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3">
      <c r="A31" s="10"/>
      <c r="B31" s="26" t="s">
        <v>108</v>
      </c>
      <c r="C31" s="26"/>
      <c r="D31" s="20">
        <f>D12-D19</f>
        <v>2440.8299999999936</v>
      </c>
      <c r="E31" s="13"/>
      <c r="F31" s="22">
        <f>IF(D$12=0,0,D31/D$12)</f>
        <v>0.30985026880525979</v>
      </c>
      <c r="G31" s="13"/>
      <c r="H31" s="20">
        <f>H12-H19</f>
        <v>3943</v>
      </c>
      <c r="I31" s="13"/>
      <c r="J31" s="22">
        <f>IF(H$12=0,0,H31/H$12)</f>
        <v>0.27681830946363384</v>
      </c>
      <c r="K31" s="15"/>
      <c r="L31" s="20">
        <f>+D31-H31</f>
        <v>-1502.1700000000064</v>
      </c>
      <c r="M31" s="15"/>
      <c r="N31" s="22">
        <f>IF(H31=0,0,L31/H31)</f>
        <v>-0.38097134161805896</v>
      </c>
      <c r="O31" s="25"/>
      <c r="P31" s="20">
        <f>P12-P19</f>
        <v>249364.56999999983</v>
      </c>
      <c r="Q31" s="13"/>
      <c r="R31" s="22">
        <f>IF(P$12=0,0,P31/P$12)</f>
        <v>0.18449076366390185</v>
      </c>
      <c r="S31" s="13"/>
      <c r="T31" s="20">
        <f>T12-T19</f>
        <v>775433</v>
      </c>
      <c r="U31" s="13"/>
      <c r="V31" s="22">
        <f>IF(T$12=0,0,T31/T$12)</f>
        <v>0.27667929046949269</v>
      </c>
      <c r="W31" s="15"/>
      <c r="X31" s="20">
        <f>+P31-T31</f>
        <v>-526068.43000000017</v>
      </c>
      <c r="Y31" s="15"/>
      <c r="Z31" s="22">
        <f>IF(T31=0,0,X31/T31)</f>
        <v>-0.67841893496923678</v>
      </c>
    </row>
    <row r="32" spans="1:26" x14ac:dyDescent="0.3">
      <c r="A32" s="9"/>
      <c r="B32" s="10"/>
      <c r="C32" s="9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6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x14ac:dyDescent="0.3">
      <c r="A33" s="10"/>
      <c r="B33" s="25" t="s">
        <v>295</v>
      </c>
      <c r="C33" s="10"/>
      <c r="D33" s="21">
        <f>SUM(OSRRefD22x_0)</f>
        <v>40561.770000000011</v>
      </c>
      <c r="E33" s="21"/>
      <c r="F33" s="30">
        <f t="shared" ref="F33:F44" si="12">IF(D$12=0,0,D33/D$12)</f>
        <v>5.1490990104665864</v>
      </c>
      <c r="G33" s="21"/>
      <c r="H33" s="21">
        <f>SUM(OSRRefH22x_0)</f>
        <v>46891.564838989718</v>
      </c>
      <c r="I33" s="21"/>
      <c r="J33" s="30">
        <f t="shared" ref="J33:J44" si="13">IF(H$12=0,0,H33/H$12)</f>
        <v>3.2920222436808282</v>
      </c>
      <c r="K33" s="4"/>
      <c r="L33" s="21">
        <f t="shared" ref="L33:L44" si="14">+D33-H33</f>
        <v>-6329.7948389897065</v>
      </c>
      <c r="M33" s="4"/>
      <c r="N33" s="30">
        <f t="shared" ref="N33:N44" si="15">IF(H33=0,0,L33/H33)</f>
        <v>-0.13498792076408944</v>
      </c>
      <c r="O33" s="10"/>
      <c r="P33" s="21">
        <f>SUM(OSRRefP22x_0)</f>
        <v>232909.11</v>
      </c>
      <c r="Q33" s="21"/>
      <c r="R33" s="30">
        <f t="shared" ref="R33:R44" si="16">IF(P$12=0,0,P33/P$12)</f>
        <v>0.1723162980538083</v>
      </c>
      <c r="S33" s="21"/>
      <c r="T33" s="21">
        <f>SUM(OSRRefT22x_0)</f>
        <v>271285.20523444354</v>
      </c>
      <c r="U33" s="21"/>
      <c r="V33" s="30">
        <f t="shared" ref="V33:V44" si="17">IF(T$12=0,0,T33/T$12)</f>
        <v>9.6796239132377074E-2</v>
      </c>
      <c r="W33" s="4"/>
      <c r="X33" s="21">
        <f t="shared" ref="X33:X44" si="18">+P33-T33</f>
        <v>-38376.09523444355</v>
      </c>
      <c r="Y33" s="4"/>
      <c r="Z33" s="30">
        <f t="shared" ref="Z33:Z44" si="19">IF(T33=0,0,X33/T33)</f>
        <v>-0.1414603321300883</v>
      </c>
    </row>
    <row r="34" spans="1:26" s="29" customFormat="1" outlineLevel="1" collapsed="1" x14ac:dyDescent="0.3">
      <c r="A34" s="28"/>
      <c r="B34" s="14" t="str">
        <f>CONCATENATE("     ","*Benefits                                         ")</f>
        <v xml:space="preserve">     *Benefits                                         </v>
      </c>
      <c r="C34" s="14"/>
      <c r="D34" s="1">
        <f>SUM(OSRRefD22_0x_0)</f>
        <v>12540.8</v>
      </c>
      <c r="E34" s="1"/>
      <c r="F34" s="5">
        <f t="shared" si="12"/>
        <v>1.591987254758837</v>
      </c>
      <c r="G34" s="1"/>
      <c r="H34" s="1">
        <f>SUM(OSRRefH22_0x_0)</f>
        <v>13513.281293735916</v>
      </c>
      <c r="I34" s="1"/>
      <c r="J34" s="5">
        <f t="shared" si="13"/>
        <v>0.94869989425273205</v>
      </c>
      <c r="K34" s="1"/>
      <c r="L34" s="1">
        <f t="shared" si="14"/>
        <v>-972.48129373591655</v>
      </c>
      <c r="M34" s="1"/>
      <c r="N34" s="5">
        <f t="shared" si="15"/>
        <v>-7.1964852399447235E-2</v>
      </c>
      <c r="O34" s="14"/>
      <c r="P34" s="1">
        <f>SUM(OSRRefP22_0x_0)</f>
        <v>64478.389999999985</v>
      </c>
      <c r="Q34" s="1"/>
      <c r="R34" s="5">
        <f t="shared" si="16"/>
        <v>4.7703919650329225E-2</v>
      </c>
      <c r="S34" s="1"/>
      <c r="T34" s="1">
        <f>SUM(OSRRefT22_0x_0)</f>
        <v>73976.645735547514</v>
      </c>
      <c r="U34" s="1"/>
      <c r="V34" s="5">
        <f t="shared" si="17"/>
        <v>2.6395324745560621E-2</v>
      </c>
      <c r="W34" s="1"/>
      <c r="X34" s="1">
        <f t="shared" si="18"/>
        <v>-9498.2557355475292</v>
      </c>
      <c r="Y34" s="1"/>
      <c r="Z34" s="5">
        <f t="shared" si="19"/>
        <v>-0.12839532856764002</v>
      </c>
    </row>
    <row r="35" spans="1:26" s="24" customFormat="1" hidden="1" outlineLevel="2" x14ac:dyDescent="0.3">
      <c r="A35" s="27"/>
      <c r="B35" s="11" t="str">
        <f>CONCATENATE("          ", "6111", " - ", "F.I.C.A.")</f>
        <v xml:space="preserve">          6111 - F.I.C.A.</v>
      </c>
      <c r="C35" s="11"/>
      <c r="D35" s="6">
        <v>1887.94</v>
      </c>
      <c r="E35" s="2"/>
      <c r="F35" s="7">
        <f t="shared" si="12"/>
        <v>0.23966385061155579</v>
      </c>
      <c r="G35" s="2"/>
      <c r="H35" s="6">
        <v>1967.82450197977</v>
      </c>
      <c r="I35" s="2"/>
      <c r="J35" s="7">
        <f t="shared" si="13"/>
        <v>0.13815111639846742</v>
      </c>
      <c r="K35" s="2"/>
      <c r="L35" s="6">
        <f t="shared" si="14"/>
        <v>-79.884501979769993</v>
      </c>
      <c r="M35" s="2"/>
      <c r="N35" s="7">
        <f t="shared" si="15"/>
        <v>-4.0595338608397528E-2</v>
      </c>
      <c r="O35" s="11"/>
      <c r="P35" s="6">
        <v>10947.14</v>
      </c>
      <c r="Q35" s="2"/>
      <c r="R35" s="7">
        <f t="shared" si="16"/>
        <v>8.0991706982898488E-3</v>
      </c>
      <c r="S35" s="2"/>
      <c r="T35" s="6">
        <v>11847.3122808887</v>
      </c>
      <c r="U35" s="2"/>
      <c r="V35" s="7">
        <f t="shared" si="17"/>
        <v>4.227194297697922E-3</v>
      </c>
      <c r="W35" s="2"/>
      <c r="X35" s="6">
        <f t="shared" si="18"/>
        <v>-900.1722808887007</v>
      </c>
      <c r="Y35" s="2"/>
      <c r="Z35" s="7">
        <f t="shared" si="19"/>
        <v>-7.5981138974516527E-2</v>
      </c>
    </row>
    <row r="36" spans="1:26" s="24" customFormat="1" hidden="1" outlineLevel="2" x14ac:dyDescent="0.3">
      <c r="A36" s="27"/>
      <c r="B36" s="11" t="str">
        <f>CONCATENATE("          ", "6112", " - ", "COMPENSATION INSURANCE")</f>
        <v xml:space="preserve">          6112 - COMPENSATION INSURANCE</v>
      </c>
      <c r="C36" s="11"/>
      <c r="D36" s="6">
        <v>355.51</v>
      </c>
      <c r="E36" s="2"/>
      <c r="F36" s="7">
        <f t="shared" si="12"/>
        <v>4.5130086512767453E-2</v>
      </c>
      <c r="G36" s="2"/>
      <c r="H36" s="6">
        <v>463.15015548000002</v>
      </c>
      <c r="I36" s="2"/>
      <c r="J36" s="7">
        <f t="shared" si="13"/>
        <v>3.2515456015164285E-2</v>
      </c>
      <c r="K36" s="2"/>
      <c r="L36" s="6">
        <f t="shared" si="14"/>
        <v>-107.64015548000003</v>
      </c>
      <c r="M36" s="2"/>
      <c r="N36" s="7">
        <f t="shared" si="15"/>
        <v>-0.23240876464446789</v>
      </c>
      <c r="O36" s="11"/>
      <c r="P36" s="6">
        <v>2193.98</v>
      </c>
      <c r="Q36" s="2"/>
      <c r="R36" s="7">
        <f t="shared" si="16"/>
        <v>1.6232019074054011E-3</v>
      </c>
      <c r="S36" s="2"/>
      <c r="T36" s="6">
        <v>2939.5566551400002</v>
      </c>
      <c r="U36" s="2"/>
      <c r="V36" s="7">
        <f t="shared" si="17"/>
        <v>1.0488519957739875E-3</v>
      </c>
      <c r="W36" s="2"/>
      <c r="X36" s="6">
        <f t="shared" si="18"/>
        <v>-745.57665514000018</v>
      </c>
      <c r="Y36" s="2"/>
      <c r="Z36" s="7">
        <f t="shared" si="19"/>
        <v>-0.25363574940333683</v>
      </c>
    </row>
    <row r="37" spans="1:26" s="24" customFormat="1" hidden="1" outlineLevel="2" x14ac:dyDescent="0.3">
      <c r="A37" s="27"/>
      <c r="B37" s="11" t="str">
        <f>CONCATENATE("          ", "6113", " - ", "GROUP INSURANCE")</f>
        <v xml:space="preserve">          6113 - GROUP INSURANCE</v>
      </c>
      <c r="C37" s="11"/>
      <c r="D37" s="6">
        <v>4593.8599999999997</v>
      </c>
      <c r="E37" s="2"/>
      <c r="F37" s="7">
        <f t="shared" si="12"/>
        <v>0.58316587220483784</v>
      </c>
      <c r="G37" s="2"/>
      <c r="H37" s="6">
        <v>5314</v>
      </c>
      <c r="I37" s="2"/>
      <c r="J37" s="7">
        <f t="shared" si="13"/>
        <v>0.37306936253861273</v>
      </c>
      <c r="K37" s="2"/>
      <c r="L37" s="6">
        <f t="shared" si="14"/>
        <v>-720.14000000000033</v>
      </c>
      <c r="M37" s="2"/>
      <c r="N37" s="7">
        <f t="shared" si="15"/>
        <v>-0.13551750094091086</v>
      </c>
      <c r="O37" s="11"/>
      <c r="P37" s="6">
        <v>23025.55</v>
      </c>
      <c r="Q37" s="2"/>
      <c r="R37" s="7">
        <f t="shared" si="16"/>
        <v>1.7035304186482296E-2</v>
      </c>
      <c r="S37" s="2"/>
      <c r="T37" s="6">
        <v>27182</v>
      </c>
      <c r="U37" s="2"/>
      <c r="V37" s="7">
        <f t="shared" si="17"/>
        <v>9.698705721244455E-3</v>
      </c>
      <c r="W37" s="2"/>
      <c r="X37" s="6">
        <f t="shared" si="18"/>
        <v>-4156.4500000000007</v>
      </c>
      <c r="Y37" s="2"/>
      <c r="Z37" s="7">
        <f t="shared" si="19"/>
        <v>-0.15291185343241853</v>
      </c>
    </row>
    <row r="38" spans="1:26" s="24" customFormat="1" hidden="1" outlineLevel="2" x14ac:dyDescent="0.3">
      <c r="A38" s="27"/>
      <c r="B38" s="11" t="str">
        <f>CONCATENATE("          ", "6114", " - ", "STATE UNEMPLOYMENT INSURANCE")</f>
        <v xml:space="preserve">          6114 - STATE UNEMPLOYMENT INSURANCE</v>
      </c>
      <c r="C38" s="11"/>
      <c r="D38" s="6">
        <v>70.599999999999994</v>
      </c>
      <c r="E38" s="2"/>
      <c r="F38" s="7">
        <f t="shared" si="12"/>
        <v>8.9622910967381564E-3</v>
      </c>
      <c r="G38" s="2"/>
      <c r="H38" s="6">
        <v>62.347136314615398</v>
      </c>
      <c r="I38" s="2"/>
      <c r="J38" s="7">
        <f t="shared" si="13"/>
        <v>4.3770806174259613E-3</v>
      </c>
      <c r="K38" s="2"/>
      <c r="L38" s="6">
        <f t="shared" si="14"/>
        <v>8.2528636853845967</v>
      </c>
      <c r="M38" s="2"/>
      <c r="N38" s="7">
        <f t="shared" si="15"/>
        <v>0.13236957097338187</v>
      </c>
      <c r="O38" s="11"/>
      <c r="P38" s="6">
        <v>435.09</v>
      </c>
      <c r="Q38" s="2"/>
      <c r="R38" s="7">
        <f t="shared" si="16"/>
        <v>3.2189852135981907E-4</v>
      </c>
      <c r="S38" s="2"/>
      <c r="T38" s="6">
        <v>395.70954973038403</v>
      </c>
      <c r="U38" s="2"/>
      <c r="V38" s="7">
        <f t="shared" si="17"/>
        <v>1.4119161481572888E-4</v>
      </c>
      <c r="W38" s="2"/>
      <c r="X38" s="6">
        <f t="shared" si="18"/>
        <v>39.380450269615949</v>
      </c>
      <c r="Y38" s="2"/>
      <c r="Z38" s="7">
        <f t="shared" si="19"/>
        <v>9.9518574410063509E-2</v>
      </c>
    </row>
    <row r="39" spans="1:26" s="24" customFormat="1" hidden="1" outlineLevel="2" x14ac:dyDescent="0.3">
      <c r="A39" s="27"/>
      <c r="B39" s="11" t="str">
        <f>CONCATENATE("          ", "6115", " - ", "P.E.R.S.")</f>
        <v xml:space="preserve">          6115 - P.E.R.S.</v>
      </c>
      <c r="C39" s="11"/>
      <c r="D39" s="6">
        <v>1671.39</v>
      </c>
      <c r="E39" s="2"/>
      <c r="F39" s="7">
        <f t="shared" si="12"/>
        <v>0.21217399031412451</v>
      </c>
      <c r="G39" s="2"/>
      <c r="H39" s="6">
        <v>1664.68278164615</v>
      </c>
      <c r="I39" s="2"/>
      <c r="J39" s="7">
        <f t="shared" si="13"/>
        <v>0.11686905234808692</v>
      </c>
      <c r="K39" s="2"/>
      <c r="L39" s="6">
        <f t="shared" si="14"/>
        <v>6.7072183538500667</v>
      </c>
      <c r="M39" s="2"/>
      <c r="N39" s="7">
        <f t="shared" si="15"/>
        <v>4.0291270071391733E-3</v>
      </c>
      <c r="O39" s="11"/>
      <c r="P39" s="6">
        <v>8903.34</v>
      </c>
      <c r="Q39" s="2"/>
      <c r="R39" s="7">
        <f t="shared" si="16"/>
        <v>6.5870784921826103E-3</v>
      </c>
      <c r="S39" s="2"/>
      <c r="T39" s="6">
        <v>9155.7552990538297</v>
      </c>
      <c r="U39" s="2"/>
      <c r="V39" s="7">
        <f t="shared" si="17"/>
        <v>3.2668301192424255E-3</v>
      </c>
      <c r="W39" s="2"/>
      <c r="X39" s="6">
        <f t="shared" si="18"/>
        <v>-252.41529905382959</v>
      </c>
      <c r="Y39" s="2"/>
      <c r="Z39" s="7">
        <f t="shared" si="19"/>
        <v>-2.7569030714474706E-2</v>
      </c>
    </row>
    <row r="40" spans="1:26" s="24" customFormat="1" hidden="1" outlineLevel="2" x14ac:dyDescent="0.3">
      <c r="A40" s="27"/>
      <c r="B40" s="11" t="str">
        <f>CONCATENATE("          ", "6116", " - ", "EDUCATIONAL BENEFITS")</f>
        <v xml:space="preserve">          6116 - EDUCATIONAL BENEFITS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4" customFormat="1" hidden="1" outlineLevel="2" x14ac:dyDescent="0.3">
      <c r="A41" s="27"/>
      <c r="B41" s="11" t="str">
        <f>CONCATENATE("          ", "6117", " - ", "RETIREMENT STAFF HOURLY")</f>
        <v xml:space="preserve">          6117 - RETIREMENT STAFF HOURLY</v>
      </c>
      <c r="C41" s="11"/>
      <c r="D41" s="6">
        <v>274.61</v>
      </c>
      <c r="E41" s="2"/>
      <c r="F41" s="7">
        <f t="shared" si="12"/>
        <v>3.4860265695117076E-2</v>
      </c>
      <c r="G41" s="2"/>
      <c r="H41" s="6"/>
      <c r="I41" s="2"/>
      <c r="J41" s="7">
        <f t="shared" si="13"/>
        <v>0</v>
      </c>
      <c r="K41" s="2"/>
      <c r="L41" s="6">
        <f t="shared" si="14"/>
        <v>274.61</v>
      </c>
      <c r="M41" s="2"/>
      <c r="N41" s="7">
        <f t="shared" si="15"/>
        <v>0</v>
      </c>
      <c r="O41" s="11"/>
      <c r="P41" s="6">
        <v>1522.86</v>
      </c>
      <c r="Q41" s="2"/>
      <c r="R41" s="7">
        <f t="shared" si="16"/>
        <v>1.1266781177182057E-3</v>
      </c>
      <c r="S41" s="2"/>
      <c r="T41" s="6"/>
      <c r="U41" s="2"/>
      <c r="V41" s="7">
        <f t="shared" si="17"/>
        <v>0</v>
      </c>
      <c r="W41" s="2"/>
      <c r="X41" s="6">
        <f t="shared" si="18"/>
        <v>1522.86</v>
      </c>
      <c r="Y41" s="2"/>
      <c r="Z41" s="7">
        <f t="shared" si="19"/>
        <v>0</v>
      </c>
    </row>
    <row r="42" spans="1:26" s="24" customFormat="1" hidden="1" outlineLevel="2" x14ac:dyDescent="0.3">
      <c r="A42" s="27"/>
      <c r="B42" s="11" t="str">
        <f>CONCATENATE("          ", "6118", " - ", "VACATION")</f>
        <v xml:space="preserve">          6118 - VACATION</v>
      </c>
      <c r="C42" s="11"/>
      <c r="D42" s="6">
        <v>1600</v>
      </c>
      <c r="E42" s="2"/>
      <c r="F42" s="7">
        <f t="shared" si="12"/>
        <v>0.2031114129572387</v>
      </c>
      <c r="G42" s="2"/>
      <c r="H42" s="6">
        <v>1689.1935418999999</v>
      </c>
      <c r="I42" s="2"/>
      <c r="J42" s="7">
        <f t="shared" si="13"/>
        <v>0.11858983023729289</v>
      </c>
      <c r="K42" s="2"/>
      <c r="L42" s="6">
        <f t="shared" si="14"/>
        <v>-89.1935418999999</v>
      </c>
      <c r="M42" s="2"/>
      <c r="N42" s="7">
        <f t="shared" si="15"/>
        <v>-5.2802440743217188E-2</v>
      </c>
      <c r="O42" s="11"/>
      <c r="P42" s="6">
        <v>7701.24</v>
      </c>
      <c r="Q42" s="2"/>
      <c r="R42" s="7">
        <f t="shared" si="16"/>
        <v>5.697712585067672E-3</v>
      </c>
      <c r="S42" s="2"/>
      <c r="T42" s="6">
        <v>9290.5644804500007</v>
      </c>
      <c r="U42" s="2"/>
      <c r="V42" s="7">
        <f t="shared" si="17"/>
        <v>3.3149308689622153E-3</v>
      </c>
      <c r="W42" s="2"/>
      <c r="X42" s="6">
        <f t="shared" si="18"/>
        <v>-1589.3244804500009</v>
      </c>
      <c r="Y42" s="2"/>
      <c r="Z42" s="7">
        <f t="shared" si="19"/>
        <v>-0.17106866690332898</v>
      </c>
    </row>
    <row r="43" spans="1:26" s="24" customFormat="1" hidden="1" outlineLevel="2" x14ac:dyDescent="0.3">
      <c r="A43" s="27"/>
      <c r="B43" s="11" t="str">
        <f>CONCATENATE("          ", "6119", " - ", "SICK LEAVE")</f>
        <v xml:space="preserve">          6119 - SICK LEAVE</v>
      </c>
      <c r="C43" s="11"/>
      <c r="D43" s="6">
        <v>1114.74</v>
      </c>
      <c r="E43" s="2"/>
      <c r="F43" s="7">
        <f t="shared" si="12"/>
        <v>0.14151026029997016</v>
      </c>
      <c r="G43" s="2"/>
      <c r="H43" s="6">
        <v>1302.08317641538</v>
      </c>
      <c r="I43" s="2"/>
      <c r="J43" s="7">
        <f t="shared" si="13"/>
        <v>9.1412747571986794E-2</v>
      </c>
      <c r="K43" s="2"/>
      <c r="L43" s="6">
        <f t="shared" si="14"/>
        <v>-187.34317641537996</v>
      </c>
      <c r="M43" s="2"/>
      <c r="N43" s="7">
        <f t="shared" si="15"/>
        <v>-0.14387957682636954</v>
      </c>
      <c r="O43" s="11"/>
      <c r="P43" s="6">
        <v>5938.28</v>
      </c>
      <c r="Q43" s="2"/>
      <c r="R43" s="7">
        <f t="shared" si="16"/>
        <v>4.3933980358559985E-3</v>
      </c>
      <c r="S43" s="2"/>
      <c r="T43" s="6">
        <v>7915.7474702846002</v>
      </c>
      <c r="U43" s="2"/>
      <c r="V43" s="7">
        <f t="shared" si="17"/>
        <v>2.8243876564629376E-3</v>
      </c>
      <c r="W43" s="2"/>
      <c r="X43" s="6">
        <f t="shared" si="18"/>
        <v>-1977.4674702846005</v>
      </c>
      <c r="Y43" s="2"/>
      <c r="Z43" s="7">
        <f t="shared" si="19"/>
        <v>-0.24981437036842502</v>
      </c>
    </row>
    <row r="44" spans="1:26" s="24" customFormat="1" hidden="1" outlineLevel="2" x14ac:dyDescent="0.3">
      <c r="A44" s="27"/>
      <c r="B44" s="11" t="str">
        <f>CONCATENATE("          ", "6156", " - ", "EMPLOYEE MEALS")</f>
        <v xml:space="preserve">          6156 - EMPLOYEE MEALS</v>
      </c>
      <c r="C44" s="11"/>
      <c r="D44" s="6">
        <v>972.15</v>
      </c>
      <c r="E44" s="2"/>
      <c r="F44" s="7">
        <f t="shared" si="12"/>
        <v>0.12340922506648726</v>
      </c>
      <c r="G44" s="2"/>
      <c r="H44" s="6">
        <v>1050</v>
      </c>
      <c r="I44" s="2"/>
      <c r="J44" s="7">
        <f t="shared" si="13"/>
        <v>7.3715248525695026E-2</v>
      </c>
      <c r="K44" s="2"/>
      <c r="L44" s="6">
        <f t="shared" si="14"/>
        <v>-77.850000000000023</v>
      </c>
      <c r="M44" s="2"/>
      <c r="N44" s="7">
        <f t="shared" si="15"/>
        <v>-7.4142857142857163E-2</v>
      </c>
      <c r="O44" s="11"/>
      <c r="P44" s="6">
        <v>3810.91</v>
      </c>
      <c r="Q44" s="2"/>
      <c r="R44" s="7">
        <f t="shared" si="16"/>
        <v>2.8194771059673819E-3</v>
      </c>
      <c r="S44" s="2"/>
      <c r="T44" s="6">
        <v>5250</v>
      </c>
      <c r="U44" s="2"/>
      <c r="V44" s="7">
        <f t="shared" si="17"/>
        <v>1.8732324713609516E-3</v>
      </c>
      <c r="W44" s="2"/>
      <c r="X44" s="6">
        <f t="shared" si="18"/>
        <v>-1439.0900000000001</v>
      </c>
      <c r="Y44" s="2"/>
      <c r="Z44" s="7">
        <f t="shared" si="19"/>
        <v>-0.274112380952381</v>
      </c>
    </row>
    <row r="45" spans="1:26" s="29" customFormat="1" outlineLevel="1" collapsed="1" x14ac:dyDescent="0.3">
      <c r="A45" s="28"/>
      <c r="B45" s="14" t="str">
        <f>CONCATENATE("     ","*Payroll                                          ")</f>
        <v xml:space="preserve">     *Payroll                                          </v>
      </c>
      <c r="C45" s="14"/>
      <c r="D45" s="1">
        <f>SUM(OSRRefD22_1x_0)</f>
        <v>23870.59</v>
      </c>
      <c r="E45" s="1"/>
      <c r="F45" s="5">
        <f t="shared" ref="F45:F55" si="20">IF(D$12=0,0,D45/D$12)</f>
        <v>3.030243289389333</v>
      </c>
      <c r="G45" s="1"/>
      <c r="H45" s="1">
        <f>SUM(OSRRefH22_1x_0)</f>
        <v>27198.283545253802</v>
      </c>
      <c r="I45" s="1"/>
      <c r="J45" s="5">
        <f t="shared" ref="J45:J55" si="21">IF(H$12=0,0,H45/H$12)</f>
        <v>1.9094554581054339</v>
      </c>
      <c r="K45" s="1"/>
      <c r="L45" s="1">
        <f t="shared" ref="L45:L55" si="22">+D45-H45</f>
        <v>-3327.6935452538019</v>
      </c>
      <c r="M45" s="1"/>
      <c r="N45" s="5">
        <f t="shared" ref="N45:N55" si="23">IF(H45=0,0,L45/H45)</f>
        <v>-0.12234939531081168</v>
      </c>
      <c r="O45" s="14"/>
      <c r="P45" s="1">
        <f>SUM(OSRRefP22_1x_0)</f>
        <v>149186.24000000002</v>
      </c>
      <c r="Q45" s="1"/>
      <c r="R45" s="5">
        <f t="shared" ref="R45:R55" si="24">IF(P$12=0,0,P45/P$12)</f>
        <v>0.11037447439203638</v>
      </c>
      <c r="S45" s="1"/>
      <c r="T45" s="1">
        <f>SUM(OSRRefT22_1x_0)</f>
        <v>174733.55949889601</v>
      </c>
      <c r="U45" s="1"/>
      <c r="V45" s="5">
        <f t="shared" ref="V45:V55" si="25">IF(T$12=0,0,T45/T$12)</f>
        <v>6.2346014759964354E-2</v>
      </c>
      <c r="W45" s="1"/>
      <c r="X45" s="1">
        <f t="shared" ref="X45:X55" si="26">+P45-T45</f>
        <v>-25547.319498895988</v>
      </c>
      <c r="Y45" s="1"/>
      <c r="Z45" s="5">
        <f t="shared" ref="Z45:Z55" si="27">IF(T45=0,0,X45/T45)</f>
        <v>-0.14620728595102761</v>
      </c>
    </row>
    <row r="46" spans="1:26" s="24" customFormat="1" hidden="1" outlineLevel="2" x14ac:dyDescent="0.3">
      <c r="A46" s="27"/>
      <c r="B46" s="11" t="str">
        <f>CONCATENATE("          ", "6001", " - ", "ADMINISTRATIVE SALARIES")</f>
        <v xml:space="preserve">          6001 - ADMINISTRATIVE SALARIES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3">
      <c r="A47" s="27"/>
      <c r="B47" s="11" t="str">
        <f>CONCATENATE("          ", "6002", " - ", "STAFF SALARIES")</f>
        <v xml:space="preserve">          6002 - STAFF SALARIES</v>
      </c>
      <c r="C47" s="11"/>
      <c r="D47" s="6">
        <v>15611.26</v>
      </c>
      <c r="E47" s="2"/>
      <c r="F47" s="7">
        <f t="shared" si="20"/>
        <v>1.9817656729017639</v>
      </c>
      <c r="G47" s="2"/>
      <c r="H47" s="6">
        <v>17293.700777253802</v>
      </c>
      <c r="I47" s="2"/>
      <c r="J47" s="7">
        <f t="shared" si="21"/>
        <v>1.2141042387850183</v>
      </c>
      <c r="K47" s="2"/>
      <c r="L47" s="6">
        <f t="shared" si="22"/>
        <v>-1682.4407772538016</v>
      </c>
      <c r="M47" s="2"/>
      <c r="N47" s="7">
        <f t="shared" si="23"/>
        <v>-9.7286335581028199E-2</v>
      </c>
      <c r="O47" s="11"/>
      <c r="P47" s="6">
        <v>85279.16</v>
      </c>
      <c r="Q47" s="2"/>
      <c r="R47" s="7">
        <f t="shared" si="24"/>
        <v>6.3093234748689775E-2</v>
      </c>
      <c r="S47" s="2"/>
      <c r="T47" s="6">
        <v>95115.354274896003</v>
      </c>
      <c r="U47" s="2"/>
      <c r="V47" s="7">
        <f t="shared" si="25"/>
        <v>3.3937746695759219E-2</v>
      </c>
      <c r="W47" s="2"/>
      <c r="X47" s="6">
        <f t="shared" si="26"/>
        <v>-9836.1942748959991</v>
      </c>
      <c r="Y47" s="2"/>
      <c r="Z47" s="7">
        <f t="shared" si="27"/>
        <v>-0.10341331691272569</v>
      </c>
    </row>
    <row r="48" spans="1:26" s="24" customFormat="1" hidden="1" outlineLevel="2" x14ac:dyDescent="0.3">
      <c r="A48" s="27"/>
      <c r="B48" s="11" t="str">
        <f>CONCATENATE("          ", "6003", " - ", "STAFF HOURLY-9 MONTH")</f>
        <v xml:space="preserve">          6003 - STAFF HOURLY-9 MONTH</v>
      </c>
      <c r="C48" s="11"/>
      <c r="D48" s="6"/>
      <c r="E48" s="2"/>
      <c r="F48" s="7">
        <f t="shared" si="20"/>
        <v>0</v>
      </c>
      <c r="G48" s="2"/>
      <c r="H48" s="6">
        <v>0</v>
      </c>
      <c r="I48" s="2"/>
      <c r="J48" s="7">
        <f t="shared" si="21"/>
        <v>0</v>
      </c>
      <c r="K48" s="2"/>
      <c r="L48" s="6">
        <f t="shared" si="22"/>
        <v>0</v>
      </c>
      <c r="M48" s="2"/>
      <c r="N48" s="7">
        <f t="shared" si="23"/>
        <v>0</v>
      </c>
      <c r="O48" s="11"/>
      <c r="P48" s="6"/>
      <c r="Q48" s="2"/>
      <c r="R48" s="7">
        <f t="shared" si="24"/>
        <v>0</v>
      </c>
      <c r="S48" s="2"/>
      <c r="T48" s="6">
        <v>0</v>
      </c>
      <c r="U48" s="2"/>
      <c r="V48" s="7">
        <f t="shared" si="25"/>
        <v>0</v>
      </c>
      <c r="W48" s="2"/>
      <c r="X48" s="6">
        <f t="shared" si="26"/>
        <v>0</v>
      </c>
      <c r="Y48" s="2"/>
      <c r="Z48" s="7">
        <f t="shared" si="27"/>
        <v>0</v>
      </c>
    </row>
    <row r="49" spans="1:26" s="24" customFormat="1" hidden="1" outlineLevel="2" x14ac:dyDescent="0.3">
      <c r="A49" s="27"/>
      <c r="B49" s="11" t="str">
        <f>CONCATENATE("          ", "6004", " - ", "STAFF HOURLY")</f>
        <v xml:space="preserve">          6004 - STAFF HOURLY</v>
      </c>
      <c r="C49" s="11"/>
      <c r="D49" s="6">
        <v>4911.74</v>
      </c>
      <c r="E49" s="2"/>
      <c r="F49" s="7">
        <f t="shared" si="20"/>
        <v>0.62351903217411719</v>
      </c>
      <c r="G49" s="2"/>
      <c r="H49" s="6">
        <v>5928.5827680000002</v>
      </c>
      <c r="I49" s="2"/>
      <c r="J49" s="7">
        <f t="shared" si="21"/>
        <v>0.41621614490311709</v>
      </c>
      <c r="K49" s="2"/>
      <c r="L49" s="6">
        <f t="shared" si="22"/>
        <v>-1016.8427680000004</v>
      </c>
      <c r="M49" s="2"/>
      <c r="N49" s="7">
        <f t="shared" si="23"/>
        <v>-0.17151531956144572</v>
      </c>
      <c r="O49" s="11"/>
      <c r="P49" s="6">
        <v>29708.2</v>
      </c>
      <c r="Q49" s="2"/>
      <c r="R49" s="7">
        <f t="shared" si="24"/>
        <v>2.1979419550579832E-2</v>
      </c>
      <c r="S49" s="2"/>
      <c r="T49" s="6">
        <v>32607.205224000001</v>
      </c>
      <c r="U49" s="2"/>
      <c r="V49" s="7">
        <f t="shared" si="25"/>
        <v>1.1634452500176619E-2</v>
      </c>
      <c r="W49" s="2"/>
      <c r="X49" s="6">
        <f t="shared" si="26"/>
        <v>-2899.0052240000005</v>
      </c>
      <c r="Y49" s="2"/>
      <c r="Z49" s="7">
        <f t="shared" si="27"/>
        <v>-8.8906890488922821E-2</v>
      </c>
    </row>
    <row r="50" spans="1:26" s="24" customFormat="1" hidden="1" outlineLevel="2" x14ac:dyDescent="0.3">
      <c r="A50" s="27"/>
      <c r="B50" s="11" t="str">
        <f>CONCATENATE("          ", "6005", " - ", "TEMPORARY WAGES-HOURLY")</f>
        <v xml:space="preserve">          6005 - TEMPORARY WAGES-HOURLY</v>
      </c>
      <c r="C50" s="11"/>
      <c r="D50" s="6">
        <v>2066.79</v>
      </c>
      <c r="E50" s="2"/>
      <c r="F50" s="7">
        <f t="shared" si="20"/>
        <v>0.26236789824118212</v>
      </c>
      <c r="G50" s="2"/>
      <c r="H50" s="6">
        <v>3080</v>
      </c>
      <c r="I50" s="2"/>
      <c r="J50" s="7">
        <f t="shared" si="21"/>
        <v>0.21623139567537208</v>
      </c>
      <c r="K50" s="2"/>
      <c r="L50" s="6">
        <f t="shared" si="22"/>
        <v>-1013.21</v>
      </c>
      <c r="M50" s="2"/>
      <c r="N50" s="7">
        <f t="shared" si="23"/>
        <v>-0.32896428571428571</v>
      </c>
      <c r="O50" s="11"/>
      <c r="P50" s="6">
        <v>12607.65</v>
      </c>
      <c r="Q50" s="2"/>
      <c r="R50" s="7">
        <f t="shared" si="24"/>
        <v>9.327688277878424E-3</v>
      </c>
      <c r="S50" s="2"/>
      <c r="T50" s="6">
        <v>18171</v>
      </c>
      <c r="U50" s="2"/>
      <c r="V50" s="7">
        <f t="shared" si="25"/>
        <v>6.4835251880190192E-3</v>
      </c>
      <c r="W50" s="2"/>
      <c r="X50" s="6">
        <f t="shared" si="26"/>
        <v>-5563.35</v>
      </c>
      <c r="Y50" s="2"/>
      <c r="Z50" s="7">
        <f t="shared" si="27"/>
        <v>-0.30616641901931652</v>
      </c>
    </row>
    <row r="51" spans="1:26" s="24" customFormat="1" hidden="1" outlineLevel="2" x14ac:dyDescent="0.3">
      <c r="A51" s="27"/>
      <c r="B51" s="11" t="str">
        <f>CONCATENATE("          ", "6006", " - ", "TEMPORARY PART TIME")</f>
        <v xml:space="preserve">          6006 - TEMPORARY PART TIME</v>
      </c>
      <c r="C51" s="11"/>
      <c r="D51" s="6"/>
      <c r="E51" s="2"/>
      <c r="F51" s="7">
        <f t="shared" si="20"/>
        <v>0</v>
      </c>
      <c r="G51" s="2"/>
      <c r="H51" s="6">
        <v>0</v>
      </c>
      <c r="I51" s="2"/>
      <c r="J51" s="7">
        <f t="shared" si="21"/>
        <v>0</v>
      </c>
      <c r="K51" s="2"/>
      <c r="L51" s="6">
        <f t="shared" si="22"/>
        <v>0</v>
      </c>
      <c r="M51" s="2"/>
      <c r="N51" s="7">
        <f t="shared" si="23"/>
        <v>0</v>
      </c>
      <c r="O51" s="11"/>
      <c r="P51" s="6"/>
      <c r="Q51" s="2"/>
      <c r="R51" s="7">
        <f t="shared" si="24"/>
        <v>0</v>
      </c>
      <c r="S51" s="2"/>
      <c r="T51" s="6">
        <v>0</v>
      </c>
      <c r="U51" s="2"/>
      <c r="V51" s="7">
        <f t="shared" si="25"/>
        <v>0</v>
      </c>
      <c r="W51" s="2"/>
      <c r="X51" s="6">
        <f t="shared" si="26"/>
        <v>0</v>
      </c>
      <c r="Y51" s="2"/>
      <c r="Z51" s="7">
        <f t="shared" si="27"/>
        <v>0</v>
      </c>
    </row>
    <row r="52" spans="1:26" s="24" customFormat="1" hidden="1" outlineLevel="2" x14ac:dyDescent="0.3">
      <c r="A52" s="27"/>
      <c r="B52" s="11" t="str">
        <f>CONCATENATE("          ", "6007", " - ", "STUDENT HOURLY")</f>
        <v xml:space="preserve">          6007 - STUDENT HOURLY</v>
      </c>
      <c r="C52" s="11"/>
      <c r="D52" s="6">
        <v>1280.8</v>
      </c>
      <c r="E52" s="2"/>
      <c r="F52" s="7">
        <f t="shared" si="20"/>
        <v>0.16259068607226959</v>
      </c>
      <c r="G52" s="2"/>
      <c r="H52" s="6">
        <v>0</v>
      </c>
      <c r="I52" s="2"/>
      <c r="J52" s="7">
        <f t="shared" si="21"/>
        <v>0</v>
      </c>
      <c r="K52" s="2"/>
      <c r="L52" s="6">
        <f t="shared" si="22"/>
        <v>1280.8</v>
      </c>
      <c r="M52" s="2"/>
      <c r="N52" s="7">
        <f t="shared" si="23"/>
        <v>0</v>
      </c>
      <c r="O52" s="11"/>
      <c r="P52" s="6">
        <v>17624.75</v>
      </c>
      <c r="Q52" s="2"/>
      <c r="R52" s="7">
        <f t="shared" si="24"/>
        <v>1.303955725099743E-2</v>
      </c>
      <c r="S52" s="2"/>
      <c r="T52" s="6">
        <v>13384</v>
      </c>
      <c r="U52" s="2"/>
      <c r="V52" s="7">
        <f t="shared" si="25"/>
        <v>4.7754939803228529E-3</v>
      </c>
      <c r="W52" s="2"/>
      <c r="X52" s="6">
        <f t="shared" si="26"/>
        <v>4240.75</v>
      </c>
      <c r="Y52" s="2"/>
      <c r="Z52" s="7">
        <f t="shared" si="27"/>
        <v>0.31685221159593546</v>
      </c>
    </row>
    <row r="53" spans="1:26" s="24" customFormat="1" hidden="1" outlineLevel="2" x14ac:dyDescent="0.3">
      <c r="A53" s="27"/>
      <c r="B53" s="11" t="str">
        <f>CONCATENATE("          ", "6008", " - ", "STUDENT HOURLY-FICA EXEMPT")</f>
        <v xml:space="preserve">          6008 - STUDENT HOURLY-FICA EXEMPT</v>
      </c>
      <c r="C53" s="11"/>
      <c r="D53" s="6"/>
      <c r="E53" s="2"/>
      <c r="F53" s="7">
        <f t="shared" si="20"/>
        <v>0</v>
      </c>
      <c r="G53" s="2"/>
      <c r="H53" s="6">
        <v>896</v>
      </c>
      <c r="I53" s="2"/>
      <c r="J53" s="7">
        <f t="shared" si="21"/>
        <v>6.2903678741926428E-2</v>
      </c>
      <c r="K53" s="2"/>
      <c r="L53" s="6">
        <f t="shared" si="22"/>
        <v>-896</v>
      </c>
      <c r="M53" s="2"/>
      <c r="N53" s="7">
        <f t="shared" si="23"/>
        <v>-1</v>
      </c>
      <c r="O53" s="11"/>
      <c r="P53" s="6">
        <v>3966.48</v>
      </c>
      <c r="Q53" s="2"/>
      <c r="R53" s="7">
        <f t="shared" si="24"/>
        <v>2.9345745638909085E-3</v>
      </c>
      <c r="S53" s="2"/>
      <c r="T53" s="6">
        <v>15456</v>
      </c>
      <c r="U53" s="2"/>
      <c r="V53" s="7">
        <f t="shared" si="25"/>
        <v>5.5147963956866412E-3</v>
      </c>
      <c r="W53" s="2"/>
      <c r="X53" s="6">
        <f t="shared" si="26"/>
        <v>-11489.52</v>
      </c>
      <c r="Y53" s="2"/>
      <c r="Z53" s="7">
        <f t="shared" si="27"/>
        <v>-0.74336956521739128</v>
      </c>
    </row>
    <row r="54" spans="1:26" s="24" customFormat="1" hidden="1" outlineLevel="2" x14ac:dyDescent="0.3">
      <c r="A54" s="27"/>
      <c r="B54" s="11" t="str">
        <f>CONCATENATE("          ", "6009", " - ", "TEMPORARY-SEASONAL")</f>
        <v xml:space="preserve">          6009 - TEMPORARY-SEASONAL</v>
      </c>
      <c r="C54" s="11"/>
      <c r="D54" s="6"/>
      <c r="E54" s="2"/>
      <c r="F54" s="7">
        <f t="shared" si="20"/>
        <v>0</v>
      </c>
      <c r="G54" s="2"/>
      <c r="H54" s="6">
        <v>0</v>
      </c>
      <c r="I54" s="2"/>
      <c r="J54" s="7">
        <f t="shared" si="21"/>
        <v>0</v>
      </c>
      <c r="K54" s="2"/>
      <c r="L54" s="6">
        <f t="shared" si="22"/>
        <v>0</v>
      </c>
      <c r="M54" s="2"/>
      <c r="N54" s="7">
        <f t="shared" si="23"/>
        <v>0</v>
      </c>
      <c r="O54" s="11"/>
      <c r="P54" s="6"/>
      <c r="Q54" s="2"/>
      <c r="R54" s="7">
        <f t="shared" si="24"/>
        <v>0</v>
      </c>
      <c r="S54" s="2"/>
      <c r="T54" s="6">
        <v>0</v>
      </c>
      <c r="U54" s="2"/>
      <c r="V54" s="7">
        <f t="shared" si="25"/>
        <v>0</v>
      </c>
      <c r="W54" s="2"/>
      <c r="X54" s="6">
        <f t="shared" si="26"/>
        <v>0</v>
      </c>
      <c r="Y54" s="2"/>
      <c r="Z54" s="7">
        <f t="shared" si="27"/>
        <v>0</v>
      </c>
    </row>
    <row r="55" spans="1:26" s="24" customFormat="1" hidden="1" outlineLevel="2" x14ac:dyDescent="0.3">
      <c r="A55" s="27"/>
      <c r="B55" s="11" t="str">
        <f>CONCATENATE("          ", "6010", " - ", "GRATUITY")</f>
        <v xml:space="preserve">          6010 - GRATUITY</v>
      </c>
      <c r="C55" s="11"/>
      <c r="D55" s="6"/>
      <c r="E55" s="2"/>
      <c r="F55" s="7">
        <f t="shared" si="20"/>
        <v>0</v>
      </c>
      <c r="G55" s="2"/>
      <c r="H55" s="6">
        <v>0</v>
      </c>
      <c r="I55" s="2"/>
      <c r="J55" s="7">
        <f t="shared" si="21"/>
        <v>0</v>
      </c>
      <c r="K55" s="2"/>
      <c r="L55" s="6">
        <f t="shared" si="22"/>
        <v>0</v>
      </c>
      <c r="M55" s="2"/>
      <c r="N55" s="7">
        <f t="shared" si="23"/>
        <v>0</v>
      </c>
      <c r="O55" s="11"/>
      <c r="P55" s="6"/>
      <c r="Q55" s="2"/>
      <c r="R55" s="7">
        <f t="shared" si="24"/>
        <v>0</v>
      </c>
      <c r="S55" s="2"/>
      <c r="T55" s="6">
        <v>0</v>
      </c>
      <c r="U55" s="2"/>
      <c r="V55" s="7">
        <f t="shared" si="25"/>
        <v>0</v>
      </c>
      <c r="W55" s="2"/>
      <c r="X55" s="6">
        <f t="shared" si="26"/>
        <v>0</v>
      </c>
      <c r="Y55" s="2"/>
      <c r="Z55" s="7">
        <f t="shared" si="27"/>
        <v>0</v>
      </c>
    </row>
    <row r="56" spans="1:26" s="29" customFormat="1" outlineLevel="1" collapsed="1" x14ac:dyDescent="0.3">
      <c r="A56" s="28"/>
      <c r="B56" s="14" t="str">
        <f>CONCATENATE("     ","Advertising/Promo                                 ")</f>
        <v xml:space="preserve">     Advertising/Promo                                 </v>
      </c>
      <c r="C56" s="14"/>
      <c r="D56" s="1">
        <f>SUM(OSRRefD22_2x_0)</f>
        <v>0.66</v>
      </c>
      <c r="E56" s="1"/>
      <c r="F56" s="5">
        <f t="shared" ref="F56:F71" si="28">IF(D$12=0,0,D56/D$12)</f>
        <v>8.3783457844860976E-5</v>
      </c>
      <c r="G56" s="1"/>
      <c r="H56" s="1">
        <f>SUM(OSRRefH22_2x_0)</f>
        <v>100</v>
      </c>
      <c r="I56" s="1"/>
      <c r="J56" s="5">
        <f t="shared" ref="J56:J71" si="29">IF(H$12=0,0,H56/H$12)</f>
        <v>7.0204998595900028E-3</v>
      </c>
      <c r="K56" s="1"/>
      <c r="L56" s="1">
        <f t="shared" ref="L56:L71" si="30">+D56-H56</f>
        <v>-99.34</v>
      </c>
      <c r="M56" s="1"/>
      <c r="N56" s="5">
        <f t="shared" ref="N56:N71" si="31">IF(H56=0,0,L56/H56)</f>
        <v>-0.99340000000000006</v>
      </c>
      <c r="O56" s="14"/>
      <c r="P56" s="1">
        <f>SUM(OSRRefP22_2x_0)</f>
        <v>233.71</v>
      </c>
      <c r="Q56" s="1"/>
      <c r="R56" s="5">
        <f t="shared" ref="R56:R71" si="32">IF(P$12=0,0,P56/P$12)</f>
        <v>1.7290883133835145E-4</v>
      </c>
      <c r="S56" s="1"/>
      <c r="T56" s="1">
        <f>SUM(OSRRefT22_2x_0)</f>
        <v>2100</v>
      </c>
      <c r="U56" s="1"/>
      <c r="V56" s="5">
        <f t="shared" ref="V56:V71" si="33">IF(T$12=0,0,T56/T$12)</f>
        <v>7.4929298854438061E-4</v>
      </c>
      <c r="W56" s="1"/>
      <c r="X56" s="1">
        <f t="shared" ref="X56:X71" si="34">+P56-T56</f>
        <v>-1866.29</v>
      </c>
      <c r="Y56" s="1"/>
      <c r="Z56" s="5">
        <f t="shared" ref="Z56:Z71" si="35">IF(T56=0,0,X56/T56)</f>
        <v>-0.88870952380952384</v>
      </c>
    </row>
    <row r="57" spans="1:26" s="24" customFormat="1" hidden="1" outlineLevel="2" x14ac:dyDescent="0.3">
      <c r="A57" s="27"/>
      <c r="B57" s="11" t="str">
        <f>CONCATENATE("          ", "6362", " - ", "ADVERTISING EXPENSE")</f>
        <v xml:space="preserve">          6362 - ADVERTISING EXPENSE</v>
      </c>
      <c r="C57" s="11"/>
      <c r="D57" s="6">
        <v>0.66</v>
      </c>
      <c r="E57" s="2"/>
      <c r="F57" s="7">
        <f t="shared" si="28"/>
        <v>8.3783457844860976E-5</v>
      </c>
      <c r="G57" s="2"/>
      <c r="H57" s="6">
        <v>100</v>
      </c>
      <c r="I57" s="2"/>
      <c r="J57" s="7">
        <f t="shared" si="29"/>
        <v>7.0204998595900028E-3</v>
      </c>
      <c r="K57" s="2"/>
      <c r="L57" s="6">
        <f t="shared" si="30"/>
        <v>-99.34</v>
      </c>
      <c r="M57" s="2"/>
      <c r="N57" s="7">
        <f t="shared" si="31"/>
        <v>-0.99340000000000006</v>
      </c>
      <c r="O57" s="11"/>
      <c r="P57" s="6">
        <v>233.71</v>
      </c>
      <c r="Q57" s="2"/>
      <c r="R57" s="7">
        <f t="shared" si="32"/>
        <v>1.7290883133835145E-4</v>
      </c>
      <c r="S57" s="2"/>
      <c r="T57" s="6">
        <v>2100</v>
      </c>
      <c r="U57" s="2"/>
      <c r="V57" s="7">
        <f t="shared" si="33"/>
        <v>7.4929298854438061E-4</v>
      </c>
      <c r="W57" s="2"/>
      <c r="X57" s="6">
        <f t="shared" si="34"/>
        <v>-1866.29</v>
      </c>
      <c r="Y57" s="2"/>
      <c r="Z57" s="7">
        <f t="shared" si="35"/>
        <v>-0.88870952380952384</v>
      </c>
    </row>
    <row r="58" spans="1:26" s="29" customFormat="1" outlineLevel="1" collapsed="1" x14ac:dyDescent="0.3">
      <c r="A58" s="28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SUM(OSRRefD22_3x_0)</f>
        <v>0</v>
      </c>
      <c r="E58" s="1"/>
      <c r="F58" s="5">
        <f t="shared" si="28"/>
        <v>0</v>
      </c>
      <c r="G58" s="1"/>
      <c r="H58" s="1">
        <f>SUM(OSRRefH22_3x_0)</f>
        <v>50</v>
      </c>
      <c r="I58" s="1"/>
      <c r="J58" s="5">
        <f t="shared" si="29"/>
        <v>3.5102499297950014E-3</v>
      </c>
      <c r="K58" s="1"/>
      <c r="L58" s="1">
        <f t="shared" si="30"/>
        <v>-50</v>
      </c>
      <c r="M58" s="1"/>
      <c r="N58" s="5">
        <f t="shared" si="31"/>
        <v>-1</v>
      </c>
      <c r="O58" s="14"/>
      <c r="P58" s="1">
        <f>SUM(OSRRefP22_3x_0)</f>
        <v>0</v>
      </c>
      <c r="Q58" s="1"/>
      <c r="R58" s="5">
        <f t="shared" si="32"/>
        <v>0</v>
      </c>
      <c r="S58" s="1"/>
      <c r="T58" s="1">
        <f>SUM(OSRRefT22_3x_0)</f>
        <v>250</v>
      </c>
      <c r="U58" s="1"/>
      <c r="V58" s="5">
        <f t="shared" si="33"/>
        <v>8.9201546255283413E-5</v>
      </c>
      <c r="W58" s="1"/>
      <c r="X58" s="1">
        <f t="shared" si="34"/>
        <v>-250</v>
      </c>
      <c r="Y58" s="1"/>
      <c r="Z58" s="5">
        <f t="shared" si="35"/>
        <v>-1</v>
      </c>
    </row>
    <row r="59" spans="1:26" s="24" customFormat="1" hidden="1" outlineLevel="2" x14ac:dyDescent="0.3">
      <c r="A59" s="27"/>
      <c r="B59" s="11" t="str">
        <f>CONCATENATE("          ", "6277", " - ", "EMPLOYEE APPRECIATION")</f>
        <v xml:space="preserve">          6277 - EMPLOYEE APPRECIATION</v>
      </c>
      <c r="C59" s="11"/>
      <c r="D59" s="6"/>
      <c r="E59" s="2"/>
      <c r="F59" s="7">
        <f t="shared" si="28"/>
        <v>0</v>
      </c>
      <c r="G59" s="2"/>
      <c r="H59" s="6">
        <v>50</v>
      </c>
      <c r="I59" s="2"/>
      <c r="J59" s="7">
        <f t="shared" si="29"/>
        <v>3.5102499297950014E-3</v>
      </c>
      <c r="K59" s="2"/>
      <c r="L59" s="6">
        <f t="shared" si="30"/>
        <v>-50</v>
      </c>
      <c r="M59" s="2"/>
      <c r="N59" s="7">
        <f t="shared" si="31"/>
        <v>-1</v>
      </c>
      <c r="O59" s="11"/>
      <c r="P59" s="6"/>
      <c r="Q59" s="2"/>
      <c r="R59" s="7">
        <f t="shared" si="32"/>
        <v>0</v>
      </c>
      <c r="S59" s="2"/>
      <c r="T59" s="6">
        <v>250</v>
      </c>
      <c r="U59" s="2"/>
      <c r="V59" s="7">
        <f t="shared" si="33"/>
        <v>8.9201546255283413E-5</v>
      </c>
      <c r="W59" s="2"/>
      <c r="X59" s="6">
        <f t="shared" si="34"/>
        <v>-250</v>
      </c>
      <c r="Y59" s="2"/>
      <c r="Z59" s="7">
        <f t="shared" si="35"/>
        <v>-1</v>
      </c>
    </row>
    <row r="60" spans="1:26" s="29" customFormat="1" outlineLevel="1" collapsed="1" x14ac:dyDescent="0.3">
      <c r="A60" s="28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SUM(OSRRefD22_4x_0)</f>
        <v>91.26</v>
      </c>
      <c r="E60" s="1"/>
      <c r="F60" s="5">
        <f t="shared" si="28"/>
        <v>1.1584967216548503E-2</v>
      </c>
      <c r="G60" s="1"/>
      <c r="H60" s="1">
        <f>SUM(OSRRefH22_4x_0)</f>
        <v>100</v>
      </c>
      <c r="I60" s="1"/>
      <c r="J60" s="5">
        <f t="shared" si="29"/>
        <v>7.0204998595900028E-3</v>
      </c>
      <c r="K60" s="1"/>
      <c r="L60" s="1">
        <f t="shared" si="30"/>
        <v>-8.7399999999999949</v>
      </c>
      <c r="M60" s="1"/>
      <c r="N60" s="5">
        <f t="shared" si="31"/>
        <v>-8.739999999999995E-2</v>
      </c>
      <c r="O60" s="14"/>
      <c r="P60" s="1">
        <f>SUM(OSRRefP22_4x_0)</f>
        <v>456.3</v>
      </c>
      <c r="Q60" s="1"/>
      <c r="R60" s="5">
        <f t="shared" si="32"/>
        <v>3.375906026258601E-4</v>
      </c>
      <c r="S60" s="1"/>
      <c r="T60" s="1">
        <f>SUM(OSRRefT22_4x_0)</f>
        <v>500</v>
      </c>
      <c r="U60" s="1"/>
      <c r="V60" s="5">
        <f t="shared" si="33"/>
        <v>1.7840309251056683E-4</v>
      </c>
      <c r="W60" s="1"/>
      <c r="X60" s="1">
        <f t="shared" si="34"/>
        <v>-43.699999999999989</v>
      </c>
      <c r="Y60" s="1"/>
      <c r="Z60" s="5">
        <f t="shared" si="35"/>
        <v>-8.7399999999999978E-2</v>
      </c>
    </row>
    <row r="61" spans="1:26" s="24" customFormat="1" hidden="1" outlineLevel="2" x14ac:dyDescent="0.3">
      <c r="A61" s="27"/>
      <c r="B61" s="11" t="str">
        <f>CONCATENATE("          ", "6351", " - ", "EQUIPMENT RENTAL")</f>
        <v xml:space="preserve">          6351 - EQUIPMENT RENTAL</v>
      </c>
      <c r="C61" s="11"/>
      <c r="D61" s="6">
        <v>91.26</v>
      </c>
      <c r="E61" s="2"/>
      <c r="F61" s="7">
        <f t="shared" si="28"/>
        <v>1.1584967216548503E-2</v>
      </c>
      <c r="G61" s="2"/>
      <c r="H61" s="6">
        <v>100</v>
      </c>
      <c r="I61" s="2"/>
      <c r="J61" s="7">
        <f t="shared" si="29"/>
        <v>7.0204998595900028E-3</v>
      </c>
      <c r="K61" s="2"/>
      <c r="L61" s="6">
        <f t="shared" si="30"/>
        <v>-8.7399999999999949</v>
      </c>
      <c r="M61" s="2"/>
      <c r="N61" s="7">
        <f t="shared" si="31"/>
        <v>-8.739999999999995E-2</v>
      </c>
      <c r="O61" s="11"/>
      <c r="P61" s="6">
        <v>456.3</v>
      </c>
      <c r="Q61" s="2"/>
      <c r="R61" s="7">
        <f t="shared" si="32"/>
        <v>3.375906026258601E-4</v>
      </c>
      <c r="S61" s="2"/>
      <c r="T61" s="6">
        <v>500</v>
      </c>
      <c r="U61" s="2"/>
      <c r="V61" s="7">
        <f t="shared" si="33"/>
        <v>1.7840309251056683E-4</v>
      </c>
      <c r="W61" s="2"/>
      <c r="X61" s="6">
        <f t="shared" si="34"/>
        <v>-43.699999999999989</v>
      </c>
      <c r="Y61" s="2"/>
      <c r="Z61" s="7">
        <f t="shared" si="35"/>
        <v>-8.7399999999999978E-2</v>
      </c>
    </row>
    <row r="62" spans="1:26" s="29" customFormat="1" outlineLevel="1" collapsed="1" x14ac:dyDescent="0.3">
      <c r="A62" s="28"/>
      <c r="B62" s="14" t="str">
        <f>CONCATENATE("     ","Freight out/Postage                               ")</f>
        <v xml:space="preserve">     Freight out/Postage                               </v>
      </c>
      <c r="C62" s="14"/>
      <c r="D62" s="1">
        <f>SUM(OSRRefD22_5x_0)</f>
        <v>2119.1</v>
      </c>
      <c r="E62" s="1"/>
      <c r="F62" s="5">
        <f t="shared" si="28"/>
        <v>0.26900837199855282</v>
      </c>
      <c r="G62" s="1"/>
      <c r="H62" s="1">
        <f>SUM(OSRRefH22_5x_0)</f>
        <v>3000</v>
      </c>
      <c r="I62" s="1"/>
      <c r="J62" s="5">
        <f t="shared" si="29"/>
        <v>0.21061499578770007</v>
      </c>
      <c r="K62" s="1"/>
      <c r="L62" s="1">
        <f t="shared" si="30"/>
        <v>-880.90000000000009</v>
      </c>
      <c r="M62" s="1"/>
      <c r="N62" s="5">
        <f t="shared" si="31"/>
        <v>-0.29363333333333336</v>
      </c>
      <c r="O62" s="14"/>
      <c r="P62" s="1">
        <f>SUM(OSRRefP22_5x_0)</f>
        <v>2512.85</v>
      </c>
      <c r="Q62" s="1"/>
      <c r="R62" s="5">
        <f t="shared" si="32"/>
        <v>1.859115813737437E-3</v>
      </c>
      <c r="S62" s="1"/>
      <c r="T62" s="1">
        <f>SUM(OSRRefT22_5x_0)</f>
        <v>6400</v>
      </c>
      <c r="U62" s="1"/>
      <c r="V62" s="5">
        <f t="shared" si="33"/>
        <v>2.283559584135255E-3</v>
      </c>
      <c r="W62" s="1"/>
      <c r="X62" s="1">
        <f t="shared" si="34"/>
        <v>-3887.15</v>
      </c>
      <c r="Y62" s="1"/>
      <c r="Z62" s="5">
        <f t="shared" si="35"/>
        <v>-0.60736718749999996</v>
      </c>
    </row>
    <row r="63" spans="1:26" s="24" customFormat="1" hidden="1" outlineLevel="2" x14ac:dyDescent="0.3">
      <c r="A63" s="27"/>
      <c r="B63" s="11" t="str">
        <f>CONCATENATE("          ", "6305", " - ", "FREIGHT OUT")</f>
        <v xml:space="preserve">          6305 - FREIGHT OUT</v>
      </c>
      <c r="C63" s="11"/>
      <c r="D63" s="6">
        <v>2119.1</v>
      </c>
      <c r="E63" s="2"/>
      <c r="F63" s="7">
        <f t="shared" si="28"/>
        <v>0.26900837199855282</v>
      </c>
      <c r="G63" s="2"/>
      <c r="H63" s="6">
        <v>3000</v>
      </c>
      <c r="I63" s="2"/>
      <c r="J63" s="7">
        <f t="shared" si="29"/>
        <v>0.21061499578770007</v>
      </c>
      <c r="K63" s="2"/>
      <c r="L63" s="6">
        <f t="shared" si="30"/>
        <v>-880.90000000000009</v>
      </c>
      <c r="M63" s="2"/>
      <c r="N63" s="7">
        <f t="shared" si="31"/>
        <v>-0.29363333333333336</v>
      </c>
      <c r="O63" s="11"/>
      <c r="P63" s="6">
        <v>2512.85</v>
      </c>
      <c r="Q63" s="2"/>
      <c r="R63" s="7">
        <f t="shared" si="32"/>
        <v>1.859115813737437E-3</v>
      </c>
      <c r="S63" s="2"/>
      <c r="T63" s="6">
        <v>6400</v>
      </c>
      <c r="U63" s="2"/>
      <c r="V63" s="7">
        <f t="shared" si="33"/>
        <v>2.283559584135255E-3</v>
      </c>
      <c r="W63" s="2"/>
      <c r="X63" s="6">
        <f t="shared" si="34"/>
        <v>-3887.15</v>
      </c>
      <c r="Y63" s="2"/>
      <c r="Z63" s="7">
        <f t="shared" si="35"/>
        <v>-0.60736718749999996</v>
      </c>
    </row>
    <row r="64" spans="1:26" s="29" customFormat="1" outlineLevel="1" collapsed="1" x14ac:dyDescent="0.3">
      <c r="A64" s="28"/>
      <c r="B64" s="14" t="str">
        <f>CONCATENATE("     ","General                                           ")</f>
        <v xml:space="preserve">     General                                           </v>
      </c>
      <c r="C64" s="14"/>
      <c r="D64" s="1">
        <f>SUM(OSRRefD22_6x_0)</f>
        <v>0</v>
      </c>
      <c r="E64" s="1"/>
      <c r="F64" s="5">
        <f t="shared" si="28"/>
        <v>0</v>
      </c>
      <c r="G64" s="1"/>
      <c r="H64" s="1">
        <f>SUM(OSRRefH22_6x_0)</f>
        <v>500</v>
      </c>
      <c r="I64" s="1"/>
      <c r="J64" s="5">
        <f t="shared" si="29"/>
        <v>3.5102499297950014E-2</v>
      </c>
      <c r="K64" s="1"/>
      <c r="L64" s="1">
        <f t="shared" si="30"/>
        <v>-500</v>
      </c>
      <c r="M64" s="1"/>
      <c r="N64" s="5">
        <f t="shared" si="31"/>
        <v>-1</v>
      </c>
      <c r="O64" s="14"/>
      <c r="P64" s="1">
        <f>SUM(OSRRefP22_6x_0)</f>
        <v>0</v>
      </c>
      <c r="Q64" s="1"/>
      <c r="R64" s="5">
        <f t="shared" si="32"/>
        <v>0</v>
      </c>
      <c r="S64" s="1"/>
      <c r="T64" s="1">
        <f>SUM(OSRRefT22_6x_0)</f>
        <v>625</v>
      </c>
      <c r="U64" s="1"/>
      <c r="V64" s="5">
        <f t="shared" si="33"/>
        <v>2.2300386563820851E-4</v>
      </c>
      <c r="W64" s="1"/>
      <c r="X64" s="1">
        <f t="shared" si="34"/>
        <v>-625</v>
      </c>
      <c r="Y64" s="1"/>
      <c r="Z64" s="5">
        <f t="shared" si="35"/>
        <v>-1</v>
      </c>
    </row>
    <row r="65" spans="1:26" s="24" customFormat="1" hidden="1" outlineLevel="2" x14ac:dyDescent="0.3">
      <c r="A65" s="27"/>
      <c r="B65" s="11" t="str">
        <f>CONCATENATE("          ", "6279", " - ", "GENERAL EXPENSE")</f>
        <v xml:space="preserve">          6279 - GENERAL EXPENSE</v>
      </c>
      <c r="C65" s="11"/>
      <c r="D65" s="6"/>
      <c r="E65" s="2"/>
      <c r="F65" s="7">
        <f t="shared" si="28"/>
        <v>0</v>
      </c>
      <c r="G65" s="2"/>
      <c r="H65" s="6">
        <v>500</v>
      </c>
      <c r="I65" s="2"/>
      <c r="J65" s="7">
        <f t="shared" si="29"/>
        <v>3.5102499297950014E-2</v>
      </c>
      <c r="K65" s="2"/>
      <c r="L65" s="6">
        <f t="shared" si="30"/>
        <v>-500</v>
      </c>
      <c r="M65" s="2"/>
      <c r="N65" s="7">
        <f t="shared" si="31"/>
        <v>-1</v>
      </c>
      <c r="O65" s="11"/>
      <c r="P65" s="6"/>
      <c r="Q65" s="2"/>
      <c r="R65" s="7">
        <f t="shared" si="32"/>
        <v>0</v>
      </c>
      <c r="S65" s="2"/>
      <c r="T65" s="6">
        <v>625</v>
      </c>
      <c r="U65" s="2"/>
      <c r="V65" s="7">
        <f t="shared" si="33"/>
        <v>2.2300386563820851E-4</v>
      </c>
      <c r="W65" s="2"/>
      <c r="X65" s="6">
        <f t="shared" si="34"/>
        <v>-625</v>
      </c>
      <c r="Y65" s="2"/>
      <c r="Z65" s="7">
        <f t="shared" si="35"/>
        <v>-1</v>
      </c>
    </row>
    <row r="66" spans="1:26" s="29" customFormat="1" outlineLevel="1" collapsed="1" x14ac:dyDescent="0.3">
      <c r="A66" s="28"/>
      <c r="B66" s="14" t="str">
        <f>CONCATENATE("     ","Inventory Adjustment                              ")</f>
        <v xml:space="preserve">     Inventory Adjustment                              </v>
      </c>
      <c r="C66" s="14"/>
      <c r="D66" s="1">
        <f>SUM(OSRRefD22_7x_0)</f>
        <v>1000</v>
      </c>
      <c r="E66" s="1"/>
      <c r="F66" s="5">
        <f t="shared" si="28"/>
        <v>0.1269446330982742</v>
      </c>
      <c r="G66" s="1"/>
      <c r="H66" s="1">
        <f>SUM(OSRRefH22_7x_0)</f>
        <v>1000</v>
      </c>
      <c r="I66" s="1"/>
      <c r="J66" s="5">
        <f t="shared" si="29"/>
        <v>7.0204998595900028E-2</v>
      </c>
      <c r="K66" s="1"/>
      <c r="L66" s="1">
        <f t="shared" si="30"/>
        <v>0</v>
      </c>
      <c r="M66" s="1"/>
      <c r="N66" s="5">
        <f t="shared" si="31"/>
        <v>0</v>
      </c>
      <c r="O66" s="14"/>
      <c r="P66" s="1">
        <f>SUM(OSRRefP22_7x_0)</f>
        <v>5000</v>
      </c>
      <c r="Q66" s="1"/>
      <c r="R66" s="5">
        <f t="shared" si="32"/>
        <v>3.6992176487602463E-3</v>
      </c>
      <c r="S66" s="1"/>
      <c r="T66" s="1">
        <f>SUM(OSRRefT22_7x_0)</f>
        <v>5000</v>
      </c>
      <c r="U66" s="1"/>
      <c r="V66" s="5">
        <f t="shared" si="33"/>
        <v>1.7840309251056681E-3</v>
      </c>
      <c r="W66" s="1"/>
      <c r="X66" s="1">
        <f t="shared" si="34"/>
        <v>0</v>
      </c>
      <c r="Y66" s="1"/>
      <c r="Z66" s="5">
        <f t="shared" si="35"/>
        <v>0</v>
      </c>
    </row>
    <row r="67" spans="1:26" s="24" customFormat="1" hidden="1" outlineLevel="2" x14ac:dyDescent="0.3">
      <c r="A67" s="27"/>
      <c r="B67" s="11" t="str">
        <f>CONCATENATE("          ", "6408", " - ", "INVENTORY ADJUSTMENT")</f>
        <v xml:space="preserve">          6408 - INVENTORY ADJUSTMENT</v>
      </c>
      <c r="C67" s="11"/>
      <c r="D67" s="6">
        <v>1000</v>
      </c>
      <c r="E67" s="2"/>
      <c r="F67" s="7">
        <f t="shared" si="28"/>
        <v>0.1269446330982742</v>
      </c>
      <c r="G67" s="2"/>
      <c r="H67" s="6">
        <v>1000</v>
      </c>
      <c r="I67" s="2"/>
      <c r="J67" s="7">
        <f t="shared" si="29"/>
        <v>7.0204998595900028E-2</v>
      </c>
      <c r="K67" s="2"/>
      <c r="L67" s="6">
        <f t="shared" si="30"/>
        <v>0</v>
      </c>
      <c r="M67" s="2"/>
      <c r="N67" s="7">
        <f t="shared" si="31"/>
        <v>0</v>
      </c>
      <c r="O67" s="11"/>
      <c r="P67" s="6">
        <v>5000</v>
      </c>
      <c r="Q67" s="2"/>
      <c r="R67" s="7">
        <f t="shared" si="32"/>
        <v>3.6992176487602463E-3</v>
      </c>
      <c r="S67" s="2"/>
      <c r="T67" s="6">
        <v>5000</v>
      </c>
      <c r="U67" s="2"/>
      <c r="V67" s="7">
        <f t="shared" si="33"/>
        <v>1.7840309251056681E-3</v>
      </c>
      <c r="W67" s="2"/>
      <c r="X67" s="6">
        <f t="shared" si="34"/>
        <v>0</v>
      </c>
      <c r="Y67" s="2"/>
      <c r="Z67" s="7">
        <f t="shared" si="35"/>
        <v>0</v>
      </c>
    </row>
    <row r="68" spans="1:26" s="29" customFormat="1" outlineLevel="1" collapsed="1" x14ac:dyDescent="0.3">
      <c r="A68" s="28"/>
      <c r="B68" s="14" t="str">
        <f>CONCATENATE("     ","Repair and Maintenance                            ")</f>
        <v xml:space="preserve">     Repair and Maintenance                            </v>
      </c>
      <c r="C68" s="14"/>
      <c r="D68" s="1">
        <f>SUM(OSRRefD22_8x_0)</f>
        <v>21</v>
      </c>
      <c r="E68" s="1"/>
      <c r="F68" s="5">
        <f t="shared" si="28"/>
        <v>2.665837295063758E-3</v>
      </c>
      <c r="G68" s="1"/>
      <c r="H68" s="1">
        <f>SUM(OSRRefH22_8x_0)</f>
        <v>80</v>
      </c>
      <c r="I68" s="1"/>
      <c r="J68" s="5">
        <f t="shared" si="29"/>
        <v>5.6163998876720021E-3</v>
      </c>
      <c r="K68" s="1"/>
      <c r="L68" s="1">
        <f t="shared" si="30"/>
        <v>-59</v>
      </c>
      <c r="M68" s="1"/>
      <c r="N68" s="5">
        <f t="shared" si="31"/>
        <v>-0.73750000000000004</v>
      </c>
      <c r="O68" s="14"/>
      <c r="P68" s="1">
        <f>SUM(OSRRefP22_8x_0)</f>
        <v>5854.44</v>
      </c>
      <c r="Q68" s="1"/>
      <c r="R68" s="5">
        <f t="shared" si="32"/>
        <v>4.3313695543215867E-3</v>
      </c>
      <c r="S68" s="1"/>
      <c r="T68" s="1">
        <f>SUM(OSRRefT22_8x_0)</f>
        <v>400</v>
      </c>
      <c r="U68" s="1"/>
      <c r="V68" s="5">
        <f t="shared" si="33"/>
        <v>1.4272247400845344E-4</v>
      </c>
      <c r="W68" s="1"/>
      <c r="X68" s="1">
        <f t="shared" si="34"/>
        <v>5454.44</v>
      </c>
      <c r="Y68" s="1"/>
      <c r="Z68" s="5">
        <f t="shared" si="35"/>
        <v>13.636099999999999</v>
      </c>
    </row>
    <row r="69" spans="1:26" s="24" customFormat="1" hidden="1" outlineLevel="2" x14ac:dyDescent="0.3">
      <c r="A69" s="27"/>
      <c r="B69" s="11" t="str">
        <f>CONCATENATE("          ", "6371", " - ", "COMPUTER SOFTWARE MAINTENANCE")</f>
        <v xml:space="preserve">          6371 - COMPUTER SOFTWARE MAINTENANCE</v>
      </c>
      <c r="C69" s="11"/>
      <c r="D69" s="6"/>
      <c r="E69" s="2"/>
      <c r="F69" s="7">
        <f t="shared" si="28"/>
        <v>0</v>
      </c>
      <c r="G69" s="2"/>
      <c r="H69" s="6"/>
      <c r="I69" s="2"/>
      <c r="J69" s="7">
        <f t="shared" si="29"/>
        <v>0</v>
      </c>
      <c r="K69" s="2"/>
      <c r="L69" s="6">
        <f t="shared" si="30"/>
        <v>0</v>
      </c>
      <c r="M69" s="2"/>
      <c r="N69" s="7">
        <f t="shared" si="31"/>
        <v>0</v>
      </c>
      <c r="O69" s="11"/>
      <c r="P69" s="6">
        <v>5775</v>
      </c>
      <c r="Q69" s="2"/>
      <c r="R69" s="7">
        <f t="shared" si="32"/>
        <v>4.2725963843180843E-3</v>
      </c>
      <c r="S69" s="2"/>
      <c r="T69" s="6"/>
      <c r="U69" s="2"/>
      <c r="V69" s="7">
        <f t="shared" si="33"/>
        <v>0</v>
      </c>
      <c r="W69" s="2"/>
      <c r="X69" s="6">
        <f t="shared" si="34"/>
        <v>5775</v>
      </c>
      <c r="Y69" s="2"/>
      <c r="Z69" s="7">
        <f t="shared" si="35"/>
        <v>0</v>
      </c>
    </row>
    <row r="70" spans="1:26" s="24" customFormat="1" hidden="1" outlineLevel="2" x14ac:dyDescent="0.3">
      <c r="A70" s="27"/>
      <c r="B70" s="11" t="str">
        <f>CONCATENATE("          ", "6373", " - ", "MAINTENANCE CONTRACTS")</f>
        <v xml:space="preserve">          6373 - MAINTENANCE CONTRACTS</v>
      </c>
      <c r="C70" s="11"/>
      <c r="D70" s="6">
        <v>21</v>
      </c>
      <c r="E70" s="2"/>
      <c r="F70" s="7">
        <f t="shared" si="28"/>
        <v>2.665837295063758E-3</v>
      </c>
      <c r="G70" s="2"/>
      <c r="H70" s="6">
        <v>40</v>
      </c>
      <c r="I70" s="2"/>
      <c r="J70" s="7">
        <f t="shared" si="29"/>
        <v>2.808199943836001E-3</v>
      </c>
      <c r="K70" s="2"/>
      <c r="L70" s="6">
        <f t="shared" si="30"/>
        <v>-19</v>
      </c>
      <c r="M70" s="2"/>
      <c r="N70" s="7">
        <f t="shared" si="31"/>
        <v>-0.47499999999999998</v>
      </c>
      <c r="O70" s="11"/>
      <c r="P70" s="6">
        <v>79.44</v>
      </c>
      <c r="Q70" s="2"/>
      <c r="R70" s="7">
        <f t="shared" si="32"/>
        <v>5.8773170003502793E-5</v>
      </c>
      <c r="S70" s="2"/>
      <c r="T70" s="6">
        <v>200</v>
      </c>
      <c r="U70" s="2"/>
      <c r="V70" s="7">
        <f t="shared" si="33"/>
        <v>7.136123700422672E-5</v>
      </c>
      <c r="W70" s="2"/>
      <c r="X70" s="6">
        <f t="shared" si="34"/>
        <v>-120.56</v>
      </c>
      <c r="Y70" s="2"/>
      <c r="Z70" s="7">
        <f t="shared" si="35"/>
        <v>-0.6028</v>
      </c>
    </row>
    <row r="71" spans="1:26" s="24" customFormat="1" hidden="1" outlineLevel="2" x14ac:dyDescent="0.3">
      <c r="A71" s="27"/>
      <c r="B71" s="11" t="str">
        <f>CONCATENATE("          ", "6375", " - ", "OUTSIDE REPAIRS &amp; MAINTENANCE")</f>
        <v xml:space="preserve">          6375 - OUTSIDE REPAIRS &amp; MAINTENANCE</v>
      </c>
      <c r="C71" s="11"/>
      <c r="D71" s="6"/>
      <c r="E71" s="2"/>
      <c r="F71" s="7">
        <f t="shared" si="28"/>
        <v>0</v>
      </c>
      <c r="G71" s="2"/>
      <c r="H71" s="6">
        <v>40</v>
      </c>
      <c r="I71" s="2"/>
      <c r="J71" s="7">
        <f t="shared" si="29"/>
        <v>2.808199943836001E-3</v>
      </c>
      <c r="K71" s="2"/>
      <c r="L71" s="6">
        <f t="shared" si="30"/>
        <v>-40</v>
      </c>
      <c r="M71" s="2"/>
      <c r="N71" s="7">
        <f t="shared" si="31"/>
        <v>-1</v>
      </c>
      <c r="O71" s="11"/>
      <c r="P71" s="6"/>
      <c r="Q71" s="2"/>
      <c r="R71" s="7">
        <f t="shared" si="32"/>
        <v>0</v>
      </c>
      <c r="S71" s="2"/>
      <c r="T71" s="6">
        <v>200</v>
      </c>
      <c r="U71" s="2"/>
      <c r="V71" s="7">
        <f t="shared" si="33"/>
        <v>7.136123700422672E-5</v>
      </c>
      <c r="W71" s="2"/>
      <c r="X71" s="6">
        <f t="shared" si="34"/>
        <v>-200</v>
      </c>
      <c r="Y71" s="2"/>
      <c r="Z71" s="7">
        <f t="shared" si="35"/>
        <v>-1</v>
      </c>
    </row>
    <row r="72" spans="1:26" s="29" customFormat="1" outlineLevel="1" collapsed="1" x14ac:dyDescent="0.3">
      <c r="A72" s="28"/>
      <c r="B72" s="14" t="str">
        <f>CONCATENATE("     ","Subscriptions &amp; Dues                              ")</f>
        <v xml:space="preserve">     Subscriptions &amp; Dues                              </v>
      </c>
      <c r="C72" s="14"/>
      <c r="D72" s="1">
        <f>SUM(OSRRefD22_9x_0)</f>
        <v>148.66</v>
      </c>
      <c r="E72" s="1"/>
      <c r="F72" s="5">
        <f t="shared" ref="F72:F76" si="36">IF(D$12=0,0,D72/D$12)</f>
        <v>1.8871589156389441E-2</v>
      </c>
      <c r="G72" s="1"/>
      <c r="H72" s="1">
        <f>SUM(OSRRefH22_9x_0)</f>
        <v>300</v>
      </c>
      <c r="I72" s="1"/>
      <c r="J72" s="5">
        <f t="shared" ref="J72:J76" si="37">IF(H$12=0,0,H72/H$12)</f>
        <v>2.1061499578770009E-2</v>
      </c>
      <c r="K72" s="1"/>
      <c r="L72" s="1">
        <f t="shared" ref="L72:L76" si="38">+D72-H72</f>
        <v>-151.34</v>
      </c>
      <c r="M72" s="1"/>
      <c r="N72" s="5">
        <f t="shared" ref="N72:N76" si="39">IF(H72=0,0,L72/H72)</f>
        <v>-0.50446666666666673</v>
      </c>
      <c r="O72" s="14"/>
      <c r="P72" s="1">
        <f>SUM(OSRRefP22_9x_0)</f>
        <v>1225.5</v>
      </c>
      <c r="Q72" s="1"/>
      <c r="R72" s="5">
        <f t="shared" ref="R72:R76" si="40">IF(P$12=0,0,P72/P$12)</f>
        <v>9.066782457111364E-4</v>
      </c>
      <c r="S72" s="1"/>
      <c r="T72" s="1">
        <f>SUM(OSRRefT22_9x_0)</f>
        <v>1500</v>
      </c>
      <c r="U72" s="1"/>
      <c r="V72" s="5">
        <f t="shared" ref="V72:V76" si="41">IF(T$12=0,0,T72/T$12)</f>
        <v>5.3520927753170045E-4</v>
      </c>
      <c r="W72" s="1"/>
      <c r="X72" s="1">
        <f t="shared" ref="X72:X76" si="42">+P72-T72</f>
        <v>-274.5</v>
      </c>
      <c r="Y72" s="1"/>
      <c r="Z72" s="5">
        <f t="shared" ref="Z72:Z76" si="43">IF(T72=0,0,X72/T72)</f>
        <v>-0.183</v>
      </c>
    </row>
    <row r="73" spans="1:26" s="24" customFormat="1" hidden="1" outlineLevel="2" x14ac:dyDescent="0.3">
      <c r="A73" s="27"/>
      <c r="B73" s="11" t="str">
        <f>CONCATENATE("          ", "6258", " - ", "MEMBERSHIP DUES")</f>
        <v xml:space="preserve">          6258 - MEMBERSHIP DUES</v>
      </c>
      <c r="C73" s="11"/>
      <c r="D73" s="6">
        <v>148.66</v>
      </c>
      <c r="E73" s="2"/>
      <c r="F73" s="7">
        <f t="shared" si="36"/>
        <v>1.8871589156389441E-2</v>
      </c>
      <c r="G73" s="2"/>
      <c r="H73" s="6">
        <v>300</v>
      </c>
      <c r="I73" s="2"/>
      <c r="J73" s="7">
        <f t="shared" si="37"/>
        <v>2.1061499578770009E-2</v>
      </c>
      <c r="K73" s="2"/>
      <c r="L73" s="6">
        <f t="shared" si="38"/>
        <v>-151.34</v>
      </c>
      <c r="M73" s="2"/>
      <c r="N73" s="7">
        <f t="shared" si="39"/>
        <v>-0.50446666666666673</v>
      </c>
      <c r="O73" s="11"/>
      <c r="P73" s="6">
        <v>1225.5</v>
      </c>
      <c r="Q73" s="2"/>
      <c r="R73" s="7">
        <f t="shared" si="40"/>
        <v>9.066782457111364E-4</v>
      </c>
      <c r="S73" s="2"/>
      <c r="T73" s="6">
        <v>1500</v>
      </c>
      <c r="U73" s="2"/>
      <c r="V73" s="7">
        <f t="shared" si="41"/>
        <v>5.3520927753170045E-4</v>
      </c>
      <c r="W73" s="2"/>
      <c r="X73" s="6">
        <f t="shared" si="42"/>
        <v>-274.5</v>
      </c>
      <c r="Y73" s="2"/>
      <c r="Z73" s="7">
        <f t="shared" si="43"/>
        <v>-0.183</v>
      </c>
    </row>
    <row r="74" spans="1:26" s="29" customFormat="1" outlineLevel="1" collapsed="1" x14ac:dyDescent="0.3">
      <c r="A74" s="28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SUM(OSRRefD22_10x_0)</f>
        <v>207.4</v>
      </c>
      <c r="E74" s="1"/>
      <c r="F74" s="5">
        <f t="shared" si="36"/>
        <v>2.6328316904582066E-2</v>
      </c>
      <c r="G74" s="1"/>
      <c r="H74" s="1">
        <f>SUM(OSRRefH22_10x_0)</f>
        <v>700</v>
      </c>
      <c r="I74" s="1"/>
      <c r="J74" s="5">
        <f t="shared" si="37"/>
        <v>4.914349901713002E-2</v>
      </c>
      <c r="K74" s="1"/>
      <c r="L74" s="1">
        <f t="shared" si="38"/>
        <v>-492.6</v>
      </c>
      <c r="M74" s="1"/>
      <c r="N74" s="5">
        <f t="shared" si="39"/>
        <v>-0.70371428571428574</v>
      </c>
      <c r="O74" s="14"/>
      <c r="P74" s="1">
        <f>SUM(OSRRefP22_10x_0)</f>
        <v>944.33</v>
      </c>
      <c r="Q74" s="1"/>
      <c r="R74" s="5">
        <f t="shared" si="40"/>
        <v>6.9865644045075267E-4</v>
      </c>
      <c r="S74" s="1"/>
      <c r="T74" s="1">
        <f>SUM(OSRRefT22_10x_0)</f>
        <v>3700</v>
      </c>
      <c r="U74" s="1"/>
      <c r="V74" s="5">
        <f t="shared" si="41"/>
        <v>1.3201828845781944E-3</v>
      </c>
      <c r="W74" s="1"/>
      <c r="X74" s="1">
        <f t="shared" si="42"/>
        <v>-2755.67</v>
      </c>
      <c r="Y74" s="1"/>
      <c r="Z74" s="5">
        <f t="shared" si="43"/>
        <v>-0.74477567567567571</v>
      </c>
    </row>
    <row r="75" spans="1:26" s="24" customFormat="1" hidden="1" outlineLevel="2" x14ac:dyDescent="0.3">
      <c r="A75" s="27"/>
      <c r="B75" s="11" t="str">
        <f>CONCATENATE("          ", "6241", " - ", "OFFICE EXPENSE")</f>
        <v xml:space="preserve">          6241 - OFFICE EXPENSE</v>
      </c>
      <c r="C75" s="11"/>
      <c r="D75" s="6">
        <v>207.4</v>
      </c>
      <c r="E75" s="2"/>
      <c r="F75" s="7">
        <f t="shared" si="36"/>
        <v>2.6328316904582066E-2</v>
      </c>
      <c r="G75" s="2"/>
      <c r="H75" s="6">
        <v>300</v>
      </c>
      <c r="I75" s="2"/>
      <c r="J75" s="7">
        <f t="shared" si="37"/>
        <v>2.1061499578770009E-2</v>
      </c>
      <c r="K75" s="2"/>
      <c r="L75" s="6">
        <f t="shared" si="38"/>
        <v>-92.6</v>
      </c>
      <c r="M75" s="2"/>
      <c r="N75" s="7">
        <f t="shared" si="39"/>
        <v>-0.30866666666666664</v>
      </c>
      <c r="O75" s="11"/>
      <c r="P75" s="6">
        <v>944.33</v>
      </c>
      <c r="Q75" s="2"/>
      <c r="R75" s="7">
        <f t="shared" si="40"/>
        <v>6.9865644045075267E-4</v>
      </c>
      <c r="S75" s="2"/>
      <c r="T75" s="6">
        <v>1800</v>
      </c>
      <c r="U75" s="2"/>
      <c r="V75" s="7">
        <f t="shared" si="41"/>
        <v>6.4225113303804059E-4</v>
      </c>
      <c r="W75" s="2"/>
      <c r="X75" s="6">
        <f t="shared" si="42"/>
        <v>-855.67</v>
      </c>
      <c r="Y75" s="2"/>
      <c r="Z75" s="7">
        <f t="shared" si="43"/>
        <v>-0.4753722222222222</v>
      </c>
    </row>
    <row r="76" spans="1:26" s="24" customFormat="1" hidden="1" outlineLevel="2" x14ac:dyDescent="0.3">
      <c r="A76" s="27"/>
      <c r="B76" s="11" t="str">
        <f>CONCATENATE("          ", "6247", " - ", "STORE SUPPLIES")</f>
        <v xml:space="preserve">          6247 - STORE SUPPLIES</v>
      </c>
      <c r="C76" s="11"/>
      <c r="D76" s="6"/>
      <c r="E76" s="2"/>
      <c r="F76" s="7">
        <f t="shared" si="36"/>
        <v>0</v>
      </c>
      <c r="G76" s="2"/>
      <c r="H76" s="6">
        <v>400</v>
      </c>
      <c r="I76" s="2"/>
      <c r="J76" s="7">
        <f t="shared" si="37"/>
        <v>2.8081999438360011E-2</v>
      </c>
      <c r="K76" s="2"/>
      <c r="L76" s="6">
        <f t="shared" si="38"/>
        <v>-400</v>
      </c>
      <c r="M76" s="2"/>
      <c r="N76" s="7">
        <f t="shared" si="39"/>
        <v>-1</v>
      </c>
      <c r="O76" s="11"/>
      <c r="P76" s="6"/>
      <c r="Q76" s="2"/>
      <c r="R76" s="7">
        <f t="shared" si="40"/>
        <v>0</v>
      </c>
      <c r="S76" s="2"/>
      <c r="T76" s="6">
        <v>1900</v>
      </c>
      <c r="U76" s="2"/>
      <c r="V76" s="7">
        <f t="shared" si="41"/>
        <v>6.7793175154015389E-4</v>
      </c>
      <c r="W76" s="2"/>
      <c r="X76" s="6">
        <f t="shared" si="42"/>
        <v>-1900</v>
      </c>
      <c r="Y76" s="2"/>
      <c r="Z76" s="7">
        <f t="shared" si="43"/>
        <v>-1</v>
      </c>
    </row>
    <row r="77" spans="1:26" s="29" customFormat="1" outlineLevel="1" collapsed="1" x14ac:dyDescent="0.3">
      <c r="A77" s="28"/>
      <c r="B77" s="14" t="str">
        <f>CONCATENATE("     ","Telephone/Data Lines                              ")</f>
        <v xml:space="preserve">     Telephone/Data Lines                              </v>
      </c>
      <c r="C77" s="14"/>
      <c r="D77" s="1">
        <f>SUM(OSRRefD22_11x_0)</f>
        <v>562.29999999999995</v>
      </c>
      <c r="E77" s="1"/>
      <c r="F77" s="5">
        <f t="shared" ref="F77:F79" si="44">IF(D$12=0,0,D77/D$12)</f>
        <v>7.1380967191159578E-2</v>
      </c>
      <c r="G77" s="1"/>
      <c r="H77" s="1">
        <f>SUM(OSRRefH22_11x_0)</f>
        <v>350</v>
      </c>
      <c r="I77" s="1"/>
      <c r="J77" s="5">
        <f t="shared" ref="J77:J79" si="45">IF(H$12=0,0,H77/H$12)</f>
        <v>2.457174950856501E-2</v>
      </c>
      <c r="K77" s="1"/>
      <c r="L77" s="1">
        <f t="shared" ref="L77:L79" si="46">+D77-H77</f>
        <v>212.29999999999995</v>
      </c>
      <c r="M77" s="1"/>
      <c r="N77" s="5">
        <f t="shared" ref="N77:N79" si="47">IF(H77=0,0,L77/H77)</f>
        <v>0.60657142857142843</v>
      </c>
      <c r="O77" s="14"/>
      <c r="P77" s="1">
        <f>SUM(OSRRefP22_11x_0)</f>
        <v>3017.35</v>
      </c>
      <c r="Q77" s="1"/>
      <c r="R77" s="5">
        <f t="shared" ref="R77:R79" si="48">IF(P$12=0,0,P77/P$12)</f>
        <v>2.2323668744973456E-3</v>
      </c>
      <c r="S77" s="1"/>
      <c r="T77" s="1">
        <f>SUM(OSRRefT22_11x_0)</f>
        <v>2100</v>
      </c>
      <c r="U77" s="1"/>
      <c r="V77" s="5">
        <f t="shared" ref="V77:V79" si="49">IF(T$12=0,0,T77/T$12)</f>
        <v>7.4929298854438061E-4</v>
      </c>
      <c r="W77" s="1"/>
      <c r="X77" s="1">
        <f t="shared" ref="X77:X79" si="50">+P77-T77</f>
        <v>917.34999999999991</v>
      </c>
      <c r="Y77" s="1"/>
      <c r="Z77" s="5">
        <f t="shared" ref="Z77:Z79" si="51">IF(T77=0,0,X77/T77)</f>
        <v>0.4368333333333333</v>
      </c>
    </row>
    <row r="78" spans="1:26" s="24" customFormat="1" hidden="1" outlineLevel="2" x14ac:dyDescent="0.3">
      <c r="A78" s="27"/>
      <c r="B78" s="11" t="str">
        <f>CONCATENATE("          ", "6303", " - ", "DATA PHONE LINES")</f>
        <v xml:space="preserve">          6303 - DATA PHONE LINES</v>
      </c>
      <c r="C78" s="11"/>
      <c r="D78" s="6"/>
      <c r="E78" s="2"/>
      <c r="F78" s="7">
        <f t="shared" si="44"/>
        <v>0</v>
      </c>
      <c r="G78" s="2"/>
      <c r="H78" s="6">
        <v>0</v>
      </c>
      <c r="I78" s="2"/>
      <c r="J78" s="7">
        <f t="shared" si="45"/>
        <v>0</v>
      </c>
      <c r="K78" s="2"/>
      <c r="L78" s="6">
        <f t="shared" si="46"/>
        <v>0</v>
      </c>
      <c r="M78" s="2"/>
      <c r="N78" s="7">
        <f t="shared" si="47"/>
        <v>0</v>
      </c>
      <c r="O78" s="11"/>
      <c r="P78" s="6">
        <v>295</v>
      </c>
      <c r="Q78" s="2"/>
      <c r="R78" s="7">
        <f t="shared" si="48"/>
        <v>2.1825384127685453E-4</v>
      </c>
      <c r="S78" s="2"/>
      <c r="T78" s="6">
        <v>0</v>
      </c>
      <c r="U78" s="2"/>
      <c r="V78" s="7">
        <f t="shared" si="49"/>
        <v>0</v>
      </c>
      <c r="W78" s="2"/>
      <c r="X78" s="6">
        <f t="shared" si="50"/>
        <v>295</v>
      </c>
      <c r="Y78" s="2"/>
      <c r="Z78" s="7">
        <f t="shared" si="51"/>
        <v>0</v>
      </c>
    </row>
    <row r="79" spans="1:26" s="24" customFormat="1" hidden="1" outlineLevel="2" x14ac:dyDescent="0.3">
      <c r="A79" s="27"/>
      <c r="B79" s="11" t="str">
        <f>CONCATENATE("          ", "6309", " - ", "TELEPHONE")</f>
        <v xml:space="preserve">          6309 - TELEPHONE</v>
      </c>
      <c r="C79" s="11"/>
      <c r="D79" s="6">
        <v>562.29999999999995</v>
      </c>
      <c r="E79" s="2"/>
      <c r="F79" s="7">
        <f t="shared" si="44"/>
        <v>7.1380967191159578E-2</v>
      </c>
      <c r="G79" s="2"/>
      <c r="H79" s="6">
        <v>350</v>
      </c>
      <c r="I79" s="2"/>
      <c r="J79" s="7">
        <f t="shared" si="45"/>
        <v>2.457174950856501E-2</v>
      </c>
      <c r="K79" s="2"/>
      <c r="L79" s="6">
        <f t="shared" si="46"/>
        <v>212.29999999999995</v>
      </c>
      <c r="M79" s="2"/>
      <c r="N79" s="7">
        <f t="shared" si="47"/>
        <v>0.60657142857142843</v>
      </c>
      <c r="O79" s="11"/>
      <c r="P79" s="6">
        <v>2722.35</v>
      </c>
      <c r="Q79" s="2"/>
      <c r="R79" s="7">
        <f t="shared" si="48"/>
        <v>2.0141130332204911E-3</v>
      </c>
      <c r="S79" s="2"/>
      <c r="T79" s="6">
        <v>2100</v>
      </c>
      <c r="U79" s="2"/>
      <c r="V79" s="7">
        <f t="shared" si="49"/>
        <v>7.4929298854438061E-4</v>
      </c>
      <c r="W79" s="2"/>
      <c r="X79" s="6">
        <f t="shared" si="50"/>
        <v>622.34999999999991</v>
      </c>
      <c r="Y79" s="2"/>
      <c r="Z79" s="7">
        <f t="shared" si="51"/>
        <v>0.29635714285714282</v>
      </c>
    </row>
    <row r="80" spans="1:26" s="29" customFormat="1" outlineLevel="1" collapsed="1" x14ac:dyDescent="0.3">
      <c r="A80" s="28"/>
      <c r="B80" s="14" t="str">
        <f>CONCATENATE("     ","Training                                          ")</f>
        <v xml:space="preserve">     Training                                          </v>
      </c>
      <c r="C80" s="14"/>
      <c r="D80" s="1">
        <f>SUM(OSRRefD22_12x_0)</f>
        <v>0</v>
      </c>
      <c r="E80" s="1"/>
      <c r="F80" s="5">
        <f t="shared" ref="F80:F81" si="52">IF(D$12=0,0,D80/D$12)</f>
        <v>0</v>
      </c>
      <c r="G80" s="1"/>
      <c r="H80" s="1">
        <f>SUM(OSRRefH22_12x_0)</f>
        <v>0</v>
      </c>
      <c r="I80" s="1"/>
      <c r="J80" s="5">
        <f t="shared" ref="J80:J81" si="53">IF(H$12=0,0,H80/H$12)</f>
        <v>0</v>
      </c>
      <c r="K80" s="1"/>
      <c r="L80" s="1">
        <f t="shared" ref="L80:L81" si="54">+D80-H80</f>
        <v>0</v>
      </c>
      <c r="M80" s="1"/>
      <c r="N80" s="5">
        <f t="shared" ref="N80:N81" si="55">IF(H80=0,0,L80/H80)</f>
        <v>0</v>
      </c>
      <c r="O80" s="14"/>
      <c r="P80" s="1">
        <f>SUM(OSRRefP22_12x_0)</f>
        <v>0</v>
      </c>
      <c r="Q80" s="1"/>
      <c r="R80" s="5">
        <f t="shared" ref="R80:R81" si="56">IF(P$12=0,0,P80/P$12)</f>
        <v>0</v>
      </c>
      <c r="S80" s="1"/>
      <c r="T80" s="1">
        <f>SUM(OSRRefT22_12x_0)</f>
        <v>0</v>
      </c>
      <c r="U80" s="1"/>
      <c r="V80" s="5">
        <f t="shared" ref="V80:V81" si="57">IF(T$12=0,0,T80/T$12)</f>
        <v>0</v>
      </c>
      <c r="W80" s="1"/>
      <c r="X80" s="1">
        <f t="shared" ref="X80:X81" si="58">+P80-T80</f>
        <v>0</v>
      </c>
      <c r="Y80" s="1"/>
      <c r="Z80" s="5">
        <f t="shared" ref="Z80:Z81" si="59">IF(T80=0,0,X80/T80)</f>
        <v>0</v>
      </c>
    </row>
    <row r="81" spans="1:26" s="24" customFormat="1" hidden="1" outlineLevel="2" x14ac:dyDescent="0.3">
      <c r="A81" s="27"/>
      <c r="B81" s="11" t="str">
        <f>CONCATENATE("          ", "6376", " - ", "TRAINING")</f>
        <v xml:space="preserve">          6376 - TRAINING</v>
      </c>
      <c r="C81" s="11"/>
      <c r="D81" s="6"/>
      <c r="E81" s="2"/>
      <c r="F81" s="7">
        <f t="shared" si="52"/>
        <v>0</v>
      </c>
      <c r="G81" s="2"/>
      <c r="H81" s="6">
        <v>0</v>
      </c>
      <c r="I81" s="2"/>
      <c r="J81" s="7">
        <f t="shared" si="53"/>
        <v>0</v>
      </c>
      <c r="K81" s="2"/>
      <c r="L81" s="6">
        <f t="shared" si="54"/>
        <v>0</v>
      </c>
      <c r="M81" s="2"/>
      <c r="N81" s="7">
        <f t="shared" si="55"/>
        <v>0</v>
      </c>
      <c r="O81" s="11"/>
      <c r="P81" s="6"/>
      <c r="Q81" s="2"/>
      <c r="R81" s="7">
        <f t="shared" si="56"/>
        <v>0</v>
      </c>
      <c r="S81" s="2"/>
      <c r="T81" s="6">
        <v>0</v>
      </c>
      <c r="U81" s="2"/>
      <c r="V81" s="7">
        <f t="shared" si="57"/>
        <v>0</v>
      </c>
      <c r="W81" s="2"/>
      <c r="X81" s="6">
        <f t="shared" si="58"/>
        <v>0</v>
      </c>
      <c r="Y81" s="2"/>
      <c r="Z81" s="7">
        <f t="shared" si="59"/>
        <v>0</v>
      </c>
    </row>
    <row r="82" spans="1:26" s="63" customFormat="1" x14ac:dyDescent="0.3">
      <c r="A82" s="36"/>
      <c r="B82" s="36"/>
      <c r="C82" s="36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6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collapsed="1" x14ac:dyDescent="0.3">
      <c r="A83" s="10"/>
      <c r="B83" s="25" t="s">
        <v>293</v>
      </c>
      <c r="C83" s="10"/>
      <c r="D83" s="4">
        <f>SUM(OSRRefD25x_0)</f>
        <v>300.14</v>
      </c>
      <c r="E83" s="4"/>
      <c r="F83" s="12">
        <f t="shared" ref="F83:F87" si="60">IF(D$12=0,0,D83/D$12)</f>
        <v>3.8101162178116016E-2</v>
      </c>
      <c r="G83" s="4"/>
      <c r="H83" s="4">
        <f>SUM(OSRRefH25x_0)</f>
        <v>295</v>
      </c>
      <c r="I83" s="4"/>
      <c r="J83" s="12">
        <f t="shared" ref="J83:J87" si="61">IF(H$12=0,0,H83/H$12)</f>
        <v>2.0710474585790509E-2</v>
      </c>
      <c r="K83" s="4"/>
      <c r="L83" s="4">
        <f t="shared" ref="L83:L87" si="62">+D83-H83</f>
        <v>5.1399999999999864</v>
      </c>
      <c r="M83" s="4"/>
      <c r="N83" s="12">
        <f t="shared" ref="N83:N87" si="63">IF(H83=0,0,L83/H83)</f>
        <v>1.7423728813559275E-2</v>
      </c>
      <c r="O83" s="10"/>
      <c r="P83" s="4">
        <f>SUM(OSRRefP25x_0)</f>
        <v>189972.03</v>
      </c>
      <c r="Q83" s="4"/>
      <c r="R83" s="12">
        <f t="shared" ref="R83:R87" si="64">IF(P$12=0,0,P83/P$12)</f>
        <v>0.1405495772293622</v>
      </c>
      <c r="S83" s="4"/>
      <c r="T83" s="4">
        <f>SUM(OSRRefT25x_0)</f>
        <v>178304.5</v>
      </c>
      <c r="U83" s="4"/>
      <c r="V83" s="12">
        <f t="shared" ref="V83:V87" si="65">IF(T$12=0,0,T83/T$12)</f>
        <v>6.3620148417100716E-2</v>
      </c>
      <c r="W83" s="4"/>
      <c r="X83" s="4">
        <f t="shared" ref="X83:X87" si="66">+P83-T83</f>
        <v>11667.529999999999</v>
      </c>
      <c r="Y83" s="4"/>
      <c r="Z83" s="12">
        <f t="shared" ref="Z83:Z87" si="67">IF(T83=0,0,X83/T83)</f>
        <v>6.5435981705453311E-2</v>
      </c>
    </row>
    <row r="84" spans="1:26" s="24" customFormat="1" hidden="1" outlineLevel="1" x14ac:dyDescent="0.3">
      <c r="A84" s="44"/>
      <c r="B84" s="11" t="str">
        <f>CONCATENATE("          ", "9150", " - ", "MISC. INCOME")</f>
        <v xml:space="preserve">          9150 - MISC. INCOME</v>
      </c>
      <c r="C84" s="11"/>
      <c r="D84" s="2">
        <f>--300.14</f>
        <v>300.14</v>
      </c>
      <c r="E84" s="2"/>
      <c r="F84" s="19">
        <f t="shared" si="60"/>
        <v>3.8101162178116016E-2</v>
      </c>
      <c r="G84" s="2"/>
      <c r="H84" s="2">
        <v>295</v>
      </c>
      <c r="I84" s="2"/>
      <c r="J84" s="19">
        <f t="shared" si="61"/>
        <v>2.0710474585790509E-2</v>
      </c>
      <c r="K84" s="2"/>
      <c r="L84" s="2">
        <f t="shared" si="62"/>
        <v>5.1399999999999864</v>
      </c>
      <c r="M84" s="2"/>
      <c r="N84" s="19">
        <f t="shared" si="63"/>
        <v>1.7423728813559275E-2</v>
      </c>
      <c r="O84" s="11"/>
      <c r="P84" s="2">
        <f>--19313.26</f>
        <v>19313.259999999998</v>
      </c>
      <c r="Q84" s="2"/>
      <c r="R84" s="19">
        <f t="shared" si="64"/>
        <v>1.4288790449419062E-2</v>
      </c>
      <c r="S84" s="2"/>
      <c r="T84" s="2">
        <v>16324</v>
      </c>
      <c r="U84" s="2"/>
      <c r="V84" s="19">
        <f t="shared" si="65"/>
        <v>5.8245041642849852E-3</v>
      </c>
      <c r="W84" s="2"/>
      <c r="X84" s="2">
        <f t="shared" si="66"/>
        <v>2989.2599999999984</v>
      </c>
      <c r="Y84" s="2"/>
      <c r="Z84" s="19">
        <f t="shared" si="67"/>
        <v>0.18312055868659632</v>
      </c>
    </row>
    <row r="85" spans="1:26" s="24" customFormat="1" hidden="1" outlineLevel="1" x14ac:dyDescent="0.3">
      <c r="A85" s="44"/>
      <c r="B85" s="11" t="str">
        <f>CONCATENATE("          ", "9151", " - ", "MISC. INCOME")</f>
        <v xml:space="preserve">          9151 - MISC. INCOME</v>
      </c>
      <c r="C85" s="11"/>
      <c r="D85" s="2">
        <f t="shared" ref="D85:D87" si="68">0</f>
        <v>0</v>
      </c>
      <c r="E85" s="2"/>
      <c r="F85" s="19">
        <f t="shared" si="60"/>
        <v>0</v>
      </c>
      <c r="G85" s="2"/>
      <c r="H85" s="2"/>
      <c r="I85" s="2"/>
      <c r="J85" s="19">
        <f t="shared" si="61"/>
        <v>0</v>
      </c>
      <c r="K85" s="2"/>
      <c r="L85" s="2">
        <f t="shared" si="62"/>
        <v>0</v>
      </c>
      <c r="M85" s="2"/>
      <c r="N85" s="19">
        <f t="shared" si="63"/>
        <v>0</v>
      </c>
      <c r="O85" s="11"/>
      <c r="P85" s="2">
        <f>--168463.36</f>
        <v>168463.35999999999</v>
      </c>
      <c r="Q85" s="2"/>
      <c r="R85" s="19">
        <f t="shared" si="64"/>
        <v>0.12463652689629018</v>
      </c>
      <c r="S85" s="2"/>
      <c r="T85" s="2">
        <v>161980.5</v>
      </c>
      <c r="U85" s="2"/>
      <c r="V85" s="19">
        <f t="shared" si="65"/>
        <v>5.7795644252815734E-2</v>
      </c>
      <c r="W85" s="2"/>
      <c r="X85" s="2">
        <f t="shared" si="66"/>
        <v>6482.859999999986</v>
      </c>
      <c r="Y85" s="2"/>
      <c r="Z85" s="19">
        <f t="shared" si="67"/>
        <v>4.0022471840746178E-2</v>
      </c>
    </row>
    <row r="86" spans="1:26" s="24" customFormat="1" hidden="1" outlineLevel="1" x14ac:dyDescent="0.3">
      <c r="A86" s="44"/>
      <c r="B86" s="11" t="str">
        <f>CONCATENATE("          ", "9152", " - ", "MISC. INCOME")</f>
        <v xml:space="preserve">          9152 - MISC. INCOME</v>
      </c>
      <c r="C86" s="11"/>
      <c r="D86" s="2">
        <f t="shared" si="68"/>
        <v>0</v>
      </c>
      <c r="E86" s="2"/>
      <c r="F86" s="19">
        <f t="shared" si="60"/>
        <v>0</v>
      </c>
      <c r="G86" s="2"/>
      <c r="H86" s="2"/>
      <c r="I86" s="2"/>
      <c r="J86" s="19">
        <f t="shared" si="61"/>
        <v>0</v>
      </c>
      <c r="K86" s="2"/>
      <c r="L86" s="2">
        <f t="shared" si="62"/>
        <v>0</v>
      </c>
      <c r="M86" s="2"/>
      <c r="N86" s="19">
        <f t="shared" si="63"/>
        <v>0</v>
      </c>
      <c r="O86" s="11"/>
      <c r="P86" s="2">
        <f>--2195.41</f>
        <v>2195.41</v>
      </c>
      <c r="Q86" s="2"/>
      <c r="R86" s="19">
        <f t="shared" si="64"/>
        <v>1.6242598836529465E-3</v>
      </c>
      <c r="S86" s="2"/>
      <c r="T86" s="2"/>
      <c r="U86" s="2"/>
      <c r="V86" s="19">
        <f t="shared" si="65"/>
        <v>0</v>
      </c>
      <c r="W86" s="2"/>
      <c r="X86" s="2">
        <f t="shared" si="66"/>
        <v>2195.41</v>
      </c>
      <c r="Y86" s="2"/>
      <c r="Z86" s="19">
        <f t="shared" si="67"/>
        <v>0</v>
      </c>
    </row>
    <row r="87" spans="1:26" s="24" customFormat="1" hidden="1" outlineLevel="1" x14ac:dyDescent="0.3">
      <c r="A87" s="44"/>
      <c r="B87" s="11" t="str">
        <f>CONCATENATE("          ", "9160", " - ", "MISC. INCOME")</f>
        <v xml:space="preserve">          9160 - MISC. INCOME</v>
      </c>
      <c r="C87" s="11"/>
      <c r="D87" s="2">
        <f t="shared" si="68"/>
        <v>0</v>
      </c>
      <c r="E87" s="2"/>
      <c r="F87" s="19">
        <f t="shared" si="60"/>
        <v>0</v>
      </c>
      <c r="G87" s="2"/>
      <c r="H87" s="2">
        <v>0</v>
      </c>
      <c r="I87" s="2"/>
      <c r="J87" s="19">
        <f t="shared" si="61"/>
        <v>0</v>
      </c>
      <c r="K87" s="2"/>
      <c r="L87" s="2">
        <f t="shared" si="62"/>
        <v>0</v>
      </c>
      <c r="M87" s="2"/>
      <c r="N87" s="19">
        <f t="shared" si="63"/>
        <v>0</v>
      </c>
      <c r="O87" s="11"/>
      <c r="P87" s="2">
        <f>0</f>
        <v>0</v>
      </c>
      <c r="Q87" s="2"/>
      <c r="R87" s="19">
        <f t="shared" si="64"/>
        <v>0</v>
      </c>
      <c r="S87" s="2"/>
      <c r="T87" s="2">
        <v>0</v>
      </c>
      <c r="U87" s="2"/>
      <c r="V87" s="19">
        <f t="shared" si="65"/>
        <v>0</v>
      </c>
      <c r="W87" s="2"/>
      <c r="X87" s="2">
        <f t="shared" si="66"/>
        <v>0</v>
      </c>
      <c r="Y87" s="2"/>
      <c r="Z87" s="19">
        <f t="shared" si="67"/>
        <v>0</v>
      </c>
    </row>
    <row r="88" spans="1:26" x14ac:dyDescent="0.3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3">
      <c r="A89" s="10"/>
      <c r="B89" s="26" t="s">
        <v>277</v>
      </c>
      <c r="C89" s="26"/>
      <c r="D89" s="20">
        <f>+D31-D33+D83</f>
        <v>-37820.800000000017</v>
      </c>
      <c r="E89" s="13"/>
      <c r="F89" s="22">
        <f>IF(D$12=0,0,D89/D$12)</f>
        <v>-4.801147579483211</v>
      </c>
      <c r="G89" s="13"/>
      <c r="H89" s="20">
        <f>+H31-H33+H83</f>
        <v>-42653.564838989718</v>
      </c>
      <c r="I89" s="13"/>
      <c r="J89" s="22">
        <f>IF(H$12=0,0,H89/H$12)</f>
        <v>-2.9944934596314039</v>
      </c>
      <c r="K89" s="15"/>
      <c r="L89" s="20">
        <f>+D89-H89</f>
        <v>4832.7648389897004</v>
      </c>
      <c r="M89" s="15"/>
      <c r="N89" s="22">
        <f>IF(H89=0,0,L89/H89)</f>
        <v>-0.11330271824248696</v>
      </c>
      <c r="O89" s="25"/>
      <c r="P89" s="20">
        <f>+P31-P33+P83</f>
        <v>206427.48999999985</v>
      </c>
      <c r="Q89" s="13"/>
      <c r="R89" s="22">
        <f>IF(P$12=0,0,P89/P$12)</f>
        <v>0.15272404283945573</v>
      </c>
      <c r="S89" s="13"/>
      <c r="T89" s="20">
        <f>+T31-T33+T83</f>
        <v>682452.29476555646</v>
      </c>
      <c r="U89" s="13"/>
      <c r="V89" s="22">
        <f>IF(T$12=0,0,T89/T$12)</f>
        <v>0.24350319975421636</v>
      </c>
      <c r="W89" s="15"/>
      <c r="X89" s="20">
        <f>+P89-T89</f>
        <v>-476024.80476555659</v>
      </c>
      <c r="Y89" s="15"/>
      <c r="Z89" s="22">
        <f>IF(T89=0,0,X89/T89)</f>
        <v>-0.6975209965834841</v>
      </c>
    </row>
    <row r="90" spans="1:26" x14ac:dyDescent="0.3">
      <c r="A90" s="9"/>
      <c r="B90" s="10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3">
      <c r="A91" s="52"/>
      <c r="B91" s="10" t="s">
        <v>128</v>
      </c>
      <c r="C91" s="10"/>
      <c r="D91" s="4">
        <v>5668.33</v>
      </c>
      <c r="E91" s="4"/>
      <c r="F91" s="12">
        <f>IF(D$12=0,0,D91/D$12)</f>
        <v>0.71956407212994056</v>
      </c>
      <c r="G91" s="4"/>
      <c r="H91" s="4">
        <v>29726</v>
      </c>
      <c r="I91" s="4"/>
      <c r="J91" s="12">
        <f>IF(H$12=0,0,H91/H$12)</f>
        <v>2.0869137882617244</v>
      </c>
      <c r="K91" s="4"/>
      <c r="L91" s="4">
        <f>+D91-H91</f>
        <v>-24057.67</v>
      </c>
      <c r="M91" s="4"/>
      <c r="N91" s="12">
        <f>IF(H91=0,0,L91/H91)</f>
        <v>-0.80931406849222898</v>
      </c>
      <c r="O91" s="10"/>
      <c r="P91" s="4">
        <v>160995.85</v>
      </c>
      <c r="Q91" s="4"/>
      <c r="R91" s="12">
        <f>IF(P$12=0,0,P91/P$12)</f>
        <v>0.11911173793943146</v>
      </c>
      <c r="S91" s="4"/>
      <c r="T91" s="4">
        <v>350365</v>
      </c>
      <c r="U91" s="4"/>
      <c r="V91" s="12">
        <f>IF(T$12=0,0,T91/T$12)</f>
        <v>0.12501239901492947</v>
      </c>
      <c r="W91" s="4"/>
      <c r="X91" s="4">
        <f>+P91-T91</f>
        <v>-189369.15</v>
      </c>
      <c r="Y91" s="4"/>
      <c r="Z91" s="12">
        <f>IF(T91=0,0,X91/T91)</f>
        <v>-0.540491059323848</v>
      </c>
    </row>
    <row r="92" spans="1:26" x14ac:dyDescent="0.3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" thickBot="1" x14ac:dyDescent="0.35">
      <c r="A93" s="10"/>
      <c r="B93" s="26" t="s">
        <v>126</v>
      </c>
      <c r="C93" s="26"/>
      <c r="D93" s="33">
        <f>+D89-D91</f>
        <v>-43489.130000000019</v>
      </c>
      <c r="E93" s="13"/>
      <c r="F93" s="34">
        <f>IF(D$12=0,0,D93/D$12)</f>
        <v>-5.5207116516131514</v>
      </c>
      <c r="G93" s="13"/>
      <c r="H93" s="33">
        <f>+H89-H91</f>
        <v>-72379.564838989725</v>
      </c>
      <c r="I93" s="13"/>
      <c r="J93" s="34">
        <f>IF(H$12=0,0,H93/H$12)</f>
        <v>-5.0814072478931287</v>
      </c>
      <c r="K93" s="15"/>
      <c r="L93" s="33">
        <f>D93-H93</f>
        <v>28890.434838989706</v>
      </c>
      <c r="M93" s="15"/>
      <c r="N93" s="34">
        <f>IF(H93=0,0,L93/H93)</f>
        <v>-0.399151817274078</v>
      </c>
      <c r="O93" s="25"/>
      <c r="P93" s="33">
        <f>+P89-P91</f>
        <v>45431.639999999839</v>
      </c>
      <c r="Q93" s="13"/>
      <c r="R93" s="34">
        <f>IF(P$12=0,0,P93/P$12)</f>
        <v>3.3612304900024273E-2</v>
      </c>
      <c r="S93" s="13"/>
      <c r="T93" s="33">
        <f>+T89-T91</f>
        <v>332087.29476555646</v>
      </c>
      <c r="U93" s="13"/>
      <c r="V93" s="34">
        <f>IF(T$12=0,0,T93/T$12)</f>
        <v>0.11849080073928688</v>
      </c>
      <c r="W93" s="15"/>
      <c r="X93" s="33">
        <f>P93-T93</f>
        <v>-286655.65476555662</v>
      </c>
      <c r="Y93" s="15"/>
      <c r="Z93" s="34">
        <f>IF(T93=0,0,X93/T93)</f>
        <v>-0.86319368215494907</v>
      </c>
    </row>
    <row r="94" spans="1:26" ht="15" thickTop="1" x14ac:dyDescent="0.3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x14ac:dyDescent="0.3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" thickBot="1" x14ac:dyDescent="0.35">
      <c r="A96" s="10"/>
      <c r="B96" s="26" t="s">
        <v>294</v>
      </c>
      <c r="C96" s="26"/>
      <c r="D96" s="35">
        <f>SUM(D93:D95)</f>
        <v>-43489.130000000019</v>
      </c>
      <c r="E96" s="13"/>
      <c r="F96" s="32">
        <f>IF(D$12=0,0,D96/D$12)</f>
        <v>-5.5207116516131514</v>
      </c>
      <c r="G96" s="13"/>
      <c r="H96" s="35">
        <f>SUM(H93:H95)</f>
        <v>-72379.564838989725</v>
      </c>
      <c r="I96" s="13"/>
      <c r="J96" s="32">
        <f>IF(H$12=0,0,H96/H$12)</f>
        <v>-5.0814072478931287</v>
      </c>
      <c r="K96" s="15"/>
      <c r="L96" s="35">
        <f>+D96-H96</f>
        <v>28890.434838989706</v>
      </c>
      <c r="M96" s="15"/>
      <c r="N96" s="32">
        <f>IF(H96=0,0,L96/H96)</f>
        <v>-0.399151817274078</v>
      </c>
      <c r="O96" s="25"/>
      <c r="P96" s="35">
        <f>SUM(P93:P95)</f>
        <v>45431.639999999839</v>
      </c>
      <c r="Q96" s="13"/>
      <c r="R96" s="32">
        <f>IF(P$12=0,0,P96/P$12)</f>
        <v>3.3612304900024273E-2</v>
      </c>
      <c r="S96" s="13"/>
      <c r="T96" s="35">
        <f>SUM(T93:T95)</f>
        <v>332087.29476555646</v>
      </c>
      <c r="U96" s="13"/>
      <c r="V96" s="32">
        <f>IF(T$12=0,0,T96/T$12)</f>
        <v>0.11849080073928688</v>
      </c>
      <c r="W96" s="15"/>
      <c r="X96" s="35">
        <f>+P96-T96</f>
        <v>-286655.65476555662</v>
      </c>
      <c r="Y96" s="15"/>
      <c r="Z96" s="32">
        <f>IF(T96=0,0,X96/T96)</f>
        <v>-0.86319368215494907</v>
      </c>
    </row>
    <row r="97" spans="1:24" ht="15" thickTop="1" x14ac:dyDescent="0.3">
      <c r="A97" s="9"/>
      <c r="C97" s="9"/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3">
      <c r="A98" s="9"/>
      <c r="B98" s="60">
        <v>44543.753064895835</v>
      </c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  <row r="99" spans="1:24" x14ac:dyDescent="0.3">
      <c r="A99" s="9"/>
      <c r="B99" s="58" t="s">
        <v>56</v>
      </c>
      <c r="D99" s="17"/>
      <c r="E99" s="17"/>
      <c r="G99" s="17"/>
      <c r="H99" s="17"/>
      <c r="I99" s="17"/>
      <c r="J99" s="42"/>
      <c r="K99" s="17"/>
      <c r="L99" s="17"/>
      <c r="M99" s="17"/>
      <c r="P99" s="17"/>
      <c r="Q99" s="17"/>
      <c r="R99" s="42"/>
      <c r="S99" s="17"/>
      <c r="T99" s="17"/>
      <c r="U99" s="17"/>
      <c r="V99" s="42"/>
      <c r="W99" s="17"/>
      <c r="X99" s="17"/>
    </row>
    <row r="100" spans="1:24" x14ac:dyDescent="0.3">
      <c r="A100" s="9"/>
      <c r="B100" s="55"/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  <row r="101" spans="1:24" x14ac:dyDescent="0.3"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92D050"/>
    <outlinePr summaryBelow="0" summaryRight="0"/>
  </sheetPr>
  <dimension ref="A2:Z10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","311", " - ", "Textbooks")</f>
        <v>Department 311 - Textbooks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7287.61</v>
      </c>
      <c r="E12" s="4"/>
      <c r="F12" s="12"/>
      <c r="G12" s="4"/>
      <c r="H12" s="4">
        <f>SUM(OSRRefH13x_0)</f>
        <v>10190</v>
      </c>
      <c r="I12" s="4"/>
      <c r="J12" s="12"/>
      <c r="K12" s="4"/>
      <c r="L12" s="4">
        <f t="shared" ref="L12:L17" si="0">+D12-H12</f>
        <v>-2902.3900000000003</v>
      </c>
      <c r="M12" s="4"/>
      <c r="N12" s="12">
        <f t="shared" ref="N12:N17" si="1">IF(H12=0,0,L12/H12)</f>
        <v>-0.28482728164867521</v>
      </c>
      <c r="O12" s="10"/>
      <c r="P12" s="4">
        <f>SUM(OSRRefP13x_0)</f>
        <v>1015399.77</v>
      </c>
      <c r="Q12" s="4"/>
      <c r="R12" s="12"/>
      <c r="S12" s="4"/>
      <c r="T12" s="4">
        <f>SUM(OSRRefT13x_0)</f>
        <v>1882490</v>
      </c>
      <c r="U12" s="4"/>
      <c r="V12" s="12"/>
      <c r="W12" s="4"/>
      <c r="X12" s="4">
        <f t="shared" ref="X12:X17" si="2">+P12-T12</f>
        <v>-867090.23</v>
      </c>
      <c r="Y12" s="4"/>
      <c r="Z12" s="12">
        <f t="shared" ref="Z12:Z17" si="3">IF(T12=0,0,X12/T12)</f>
        <v>-0.46060814665682154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--6041.48</f>
        <v>6041.48</v>
      </c>
      <c r="E13" s="2"/>
      <c r="F13" s="19"/>
      <c r="G13" s="2"/>
      <c r="H13" s="2">
        <v>10190</v>
      </c>
      <c r="I13" s="2"/>
      <c r="J13" s="19"/>
      <c r="K13" s="2"/>
      <c r="L13" s="2">
        <f t="shared" si="0"/>
        <v>-4148.5200000000004</v>
      </c>
      <c r="M13" s="2"/>
      <c r="N13" s="19">
        <f t="shared" si="1"/>
        <v>-0.4071167811579981</v>
      </c>
      <c r="O13" s="11"/>
      <c r="P13" s="2">
        <f>--776030.32</f>
        <v>776030.32</v>
      </c>
      <c r="Q13" s="2"/>
      <c r="R13" s="19"/>
      <c r="S13" s="2"/>
      <c r="T13" s="2">
        <v>1882490</v>
      </c>
      <c r="U13" s="2"/>
      <c r="V13" s="19"/>
      <c r="W13" s="2"/>
      <c r="X13" s="2">
        <f t="shared" si="2"/>
        <v>-1106459.6800000002</v>
      </c>
      <c r="Y13" s="2"/>
      <c r="Z13" s="19">
        <f t="shared" si="3"/>
        <v>-0.58776390844041682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--2477.57</f>
        <v>2477.5700000000002</v>
      </c>
      <c r="E14" s="2"/>
      <c r="F14" s="19"/>
      <c r="G14" s="2"/>
      <c r="H14" s="2">
        <v>0</v>
      </c>
      <c r="I14" s="2"/>
      <c r="J14" s="19"/>
      <c r="K14" s="2"/>
      <c r="L14" s="2">
        <f t="shared" si="0"/>
        <v>2477.5700000000002</v>
      </c>
      <c r="M14" s="2"/>
      <c r="N14" s="19">
        <f t="shared" si="1"/>
        <v>0</v>
      </c>
      <c r="O14" s="11"/>
      <c r="P14" s="2">
        <f>--294371.91</f>
        <v>294371.90999999997</v>
      </c>
      <c r="Q14" s="2"/>
      <c r="R14" s="19"/>
      <c r="S14" s="2"/>
      <c r="T14" s="2">
        <v>0</v>
      </c>
      <c r="U14" s="2"/>
      <c r="V14" s="19"/>
      <c r="W14" s="2"/>
      <c r="X14" s="2">
        <f t="shared" si="2"/>
        <v>294371.90999999997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"4200", " - ", "TAXABLE RETURNS")</f>
        <v xml:space="preserve">          4200 - TAXABLE RETURNS</v>
      </c>
      <c r="C15" s="11"/>
      <c r="D15" s="2">
        <f>-652.65</f>
        <v>-652.65</v>
      </c>
      <c r="E15" s="2"/>
      <c r="F15" s="19"/>
      <c r="G15" s="2"/>
      <c r="H15" s="2"/>
      <c r="I15" s="2"/>
      <c r="J15" s="19"/>
      <c r="K15" s="2"/>
      <c r="L15" s="2">
        <f t="shared" si="0"/>
        <v>-652.65</v>
      </c>
      <c r="M15" s="2"/>
      <c r="N15" s="19">
        <f t="shared" si="1"/>
        <v>0</v>
      </c>
      <c r="O15" s="11"/>
      <c r="P15" s="2">
        <f>-28985.78</f>
        <v>-28985.78</v>
      </c>
      <c r="Q15" s="2"/>
      <c r="R15" s="19"/>
      <c r="S15" s="2"/>
      <c r="T15" s="2"/>
      <c r="U15" s="2"/>
      <c r="V15" s="19"/>
      <c r="W15" s="2"/>
      <c r="X15" s="2">
        <f t="shared" si="2"/>
        <v>-28985.78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"4300", " - ", "NON-TAX RETURNS")</f>
        <v xml:space="preserve">          4300 - NON-TAX RETURNS</v>
      </c>
      <c r="C16" s="11"/>
      <c r="D16" s="2">
        <f>-487.82</f>
        <v>-487.82</v>
      </c>
      <c r="E16" s="2"/>
      <c r="F16" s="19"/>
      <c r="G16" s="2"/>
      <c r="H16" s="2"/>
      <c r="I16" s="2"/>
      <c r="J16" s="19"/>
      <c r="K16" s="2"/>
      <c r="L16" s="2">
        <f t="shared" si="0"/>
        <v>-487.82</v>
      </c>
      <c r="M16" s="2"/>
      <c r="N16" s="19">
        <f t="shared" si="1"/>
        <v>0</v>
      </c>
      <c r="O16" s="11"/>
      <c r="P16" s="2">
        <f>-25392.98</f>
        <v>-25392.98</v>
      </c>
      <c r="Q16" s="2"/>
      <c r="R16" s="19"/>
      <c r="S16" s="2"/>
      <c r="T16" s="2"/>
      <c r="U16" s="2"/>
      <c r="V16" s="19"/>
      <c r="W16" s="2"/>
      <c r="X16" s="2">
        <f t="shared" si="2"/>
        <v>-25392.98</v>
      </c>
      <c r="Y16" s="2"/>
      <c r="Z16" s="19">
        <f t="shared" si="3"/>
        <v>0</v>
      </c>
    </row>
    <row r="17" spans="1:26" s="24" customFormat="1" hidden="1" outlineLevel="1" x14ac:dyDescent="0.3">
      <c r="A17" s="44"/>
      <c r="B17" s="11" t="str">
        <f>CONCATENATE("          ", "4500", " - ", "SALES DISCOUNT")</f>
        <v xml:space="preserve">          4500 - SALES DISCOUNT</v>
      </c>
      <c r="C17" s="11"/>
      <c r="D17" s="2">
        <f>-90.97</f>
        <v>-90.97</v>
      </c>
      <c r="E17" s="2"/>
      <c r="F17" s="19"/>
      <c r="G17" s="2"/>
      <c r="H17" s="2"/>
      <c r="I17" s="2"/>
      <c r="J17" s="19"/>
      <c r="K17" s="2"/>
      <c r="L17" s="2">
        <f t="shared" si="0"/>
        <v>-90.97</v>
      </c>
      <c r="M17" s="2"/>
      <c r="N17" s="19">
        <f t="shared" si="1"/>
        <v>0</v>
      </c>
      <c r="O17" s="11"/>
      <c r="P17" s="2">
        <f>-623.7</f>
        <v>-623.70000000000005</v>
      </c>
      <c r="Q17" s="2"/>
      <c r="R17" s="19"/>
      <c r="S17" s="2"/>
      <c r="T17" s="2"/>
      <c r="U17" s="2"/>
      <c r="V17" s="19"/>
      <c r="W17" s="2"/>
      <c r="X17" s="2">
        <f t="shared" si="2"/>
        <v>-623.70000000000005</v>
      </c>
      <c r="Y17" s="2"/>
      <c r="Z17" s="19">
        <f t="shared" si="3"/>
        <v>0</v>
      </c>
    </row>
    <row r="18" spans="1:26" x14ac:dyDescent="0.3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3">
      <c r="A19" s="10"/>
      <c r="B19" s="25" t="s">
        <v>257</v>
      </c>
      <c r="C19" s="10"/>
      <c r="D19" s="4">
        <f>SUM(OSRRefD16x_0)</f>
        <v>5116.3400000000074</v>
      </c>
      <c r="E19" s="4"/>
      <c r="F19" s="12">
        <f t="shared" ref="F19:F29" si="4">IF(D$12=0,0,D19/D$12)</f>
        <v>0.70206007182052932</v>
      </c>
      <c r="G19" s="4"/>
      <c r="H19" s="4">
        <f>SUM(OSRRefH16x_0)</f>
        <v>7362</v>
      </c>
      <c r="I19" s="4"/>
      <c r="J19" s="12">
        <f t="shared" ref="J19:J29" si="5">IF(H$12=0,0,H19/H$12)</f>
        <v>0.72247301275760545</v>
      </c>
      <c r="K19" s="4"/>
      <c r="L19" s="4">
        <f t="shared" ref="L19:L29" si="6">+D19-H19</f>
        <v>-2245.6599999999926</v>
      </c>
      <c r="M19" s="4"/>
      <c r="N19" s="12">
        <f t="shared" ref="N19:N29" si="7">IF(H19=0,0,L19/H19)</f>
        <v>-0.30503395816354151</v>
      </c>
      <c r="O19" s="10"/>
      <c r="P19" s="4">
        <f>SUM(OSRRefP16x_0)</f>
        <v>848534.21</v>
      </c>
      <c r="Q19" s="4"/>
      <c r="R19" s="12">
        <f t="shared" ref="R19:R29" si="8">IF(P$12=0,0,P19/P$12)</f>
        <v>0.83566515875811154</v>
      </c>
      <c r="S19" s="4"/>
      <c r="T19" s="4">
        <f>SUM(OSRRefT16x_0)</f>
        <v>1360098</v>
      </c>
      <c r="U19" s="4"/>
      <c r="V19" s="12">
        <f t="shared" ref="V19:V29" si="9">IF(T$12=0,0,T19/T$12)</f>
        <v>0.72249945550839578</v>
      </c>
      <c r="W19" s="4"/>
      <c r="X19" s="4">
        <f t="shared" ref="X19:X29" si="10">+P19-T19</f>
        <v>-511563.79000000004</v>
      </c>
      <c r="Y19" s="4"/>
      <c r="Z19" s="12">
        <f t="shared" ref="Z19:Z29" si="11">IF(T19=0,0,X19/T19)</f>
        <v>-0.37612274262589906</v>
      </c>
    </row>
    <row r="20" spans="1:26" s="24" customFormat="1" hidden="1" outlineLevel="1" x14ac:dyDescent="0.3">
      <c r="A20" s="44"/>
      <c r="B20" s="11" t="str">
        <f>CONCATENATE("          ", "5000", " - ", "PURCHASES @ COST")</f>
        <v xml:space="preserve">          5000 - PURCHASES @ COST</v>
      </c>
      <c r="C20" s="11"/>
      <c r="D20" s="2">
        <v>-202507.38</v>
      </c>
      <c r="E20" s="2"/>
      <c r="F20" s="19">
        <f t="shared" si="4"/>
        <v>-27.787900285553153</v>
      </c>
      <c r="G20" s="2"/>
      <c r="H20" s="2">
        <v>7362</v>
      </c>
      <c r="I20" s="2"/>
      <c r="J20" s="19">
        <f t="shared" si="5"/>
        <v>0.72247301275760545</v>
      </c>
      <c r="K20" s="2"/>
      <c r="L20" s="2">
        <f t="shared" si="6"/>
        <v>-209869.38</v>
      </c>
      <c r="M20" s="2"/>
      <c r="N20" s="19">
        <f t="shared" si="7"/>
        <v>-28.507114914425429</v>
      </c>
      <c r="O20" s="11"/>
      <c r="P20" s="2">
        <v>1087884.43</v>
      </c>
      <c r="Q20" s="2"/>
      <c r="R20" s="19">
        <f t="shared" si="8"/>
        <v>1.0713853421495259</v>
      </c>
      <c r="S20" s="2"/>
      <c r="T20" s="2">
        <v>1360098</v>
      </c>
      <c r="U20" s="2"/>
      <c r="V20" s="19">
        <f t="shared" si="9"/>
        <v>0.72249945550839578</v>
      </c>
      <c r="W20" s="2"/>
      <c r="X20" s="2">
        <f t="shared" si="10"/>
        <v>-272213.57000000007</v>
      </c>
      <c r="Y20" s="2"/>
      <c r="Z20" s="19">
        <f t="shared" si="11"/>
        <v>-0.20014261472335088</v>
      </c>
    </row>
    <row r="21" spans="1:26" s="24" customFormat="1" hidden="1" outlineLevel="1" x14ac:dyDescent="0.3">
      <c r="A21" s="44"/>
      <c r="B21" s="11" t="str">
        <f>CONCATENATE("          ", "5001", " - ", "PURCHASES @ COST-NEW TEXT")</f>
        <v xml:space="preserve">          5001 - PURCHASES @ COST-NEW TEXT</v>
      </c>
      <c r="C21" s="11"/>
      <c r="D21" s="2"/>
      <c r="E21" s="2"/>
      <c r="F21" s="19">
        <f t="shared" si="4"/>
        <v>0</v>
      </c>
      <c r="G21" s="2"/>
      <c r="H21" s="2"/>
      <c r="I21" s="2"/>
      <c r="J21" s="19">
        <f t="shared" si="5"/>
        <v>0</v>
      </c>
      <c r="K21" s="2"/>
      <c r="L21" s="2">
        <f t="shared" si="6"/>
        <v>0</v>
      </c>
      <c r="M21" s="2"/>
      <c r="N21" s="19">
        <f t="shared" si="7"/>
        <v>0</v>
      </c>
      <c r="O21" s="11"/>
      <c r="P21" s="2">
        <v>0</v>
      </c>
      <c r="Q21" s="2"/>
      <c r="R21" s="19">
        <f t="shared" si="8"/>
        <v>0</v>
      </c>
      <c r="S21" s="2"/>
      <c r="T21" s="2"/>
      <c r="U21" s="2"/>
      <c r="V21" s="19">
        <f t="shared" si="9"/>
        <v>0</v>
      </c>
      <c r="W21" s="2"/>
      <c r="X21" s="2">
        <f t="shared" si="10"/>
        <v>0</v>
      </c>
      <c r="Y21" s="2"/>
      <c r="Z21" s="19">
        <f t="shared" si="11"/>
        <v>0</v>
      </c>
    </row>
    <row r="22" spans="1:26" s="24" customFormat="1" hidden="1" outlineLevel="1" x14ac:dyDescent="0.3">
      <c r="A22" s="44"/>
      <c r="B22" s="11" t="str">
        <f>CONCATENATE("          ", "5002", " - ", "PURCHASES @ COST-USED TEXT")</f>
        <v xml:space="preserve">          5002 - PURCHASES @ COST-USED TEXT</v>
      </c>
      <c r="C22" s="11"/>
      <c r="D22" s="2"/>
      <c r="E22" s="2"/>
      <c r="F22" s="19">
        <f t="shared" si="4"/>
        <v>0</v>
      </c>
      <c r="G22" s="2"/>
      <c r="H22" s="2"/>
      <c r="I22" s="2"/>
      <c r="J22" s="19">
        <f t="shared" si="5"/>
        <v>0</v>
      </c>
      <c r="K22" s="2"/>
      <c r="L22" s="2">
        <f t="shared" si="6"/>
        <v>0</v>
      </c>
      <c r="M22" s="2"/>
      <c r="N22" s="19">
        <f t="shared" si="7"/>
        <v>0</v>
      </c>
      <c r="O22" s="11"/>
      <c r="P22" s="2">
        <v>0</v>
      </c>
      <c r="Q22" s="2"/>
      <c r="R22" s="19">
        <f t="shared" si="8"/>
        <v>0</v>
      </c>
      <c r="S22" s="2"/>
      <c r="T22" s="2"/>
      <c r="U22" s="2"/>
      <c r="V22" s="19">
        <f t="shared" si="9"/>
        <v>0</v>
      </c>
      <c r="W22" s="2"/>
      <c r="X22" s="2">
        <f t="shared" si="10"/>
        <v>0</v>
      </c>
      <c r="Y22" s="2"/>
      <c r="Z22" s="19">
        <f t="shared" si="11"/>
        <v>0</v>
      </c>
    </row>
    <row r="23" spans="1:26" s="24" customFormat="1" hidden="1" outlineLevel="1" x14ac:dyDescent="0.3">
      <c r="A23" s="44"/>
      <c r="B23" s="11" t="str">
        <f>CONCATENATE("          ", "5004", " - ", "PURCHASES @ COST-DIGITAL TEXT")</f>
        <v xml:space="preserve">          5004 - PURCHASES @ COST-DIGITAL TEXT</v>
      </c>
      <c r="C23" s="11"/>
      <c r="D23" s="2"/>
      <c r="E23" s="2"/>
      <c r="F23" s="19">
        <f t="shared" si="4"/>
        <v>0</v>
      </c>
      <c r="G23" s="2"/>
      <c r="H23" s="2"/>
      <c r="I23" s="2"/>
      <c r="J23" s="19">
        <f t="shared" si="5"/>
        <v>0</v>
      </c>
      <c r="K23" s="2"/>
      <c r="L23" s="2">
        <f t="shared" si="6"/>
        <v>0</v>
      </c>
      <c r="M23" s="2"/>
      <c r="N23" s="19">
        <f t="shared" si="7"/>
        <v>0</v>
      </c>
      <c r="O23" s="11"/>
      <c r="P23" s="2">
        <v>0</v>
      </c>
      <c r="Q23" s="2"/>
      <c r="R23" s="19">
        <f t="shared" si="8"/>
        <v>0</v>
      </c>
      <c r="S23" s="2"/>
      <c r="T23" s="2"/>
      <c r="U23" s="2"/>
      <c r="V23" s="19">
        <f t="shared" si="9"/>
        <v>0</v>
      </c>
      <c r="W23" s="2"/>
      <c r="X23" s="2">
        <f t="shared" si="10"/>
        <v>0</v>
      </c>
      <c r="Y23" s="2"/>
      <c r="Z23" s="19">
        <f t="shared" si="11"/>
        <v>0</v>
      </c>
    </row>
    <row r="24" spans="1:26" s="24" customFormat="1" hidden="1" outlineLevel="1" x14ac:dyDescent="0.3">
      <c r="A24" s="44"/>
      <c r="B24" s="11" t="str">
        <f>CONCATENATE("          ", "5200", " - ", "PURCHASES OFFSET")</f>
        <v xml:space="preserve">          5200 - PURCHASES OFFSET</v>
      </c>
      <c r="C24" s="11"/>
      <c r="D24" s="2">
        <v>202125.45</v>
      </c>
      <c r="E24" s="2"/>
      <c r="F24" s="19">
        <f t="shared" si="4"/>
        <v>27.735492157236738</v>
      </c>
      <c r="G24" s="2"/>
      <c r="H24" s="2"/>
      <c r="I24" s="2"/>
      <c r="J24" s="19">
        <f t="shared" si="5"/>
        <v>0</v>
      </c>
      <c r="K24" s="2"/>
      <c r="L24" s="2">
        <f t="shared" si="6"/>
        <v>202125.45</v>
      </c>
      <c r="M24" s="2"/>
      <c r="N24" s="19">
        <f t="shared" si="7"/>
        <v>0</v>
      </c>
      <c r="O24" s="11"/>
      <c r="P24" s="2">
        <v>-1124404.4099999999</v>
      </c>
      <c r="Q24" s="2"/>
      <c r="R24" s="19">
        <f t="shared" si="8"/>
        <v>-1.1073514523250285</v>
      </c>
      <c r="S24" s="2"/>
      <c r="T24" s="2"/>
      <c r="U24" s="2"/>
      <c r="V24" s="19">
        <f t="shared" si="9"/>
        <v>0</v>
      </c>
      <c r="W24" s="2"/>
      <c r="X24" s="2">
        <f t="shared" si="10"/>
        <v>-1124404.4099999999</v>
      </c>
      <c r="Y24" s="2"/>
      <c r="Z24" s="19">
        <f t="shared" si="11"/>
        <v>0</v>
      </c>
    </row>
    <row r="25" spans="1:26" s="24" customFormat="1" hidden="1" outlineLevel="1" x14ac:dyDescent="0.3">
      <c r="A25" s="44"/>
      <c r="B25" s="11" t="str">
        <f>CONCATENATE("          ", "5300", " - ", "COG$ OFFSET")</f>
        <v xml:space="preserve">          5300 - COG$ OFFSET</v>
      </c>
      <c r="C25" s="11"/>
      <c r="D25" s="2">
        <v>5116.34</v>
      </c>
      <c r="E25" s="2"/>
      <c r="F25" s="19">
        <f t="shared" si="4"/>
        <v>0.70206007182052832</v>
      </c>
      <c r="G25" s="2"/>
      <c r="H25" s="2"/>
      <c r="I25" s="2"/>
      <c r="J25" s="19">
        <f t="shared" si="5"/>
        <v>0</v>
      </c>
      <c r="K25" s="2"/>
      <c r="L25" s="2">
        <f t="shared" si="6"/>
        <v>5116.34</v>
      </c>
      <c r="M25" s="2"/>
      <c r="N25" s="19">
        <f t="shared" si="7"/>
        <v>0</v>
      </c>
      <c r="O25" s="11"/>
      <c r="P25" s="2">
        <v>848534.21</v>
      </c>
      <c r="Q25" s="2"/>
      <c r="R25" s="19">
        <f t="shared" si="8"/>
        <v>0.83566515875811154</v>
      </c>
      <c r="S25" s="2"/>
      <c r="T25" s="2"/>
      <c r="U25" s="2"/>
      <c r="V25" s="19">
        <f t="shared" si="9"/>
        <v>0</v>
      </c>
      <c r="W25" s="2"/>
      <c r="X25" s="2">
        <f t="shared" si="10"/>
        <v>848534.21</v>
      </c>
      <c r="Y25" s="2"/>
      <c r="Z25" s="19">
        <f t="shared" si="11"/>
        <v>0</v>
      </c>
    </row>
    <row r="26" spans="1:26" s="24" customFormat="1" hidden="1" outlineLevel="1" x14ac:dyDescent="0.3">
      <c r="A26" s="44"/>
      <c r="B26" s="11" t="str">
        <f>CONCATENATE("          ", "5500", " - ", "FREIGHT-IN")</f>
        <v xml:space="preserve">          5500 - FREIGHT-IN</v>
      </c>
      <c r="C26" s="11"/>
      <c r="D26" s="2">
        <v>381.93</v>
      </c>
      <c r="E26" s="2"/>
      <c r="F26" s="19">
        <f t="shared" si="4"/>
        <v>5.2408128316416495E-2</v>
      </c>
      <c r="G26" s="2"/>
      <c r="H26" s="2"/>
      <c r="I26" s="2"/>
      <c r="J26" s="19">
        <f t="shared" si="5"/>
        <v>0</v>
      </c>
      <c r="K26" s="2"/>
      <c r="L26" s="2">
        <f t="shared" si="6"/>
        <v>381.93</v>
      </c>
      <c r="M26" s="2"/>
      <c r="N26" s="19">
        <f t="shared" si="7"/>
        <v>0</v>
      </c>
      <c r="O26" s="11"/>
      <c r="P26" s="2">
        <v>36519.980000000003</v>
      </c>
      <c r="Q26" s="2"/>
      <c r="R26" s="19">
        <f t="shared" si="8"/>
        <v>3.5966110175502601E-2</v>
      </c>
      <c r="S26" s="2"/>
      <c r="T26" s="2"/>
      <c r="U26" s="2"/>
      <c r="V26" s="19">
        <f t="shared" si="9"/>
        <v>0</v>
      </c>
      <c r="W26" s="2"/>
      <c r="X26" s="2">
        <f t="shared" si="10"/>
        <v>36519.980000000003</v>
      </c>
      <c r="Y26" s="2"/>
      <c r="Z26" s="19">
        <f t="shared" si="11"/>
        <v>0</v>
      </c>
    </row>
    <row r="27" spans="1:26" s="24" customFormat="1" hidden="1" outlineLevel="1" x14ac:dyDescent="0.3">
      <c r="A27" s="44"/>
      <c r="B27" s="11" t="str">
        <f>CONCATENATE("          ", "5501", " - ", "FREIGHT-IN-NEW TEXT")</f>
        <v xml:space="preserve">          5501 - FREIGHT-IN-NEW TEXT</v>
      </c>
      <c r="C27" s="11"/>
      <c r="D27" s="2"/>
      <c r="E27" s="2"/>
      <c r="F27" s="19">
        <f t="shared" si="4"/>
        <v>0</v>
      </c>
      <c r="G27" s="2"/>
      <c r="H27" s="2"/>
      <c r="I27" s="2"/>
      <c r="J27" s="19">
        <f t="shared" si="5"/>
        <v>0</v>
      </c>
      <c r="K27" s="2"/>
      <c r="L27" s="2">
        <f t="shared" si="6"/>
        <v>0</v>
      </c>
      <c r="M27" s="2"/>
      <c r="N27" s="19">
        <f t="shared" si="7"/>
        <v>0</v>
      </c>
      <c r="O27" s="11"/>
      <c r="P27" s="2">
        <v>0</v>
      </c>
      <c r="Q27" s="2"/>
      <c r="R27" s="19">
        <f t="shared" si="8"/>
        <v>0</v>
      </c>
      <c r="S27" s="2"/>
      <c r="T27" s="2"/>
      <c r="U27" s="2"/>
      <c r="V27" s="19">
        <f t="shared" si="9"/>
        <v>0</v>
      </c>
      <c r="W27" s="2"/>
      <c r="X27" s="2">
        <f t="shared" si="10"/>
        <v>0</v>
      </c>
      <c r="Y27" s="2"/>
      <c r="Z27" s="19">
        <f t="shared" si="11"/>
        <v>0</v>
      </c>
    </row>
    <row r="28" spans="1:26" s="24" customFormat="1" hidden="1" outlineLevel="1" x14ac:dyDescent="0.3">
      <c r="A28" s="44"/>
      <c r="B28" s="11" t="str">
        <f>CONCATENATE("          ", "5502", " - ", "FREIGHT-IN-USED TEXT")</f>
        <v xml:space="preserve">          5502 - FREIGHT-IN-USED TEXT</v>
      </c>
      <c r="C28" s="11"/>
      <c r="D28" s="2"/>
      <c r="E28" s="2"/>
      <c r="F28" s="19">
        <f t="shared" si="4"/>
        <v>0</v>
      </c>
      <c r="G28" s="2"/>
      <c r="H28" s="2"/>
      <c r="I28" s="2"/>
      <c r="J28" s="19">
        <f t="shared" si="5"/>
        <v>0</v>
      </c>
      <c r="K28" s="2"/>
      <c r="L28" s="2">
        <f t="shared" si="6"/>
        <v>0</v>
      </c>
      <c r="M28" s="2"/>
      <c r="N28" s="19">
        <f t="shared" si="7"/>
        <v>0</v>
      </c>
      <c r="O28" s="11"/>
      <c r="P28" s="2">
        <v>0</v>
      </c>
      <c r="Q28" s="2"/>
      <c r="R28" s="19">
        <f t="shared" si="8"/>
        <v>0</v>
      </c>
      <c r="S28" s="2"/>
      <c r="T28" s="2"/>
      <c r="U28" s="2"/>
      <c r="V28" s="19">
        <f t="shared" si="9"/>
        <v>0</v>
      </c>
      <c r="W28" s="2"/>
      <c r="X28" s="2">
        <f t="shared" si="10"/>
        <v>0</v>
      </c>
      <c r="Y28" s="2"/>
      <c r="Z28" s="19">
        <f t="shared" si="11"/>
        <v>0</v>
      </c>
    </row>
    <row r="29" spans="1:26" s="24" customFormat="1" hidden="1" outlineLevel="1" x14ac:dyDescent="0.3">
      <c r="A29" s="44"/>
      <c r="B29" s="11" t="str">
        <f>CONCATENATE("          ", "5518", " - ", "FREIGHT-IN-STUDY GUIDES")</f>
        <v xml:space="preserve">          5518 - FREIGHT-IN-STUDY GUIDES</v>
      </c>
      <c r="C29" s="11"/>
      <c r="D29" s="2"/>
      <c r="E29" s="2"/>
      <c r="F29" s="19">
        <f t="shared" si="4"/>
        <v>0</v>
      </c>
      <c r="G29" s="2"/>
      <c r="H29" s="2"/>
      <c r="I29" s="2"/>
      <c r="J29" s="19">
        <f t="shared" si="5"/>
        <v>0</v>
      </c>
      <c r="K29" s="2"/>
      <c r="L29" s="2">
        <f t="shared" si="6"/>
        <v>0</v>
      </c>
      <c r="M29" s="2"/>
      <c r="N29" s="19">
        <f t="shared" si="7"/>
        <v>0</v>
      </c>
      <c r="O29" s="11"/>
      <c r="P29" s="2">
        <v>0</v>
      </c>
      <c r="Q29" s="2"/>
      <c r="R29" s="19">
        <f t="shared" si="8"/>
        <v>0</v>
      </c>
      <c r="S29" s="2"/>
      <c r="T29" s="2"/>
      <c r="U29" s="2"/>
      <c r="V29" s="19">
        <f t="shared" si="9"/>
        <v>0</v>
      </c>
      <c r="W29" s="2"/>
      <c r="X29" s="2">
        <f t="shared" si="10"/>
        <v>0</v>
      </c>
      <c r="Y29" s="2"/>
      <c r="Z29" s="19">
        <f t="shared" si="11"/>
        <v>0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3">
      <c r="A31" s="10"/>
      <c r="B31" s="26" t="s">
        <v>108</v>
      </c>
      <c r="C31" s="26"/>
      <c r="D31" s="20">
        <f>D12-D19</f>
        <v>2171.2699999999923</v>
      </c>
      <c r="E31" s="13"/>
      <c r="F31" s="22">
        <f>IF(D$12=0,0,D31/D$12)</f>
        <v>0.29793992817947068</v>
      </c>
      <c r="G31" s="13"/>
      <c r="H31" s="20">
        <f>H12-H19</f>
        <v>2828</v>
      </c>
      <c r="I31" s="13"/>
      <c r="J31" s="22">
        <f>IF(H$12=0,0,H31/H$12)</f>
        <v>0.2775269872423945</v>
      </c>
      <c r="K31" s="15"/>
      <c r="L31" s="20">
        <f>+D31-H31</f>
        <v>-656.73000000000775</v>
      </c>
      <c r="M31" s="15"/>
      <c r="N31" s="22">
        <f>IF(H31=0,0,L31/H31)</f>
        <v>-0.23222418670438746</v>
      </c>
      <c r="O31" s="25"/>
      <c r="P31" s="20">
        <f>P12-P19</f>
        <v>166865.56000000006</v>
      </c>
      <c r="Q31" s="13"/>
      <c r="R31" s="22">
        <f>IF(P$12=0,0,P31/P$12)</f>
        <v>0.16433484124188846</v>
      </c>
      <c r="S31" s="13"/>
      <c r="T31" s="20">
        <f>T12-T19</f>
        <v>522392</v>
      </c>
      <c r="U31" s="13"/>
      <c r="V31" s="22">
        <f>IF(T$12=0,0,T31/T$12)</f>
        <v>0.27750054449160422</v>
      </c>
      <c r="W31" s="15"/>
      <c r="X31" s="20">
        <f>+P31-T31</f>
        <v>-355526.43999999994</v>
      </c>
      <c r="Y31" s="15"/>
      <c r="Z31" s="22">
        <f>IF(T31=0,0,X31/T31)</f>
        <v>-0.68057405167001017</v>
      </c>
    </row>
    <row r="32" spans="1:26" x14ac:dyDescent="0.3">
      <c r="A32" s="9"/>
      <c r="B32" s="10"/>
      <c r="C32" s="9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6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x14ac:dyDescent="0.3">
      <c r="A33" s="10"/>
      <c r="B33" s="25" t="s">
        <v>295</v>
      </c>
      <c r="C33" s="10"/>
      <c r="D33" s="21">
        <f>SUM(OSRRefD22x_0)</f>
        <v>40561.770000000011</v>
      </c>
      <c r="E33" s="21"/>
      <c r="F33" s="30">
        <f t="shared" ref="F33:F44" si="12">IF(D$12=0,0,D33/D$12)</f>
        <v>5.5658535514386767</v>
      </c>
      <c r="G33" s="21"/>
      <c r="H33" s="21">
        <f>SUM(OSRRefH22x_0)</f>
        <v>46891.564838989718</v>
      </c>
      <c r="I33" s="21"/>
      <c r="J33" s="30">
        <f t="shared" ref="J33:J44" si="13">IF(H$12=0,0,H33/H$12)</f>
        <v>4.601723732972494</v>
      </c>
      <c r="K33" s="4"/>
      <c r="L33" s="21">
        <f t="shared" ref="L33:L44" si="14">+D33-H33</f>
        <v>-6329.7948389897065</v>
      </c>
      <c r="M33" s="4"/>
      <c r="N33" s="30">
        <f t="shared" ref="N33:N44" si="15">IF(H33=0,0,L33/H33)</f>
        <v>-0.13498792076408944</v>
      </c>
      <c r="O33" s="10"/>
      <c r="P33" s="21">
        <f>SUM(OSRRefP22x_0)</f>
        <v>232909.11</v>
      </c>
      <c r="Q33" s="21"/>
      <c r="R33" s="30">
        <f t="shared" ref="R33:R44" si="16">IF(P$12=0,0,P33/P$12)</f>
        <v>0.22937676064275647</v>
      </c>
      <c r="S33" s="21"/>
      <c r="T33" s="21">
        <f>SUM(OSRRefT22x_0)</f>
        <v>271285.20523444354</v>
      </c>
      <c r="U33" s="21"/>
      <c r="V33" s="30">
        <f t="shared" ref="V33:V44" si="17">IF(T$12=0,0,T33/T$12)</f>
        <v>0.1441097722880034</v>
      </c>
      <c r="W33" s="4"/>
      <c r="X33" s="21">
        <f t="shared" ref="X33:X44" si="18">+P33-T33</f>
        <v>-38376.09523444355</v>
      </c>
      <c r="Y33" s="4"/>
      <c r="Z33" s="30">
        <f t="shared" ref="Z33:Z44" si="19">IF(T33=0,0,X33/T33)</f>
        <v>-0.1414603321300883</v>
      </c>
    </row>
    <row r="34" spans="1:26" s="29" customFormat="1" outlineLevel="1" collapsed="1" x14ac:dyDescent="0.3">
      <c r="A34" s="28"/>
      <c r="B34" s="14" t="str">
        <f>CONCATENATE("     ","*Benefits                                         ")</f>
        <v xml:space="preserve">     *Benefits                                         </v>
      </c>
      <c r="C34" s="14"/>
      <c r="D34" s="1">
        <f>SUM(OSRRefD22_0x_0)</f>
        <v>12540.8</v>
      </c>
      <c r="E34" s="1"/>
      <c r="F34" s="5">
        <f t="shared" si="12"/>
        <v>1.7208385190755269</v>
      </c>
      <c r="G34" s="1"/>
      <c r="H34" s="1">
        <f>SUM(OSRRefH22_0x_0)</f>
        <v>13513.281293735916</v>
      </c>
      <c r="I34" s="1"/>
      <c r="J34" s="5">
        <f t="shared" si="13"/>
        <v>1.3261316284333577</v>
      </c>
      <c r="K34" s="1"/>
      <c r="L34" s="1">
        <f t="shared" si="14"/>
        <v>-972.48129373591655</v>
      </c>
      <c r="M34" s="1"/>
      <c r="N34" s="5">
        <f t="shared" si="15"/>
        <v>-7.1964852399447235E-2</v>
      </c>
      <c r="O34" s="14"/>
      <c r="P34" s="1">
        <f>SUM(OSRRefP22_0x_0)</f>
        <v>64478.389999999985</v>
      </c>
      <c r="Q34" s="1"/>
      <c r="R34" s="5">
        <f t="shared" si="16"/>
        <v>6.3500496952052676E-2</v>
      </c>
      <c r="S34" s="1"/>
      <c r="T34" s="1">
        <f>SUM(OSRRefT22_0x_0)</f>
        <v>73976.645735547514</v>
      </c>
      <c r="U34" s="1"/>
      <c r="V34" s="5">
        <f t="shared" si="17"/>
        <v>3.9297231717325201E-2</v>
      </c>
      <c r="W34" s="1"/>
      <c r="X34" s="1">
        <f t="shared" si="18"/>
        <v>-9498.2557355475292</v>
      </c>
      <c r="Y34" s="1"/>
      <c r="Z34" s="5">
        <f t="shared" si="19"/>
        <v>-0.12839532856764002</v>
      </c>
    </row>
    <row r="35" spans="1:26" s="24" customFormat="1" hidden="1" outlineLevel="2" x14ac:dyDescent="0.3">
      <c r="A35" s="27"/>
      <c r="B35" s="11" t="str">
        <f>CONCATENATE("          ", "6111", " - ", "F.I.C.A.")</f>
        <v xml:space="preserve">          6111 - F.I.C.A.</v>
      </c>
      <c r="C35" s="11"/>
      <c r="D35" s="6">
        <v>1887.94</v>
      </c>
      <c r="E35" s="2"/>
      <c r="F35" s="7">
        <f t="shared" si="12"/>
        <v>0.25906161279212253</v>
      </c>
      <c r="G35" s="2"/>
      <c r="H35" s="6">
        <v>1967.82450197977</v>
      </c>
      <c r="I35" s="2"/>
      <c r="J35" s="7">
        <f t="shared" si="13"/>
        <v>0.19311329754462905</v>
      </c>
      <c r="K35" s="2"/>
      <c r="L35" s="6">
        <f t="shared" si="14"/>
        <v>-79.884501979769993</v>
      </c>
      <c r="M35" s="2"/>
      <c r="N35" s="7">
        <f t="shared" si="15"/>
        <v>-4.0595338608397528E-2</v>
      </c>
      <c r="O35" s="11"/>
      <c r="P35" s="6">
        <v>10947.14</v>
      </c>
      <c r="Q35" s="2"/>
      <c r="R35" s="7">
        <f t="shared" si="16"/>
        <v>1.0781113334307727E-2</v>
      </c>
      <c r="S35" s="2"/>
      <c r="T35" s="6">
        <v>11847.3122808887</v>
      </c>
      <c r="U35" s="2"/>
      <c r="V35" s="7">
        <f t="shared" si="17"/>
        <v>6.2934264091117085E-3</v>
      </c>
      <c r="W35" s="2"/>
      <c r="X35" s="6">
        <f t="shared" si="18"/>
        <v>-900.1722808887007</v>
      </c>
      <c r="Y35" s="2"/>
      <c r="Z35" s="7">
        <f t="shared" si="19"/>
        <v>-7.5981138974516527E-2</v>
      </c>
    </row>
    <row r="36" spans="1:26" s="24" customFormat="1" hidden="1" outlineLevel="2" x14ac:dyDescent="0.3">
      <c r="A36" s="27"/>
      <c r="B36" s="11" t="str">
        <f>CONCATENATE("          ", "6112", " - ", "COMPENSATION INSURANCE")</f>
        <v xml:space="preserve">          6112 - COMPENSATION INSURANCE</v>
      </c>
      <c r="C36" s="11"/>
      <c r="D36" s="6">
        <v>355.51</v>
      </c>
      <c r="E36" s="2"/>
      <c r="F36" s="7">
        <f t="shared" si="12"/>
        <v>4.878279710357717E-2</v>
      </c>
      <c r="G36" s="2"/>
      <c r="H36" s="6">
        <v>463.15015548000002</v>
      </c>
      <c r="I36" s="2"/>
      <c r="J36" s="7">
        <f t="shared" si="13"/>
        <v>4.5451438221786065E-2</v>
      </c>
      <c r="K36" s="2"/>
      <c r="L36" s="6">
        <f t="shared" si="14"/>
        <v>-107.64015548000003</v>
      </c>
      <c r="M36" s="2"/>
      <c r="N36" s="7">
        <f t="shared" si="15"/>
        <v>-0.23240876464446789</v>
      </c>
      <c r="O36" s="11"/>
      <c r="P36" s="6">
        <v>2193.98</v>
      </c>
      <c r="Q36" s="2"/>
      <c r="R36" s="7">
        <f t="shared" si="16"/>
        <v>2.1607056302563473E-3</v>
      </c>
      <c r="S36" s="2"/>
      <c r="T36" s="6">
        <v>2939.5566551400002</v>
      </c>
      <c r="U36" s="2"/>
      <c r="V36" s="7">
        <f t="shared" si="17"/>
        <v>1.5615257744476731E-3</v>
      </c>
      <c r="W36" s="2"/>
      <c r="X36" s="6">
        <f t="shared" si="18"/>
        <v>-745.57665514000018</v>
      </c>
      <c r="Y36" s="2"/>
      <c r="Z36" s="7">
        <f t="shared" si="19"/>
        <v>-0.25363574940333683</v>
      </c>
    </row>
    <row r="37" spans="1:26" s="24" customFormat="1" hidden="1" outlineLevel="2" x14ac:dyDescent="0.3">
      <c r="A37" s="27"/>
      <c r="B37" s="11" t="str">
        <f>CONCATENATE("          ", "6113", " - ", "GROUP INSURANCE")</f>
        <v xml:space="preserve">          6113 - GROUP INSURANCE</v>
      </c>
      <c r="C37" s="11"/>
      <c r="D37" s="6">
        <v>4593.8599999999997</v>
      </c>
      <c r="E37" s="2"/>
      <c r="F37" s="7">
        <f t="shared" si="12"/>
        <v>0.63036578521627806</v>
      </c>
      <c r="G37" s="2"/>
      <c r="H37" s="6">
        <v>5314</v>
      </c>
      <c r="I37" s="2"/>
      <c r="J37" s="7">
        <f t="shared" si="13"/>
        <v>0.52149165848871437</v>
      </c>
      <c r="K37" s="2"/>
      <c r="L37" s="6">
        <f t="shared" si="14"/>
        <v>-720.14000000000033</v>
      </c>
      <c r="M37" s="2"/>
      <c r="N37" s="7">
        <f t="shared" si="15"/>
        <v>-0.13551750094091086</v>
      </c>
      <c r="O37" s="11"/>
      <c r="P37" s="6">
        <v>23025.55</v>
      </c>
      <c r="Q37" s="2"/>
      <c r="R37" s="7">
        <f t="shared" si="16"/>
        <v>2.2676339585934711E-2</v>
      </c>
      <c r="S37" s="2"/>
      <c r="T37" s="6">
        <v>27182</v>
      </c>
      <c r="U37" s="2"/>
      <c r="V37" s="7">
        <f t="shared" si="17"/>
        <v>1.443938613219725E-2</v>
      </c>
      <c r="W37" s="2"/>
      <c r="X37" s="6">
        <f t="shared" si="18"/>
        <v>-4156.4500000000007</v>
      </c>
      <c r="Y37" s="2"/>
      <c r="Z37" s="7">
        <f t="shared" si="19"/>
        <v>-0.15291185343241853</v>
      </c>
    </row>
    <row r="38" spans="1:26" s="24" customFormat="1" hidden="1" outlineLevel="2" x14ac:dyDescent="0.3">
      <c r="A38" s="27"/>
      <c r="B38" s="11" t="str">
        <f>CONCATENATE("          ", "6114", " - ", "STATE UNEMPLOYMENT INSURANCE")</f>
        <v xml:space="preserve">          6114 - STATE UNEMPLOYMENT INSURANCE</v>
      </c>
      <c r="C38" s="11"/>
      <c r="D38" s="6">
        <v>70.599999999999994</v>
      </c>
      <c r="E38" s="2"/>
      <c r="F38" s="7">
        <f t="shared" si="12"/>
        <v>9.6876753832875247E-3</v>
      </c>
      <c r="G38" s="2"/>
      <c r="H38" s="6">
        <v>62.347136314615398</v>
      </c>
      <c r="I38" s="2"/>
      <c r="J38" s="7">
        <f t="shared" si="13"/>
        <v>6.1184628375481253E-3</v>
      </c>
      <c r="K38" s="2"/>
      <c r="L38" s="6">
        <f t="shared" si="14"/>
        <v>8.2528636853845967</v>
      </c>
      <c r="M38" s="2"/>
      <c r="N38" s="7">
        <f t="shared" si="15"/>
        <v>0.13236957097338187</v>
      </c>
      <c r="O38" s="11"/>
      <c r="P38" s="6">
        <v>435.09</v>
      </c>
      <c r="Q38" s="2"/>
      <c r="R38" s="7">
        <f t="shared" si="16"/>
        <v>4.2849133203959653E-4</v>
      </c>
      <c r="S38" s="2"/>
      <c r="T38" s="6">
        <v>395.70954973038403</v>
      </c>
      <c r="U38" s="2"/>
      <c r="V38" s="7">
        <f t="shared" si="17"/>
        <v>2.1020539271410951E-4</v>
      </c>
      <c r="W38" s="2"/>
      <c r="X38" s="6">
        <f t="shared" si="18"/>
        <v>39.380450269615949</v>
      </c>
      <c r="Y38" s="2"/>
      <c r="Z38" s="7">
        <f t="shared" si="19"/>
        <v>9.9518574410063509E-2</v>
      </c>
    </row>
    <row r="39" spans="1:26" s="24" customFormat="1" hidden="1" outlineLevel="2" x14ac:dyDescent="0.3">
      <c r="A39" s="27"/>
      <c r="B39" s="11" t="str">
        <f>CONCATENATE("          ", "6115", " - ", "P.E.R.S.")</f>
        <v xml:space="preserve">          6115 - P.E.R.S.</v>
      </c>
      <c r="C39" s="11"/>
      <c r="D39" s="6">
        <v>1671.39</v>
      </c>
      <c r="E39" s="2"/>
      <c r="F39" s="7">
        <f t="shared" si="12"/>
        <v>0.22934679545145806</v>
      </c>
      <c r="G39" s="2"/>
      <c r="H39" s="6">
        <v>1664.68278164615</v>
      </c>
      <c r="I39" s="2"/>
      <c r="J39" s="7">
        <f t="shared" si="13"/>
        <v>0.16336435541179098</v>
      </c>
      <c r="K39" s="2"/>
      <c r="L39" s="6">
        <f t="shared" si="14"/>
        <v>6.7072183538500667</v>
      </c>
      <c r="M39" s="2"/>
      <c r="N39" s="7">
        <f t="shared" si="15"/>
        <v>4.0291270071391733E-3</v>
      </c>
      <c r="O39" s="11"/>
      <c r="P39" s="6">
        <v>8903.34</v>
      </c>
      <c r="Q39" s="2"/>
      <c r="R39" s="7">
        <f t="shared" si="16"/>
        <v>8.7683100420635311E-3</v>
      </c>
      <c r="S39" s="2"/>
      <c r="T39" s="6">
        <v>9155.7552990538297</v>
      </c>
      <c r="U39" s="2"/>
      <c r="V39" s="7">
        <f t="shared" si="17"/>
        <v>4.8636408687715892E-3</v>
      </c>
      <c r="W39" s="2"/>
      <c r="X39" s="6">
        <f t="shared" si="18"/>
        <v>-252.41529905382959</v>
      </c>
      <c r="Y39" s="2"/>
      <c r="Z39" s="7">
        <f t="shared" si="19"/>
        <v>-2.7569030714474706E-2</v>
      </c>
    </row>
    <row r="40" spans="1:26" s="24" customFormat="1" hidden="1" outlineLevel="2" x14ac:dyDescent="0.3">
      <c r="A40" s="27"/>
      <c r="B40" s="11" t="str">
        <f>CONCATENATE("          ", "6116", " - ", "EDUCATIONAL BENEFITS")</f>
        <v xml:space="preserve">          6116 - EDUCATIONAL BENEFITS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4" customFormat="1" hidden="1" outlineLevel="2" x14ac:dyDescent="0.3">
      <c r="A41" s="27"/>
      <c r="B41" s="11" t="str">
        <f>CONCATENATE("          ", "6117", " - ", "RETIREMENT STAFF HOURLY")</f>
        <v xml:space="preserve">          6117 - RETIREMENT STAFF HOURLY</v>
      </c>
      <c r="C41" s="11"/>
      <c r="D41" s="6">
        <v>274.61</v>
      </c>
      <c r="E41" s="2"/>
      <c r="F41" s="7">
        <f t="shared" si="12"/>
        <v>3.7681763980234949E-2</v>
      </c>
      <c r="G41" s="2"/>
      <c r="H41" s="6"/>
      <c r="I41" s="2"/>
      <c r="J41" s="7">
        <f t="shared" si="13"/>
        <v>0</v>
      </c>
      <c r="K41" s="2"/>
      <c r="L41" s="6">
        <f t="shared" si="14"/>
        <v>274.61</v>
      </c>
      <c r="M41" s="2"/>
      <c r="N41" s="7">
        <f t="shared" si="15"/>
        <v>0</v>
      </c>
      <c r="O41" s="11"/>
      <c r="P41" s="6">
        <v>1522.86</v>
      </c>
      <c r="Q41" s="2"/>
      <c r="R41" s="7">
        <f t="shared" si="16"/>
        <v>1.4997639796589671E-3</v>
      </c>
      <c r="S41" s="2"/>
      <c r="T41" s="6"/>
      <c r="U41" s="2"/>
      <c r="V41" s="7">
        <f t="shared" si="17"/>
        <v>0</v>
      </c>
      <c r="W41" s="2"/>
      <c r="X41" s="6">
        <f t="shared" si="18"/>
        <v>1522.86</v>
      </c>
      <c r="Y41" s="2"/>
      <c r="Z41" s="7">
        <f t="shared" si="19"/>
        <v>0</v>
      </c>
    </row>
    <row r="42" spans="1:26" s="24" customFormat="1" hidden="1" outlineLevel="2" x14ac:dyDescent="0.3">
      <c r="A42" s="27"/>
      <c r="B42" s="11" t="str">
        <f>CONCATENATE("          ", "6118", " - ", "VACATION")</f>
        <v xml:space="preserve">          6118 - VACATION</v>
      </c>
      <c r="C42" s="11"/>
      <c r="D42" s="6">
        <v>1600</v>
      </c>
      <c r="E42" s="2"/>
      <c r="F42" s="7">
        <f t="shared" si="12"/>
        <v>0.2195507169017003</v>
      </c>
      <c r="G42" s="2"/>
      <c r="H42" s="6">
        <v>1689.1935418999999</v>
      </c>
      <c r="I42" s="2"/>
      <c r="J42" s="7">
        <f t="shared" si="13"/>
        <v>0.16576972933267908</v>
      </c>
      <c r="K42" s="2"/>
      <c r="L42" s="6">
        <f t="shared" si="14"/>
        <v>-89.1935418999999</v>
      </c>
      <c r="M42" s="2"/>
      <c r="N42" s="7">
        <f t="shared" si="15"/>
        <v>-5.2802440743217188E-2</v>
      </c>
      <c r="O42" s="11"/>
      <c r="P42" s="6">
        <v>7701.24</v>
      </c>
      <c r="Q42" s="2"/>
      <c r="R42" s="7">
        <f t="shared" si="16"/>
        <v>7.5844413476674312E-3</v>
      </c>
      <c r="S42" s="2"/>
      <c r="T42" s="6">
        <v>9290.5644804500007</v>
      </c>
      <c r="U42" s="2"/>
      <c r="V42" s="7">
        <f t="shared" si="17"/>
        <v>4.9352530321276613E-3</v>
      </c>
      <c r="W42" s="2"/>
      <c r="X42" s="6">
        <f t="shared" si="18"/>
        <v>-1589.3244804500009</v>
      </c>
      <c r="Y42" s="2"/>
      <c r="Z42" s="7">
        <f t="shared" si="19"/>
        <v>-0.17106866690332898</v>
      </c>
    </row>
    <row r="43" spans="1:26" s="24" customFormat="1" hidden="1" outlineLevel="2" x14ac:dyDescent="0.3">
      <c r="A43" s="27"/>
      <c r="B43" s="11" t="str">
        <f>CONCATENATE("          ", "6119", " - ", "SICK LEAVE")</f>
        <v xml:space="preserve">          6119 - SICK LEAVE</v>
      </c>
      <c r="C43" s="11"/>
      <c r="D43" s="6">
        <v>1114.74</v>
      </c>
      <c r="E43" s="2"/>
      <c r="F43" s="7">
        <f t="shared" si="12"/>
        <v>0.15296372884937587</v>
      </c>
      <c r="G43" s="2"/>
      <c r="H43" s="6">
        <v>1302.08317641538</v>
      </c>
      <c r="I43" s="2"/>
      <c r="J43" s="7">
        <f t="shared" si="13"/>
        <v>0.12778048836264769</v>
      </c>
      <c r="K43" s="2"/>
      <c r="L43" s="6">
        <f t="shared" si="14"/>
        <v>-187.34317641537996</v>
      </c>
      <c r="M43" s="2"/>
      <c r="N43" s="7">
        <f t="shared" si="15"/>
        <v>-0.14387957682636954</v>
      </c>
      <c r="O43" s="11"/>
      <c r="P43" s="6">
        <v>5938.28</v>
      </c>
      <c r="Q43" s="2"/>
      <c r="R43" s="7">
        <f t="shared" si="16"/>
        <v>5.8482187759408295E-3</v>
      </c>
      <c r="S43" s="2"/>
      <c r="T43" s="6">
        <v>7915.7474702846002</v>
      </c>
      <c r="U43" s="2"/>
      <c r="V43" s="7">
        <f t="shared" si="17"/>
        <v>4.2049346717829049E-3</v>
      </c>
      <c r="W43" s="2"/>
      <c r="X43" s="6">
        <f t="shared" si="18"/>
        <v>-1977.4674702846005</v>
      </c>
      <c r="Y43" s="2"/>
      <c r="Z43" s="7">
        <f t="shared" si="19"/>
        <v>-0.24981437036842502</v>
      </c>
    </row>
    <row r="44" spans="1:26" s="24" customFormat="1" hidden="1" outlineLevel="2" x14ac:dyDescent="0.3">
      <c r="A44" s="27"/>
      <c r="B44" s="11" t="str">
        <f>CONCATENATE("          ", "6156", " - ", "EMPLOYEE MEALS")</f>
        <v xml:space="preserve">          6156 - EMPLOYEE MEALS</v>
      </c>
      <c r="C44" s="11"/>
      <c r="D44" s="6">
        <v>972.15</v>
      </c>
      <c r="E44" s="2"/>
      <c r="F44" s="7">
        <f t="shared" si="12"/>
        <v>0.13339764339749247</v>
      </c>
      <c r="G44" s="2"/>
      <c r="H44" s="6">
        <v>1050</v>
      </c>
      <c r="I44" s="2"/>
      <c r="J44" s="7">
        <f t="shared" si="13"/>
        <v>0.10304219823356231</v>
      </c>
      <c r="K44" s="2"/>
      <c r="L44" s="6">
        <f t="shared" si="14"/>
        <v>-77.850000000000023</v>
      </c>
      <c r="M44" s="2"/>
      <c r="N44" s="7">
        <f t="shared" si="15"/>
        <v>-7.4142857142857163E-2</v>
      </c>
      <c r="O44" s="11"/>
      <c r="P44" s="6">
        <v>3810.91</v>
      </c>
      <c r="Q44" s="2"/>
      <c r="R44" s="7">
        <f t="shared" si="16"/>
        <v>3.753112924183546E-3</v>
      </c>
      <c r="S44" s="2"/>
      <c r="T44" s="6">
        <v>5250</v>
      </c>
      <c r="U44" s="2"/>
      <c r="V44" s="7">
        <f t="shared" si="17"/>
        <v>2.7888594361723039E-3</v>
      </c>
      <c r="W44" s="2"/>
      <c r="X44" s="6">
        <f t="shared" si="18"/>
        <v>-1439.0900000000001</v>
      </c>
      <c r="Y44" s="2"/>
      <c r="Z44" s="7">
        <f t="shared" si="19"/>
        <v>-0.274112380952381</v>
      </c>
    </row>
    <row r="45" spans="1:26" s="29" customFormat="1" outlineLevel="1" collapsed="1" x14ac:dyDescent="0.3">
      <c r="A45" s="28"/>
      <c r="B45" s="14" t="str">
        <f>CONCATENATE("     ","*Payroll                                          ")</f>
        <v xml:space="preserve">     *Payroll                                          </v>
      </c>
      <c r="C45" s="14"/>
      <c r="D45" s="1">
        <f>SUM(OSRRefD22_1x_0)</f>
        <v>23870.59</v>
      </c>
      <c r="E45" s="1"/>
      <c r="F45" s="5">
        <f t="shared" ref="F45:F55" si="20">IF(D$12=0,0,D45/D$12)</f>
        <v>3.2755032171040988</v>
      </c>
      <c r="G45" s="1"/>
      <c r="H45" s="1">
        <f>SUM(OSRRefH22_1x_0)</f>
        <v>27198.283545253802</v>
      </c>
      <c r="I45" s="1"/>
      <c r="J45" s="5">
        <f t="shared" ref="J45:J55" si="21">IF(H$12=0,0,H45/H$12)</f>
        <v>2.6691151663644557</v>
      </c>
      <c r="K45" s="1"/>
      <c r="L45" s="1">
        <f t="shared" ref="L45:L55" si="22">+D45-H45</f>
        <v>-3327.6935452538019</v>
      </c>
      <c r="M45" s="1"/>
      <c r="N45" s="5">
        <f t="shared" ref="N45:N55" si="23">IF(H45=0,0,L45/H45)</f>
        <v>-0.12234939531081168</v>
      </c>
      <c r="O45" s="14"/>
      <c r="P45" s="1">
        <f>SUM(OSRRefP22_1x_0)</f>
        <v>149186.24000000002</v>
      </c>
      <c r="Q45" s="1"/>
      <c r="R45" s="5">
        <f t="shared" ref="R45:R55" si="24">IF(P$12=0,0,P45/P$12)</f>
        <v>0.14692364958877233</v>
      </c>
      <c r="S45" s="1"/>
      <c r="T45" s="1">
        <f>SUM(OSRRefT22_1x_0)</f>
        <v>174733.55949889601</v>
      </c>
      <c r="U45" s="1"/>
      <c r="V45" s="5">
        <f t="shared" ref="V45:V55" si="25">IF(T$12=0,0,T45/T$12)</f>
        <v>9.2820444995137294E-2</v>
      </c>
      <c r="W45" s="1"/>
      <c r="X45" s="1">
        <f t="shared" ref="X45:X55" si="26">+P45-T45</f>
        <v>-25547.319498895988</v>
      </c>
      <c r="Y45" s="1"/>
      <c r="Z45" s="5">
        <f t="shared" ref="Z45:Z55" si="27">IF(T45=0,0,X45/T45)</f>
        <v>-0.14620728595102761</v>
      </c>
    </row>
    <row r="46" spans="1:26" s="24" customFormat="1" hidden="1" outlineLevel="2" x14ac:dyDescent="0.3">
      <c r="A46" s="27"/>
      <c r="B46" s="11" t="str">
        <f>CONCATENATE("          ", "6001", " - ", "ADMINISTRATIVE SALARIES")</f>
        <v xml:space="preserve">          6001 - ADMINISTRATIVE SALARIES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3">
      <c r="A47" s="27"/>
      <c r="B47" s="11" t="str">
        <f>CONCATENATE("          ", "6002", " - ", "STAFF SALARIES")</f>
        <v xml:space="preserve">          6002 - STAFF SALARIES</v>
      </c>
      <c r="C47" s="11"/>
      <c r="D47" s="6">
        <v>15611.26</v>
      </c>
      <c r="E47" s="2"/>
      <c r="F47" s="7">
        <f t="shared" si="20"/>
        <v>2.1421645779617737</v>
      </c>
      <c r="G47" s="2"/>
      <c r="H47" s="6">
        <v>17293.700777253802</v>
      </c>
      <c r="I47" s="2"/>
      <c r="J47" s="7">
        <f t="shared" si="21"/>
        <v>1.6971247082682828</v>
      </c>
      <c r="K47" s="2"/>
      <c r="L47" s="6">
        <f t="shared" si="22"/>
        <v>-1682.4407772538016</v>
      </c>
      <c r="M47" s="2"/>
      <c r="N47" s="7">
        <f t="shared" si="23"/>
        <v>-9.7286335581028199E-2</v>
      </c>
      <c r="O47" s="11"/>
      <c r="P47" s="6">
        <v>85279.16</v>
      </c>
      <c r="Q47" s="2"/>
      <c r="R47" s="7">
        <f t="shared" si="24"/>
        <v>8.3985798027115963E-2</v>
      </c>
      <c r="S47" s="2"/>
      <c r="T47" s="6">
        <v>95115.354274896003</v>
      </c>
      <c r="U47" s="2"/>
      <c r="V47" s="7">
        <f t="shared" si="25"/>
        <v>5.0526353008460076E-2</v>
      </c>
      <c r="W47" s="2"/>
      <c r="X47" s="6">
        <f t="shared" si="26"/>
        <v>-9836.1942748959991</v>
      </c>
      <c r="Y47" s="2"/>
      <c r="Z47" s="7">
        <f t="shared" si="27"/>
        <v>-0.10341331691272569</v>
      </c>
    </row>
    <row r="48" spans="1:26" s="24" customFormat="1" hidden="1" outlineLevel="2" x14ac:dyDescent="0.3">
      <c r="A48" s="27"/>
      <c r="B48" s="11" t="str">
        <f>CONCATENATE("          ", "6003", " - ", "STAFF HOURLY-9 MONTH")</f>
        <v xml:space="preserve">          6003 - STAFF HOURLY-9 MONTH</v>
      </c>
      <c r="C48" s="11"/>
      <c r="D48" s="6"/>
      <c r="E48" s="2"/>
      <c r="F48" s="7">
        <f t="shared" si="20"/>
        <v>0</v>
      </c>
      <c r="G48" s="2"/>
      <c r="H48" s="6">
        <v>0</v>
      </c>
      <c r="I48" s="2"/>
      <c r="J48" s="7">
        <f t="shared" si="21"/>
        <v>0</v>
      </c>
      <c r="K48" s="2"/>
      <c r="L48" s="6">
        <f t="shared" si="22"/>
        <v>0</v>
      </c>
      <c r="M48" s="2"/>
      <c r="N48" s="7">
        <f t="shared" si="23"/>
        <v>0</v>
      </c>
      <c r="O48" s="11"/>
      <c r="P48" s="6"/>
      <c r="Q48" s="2"/>
      <c r="R48" s="7">
        <f t="shared" si="24"/>
        <v>0</v>
      </c>
      <c r="S48" s="2"/>
      <c r="T48" s="6">
        <v>0</v>
      </c>
      <c r="U48" s="2"/>
      <c r="V48" s="7">
        <f t="shared" si="25"/>
        <v>0</v>
      </c>
      <c r="W48" s="2"/>
      <c r="X48" s="6">
        <f t="shared" si="26"/>
        <v>0</v>
      </c>
      <c r="Y48" s="2"/>
      <c r="Z48" s="7">
        <f t="shared" si="27"/>
        <v>0</v>
      </c>
    </row>
    <row r="49" spans="1:26" s="24" customFormat="1" hidden="1" outlineLevel="2" x14ac:dyDescent="0.3">
      <c r="A49" s="27"/>
      <c r="B49" s="11" t="str">
        <f>CONCATENATE("          ", "6004", " - ", "STAFF HOURLY")</f>
        <v xml:space="preserve">          6004 - STAFF HOURLY</v>
      </c>
      <c r="C49" s="11"/>
      <c r="D49" s="6">
        <v>4911.74</v>
      </c>
      <c r="E49" s="2"/>
      <c r="F49" s="7">
        <f t="shared" si="20"/>
        <v>0.67398502389672332</v>
      </c>
      <c r="G49" s="2"/>
      <c r="H49" s="6">
        <v>5928.5827680000002</v>
      </c>
      <c r="I49" s="2"/>
      <c r="J49" s="7">
        <f t="shared" si="21"/>
        <v>0.58180400078508343</v>
      </c>
      <c r="K49" s="2"/>
      <c r="L49" s="6">
        <f t="shared" si="22"/>
        <v>-1016.8427680000004</v>
      </c>
      <c r="M49" s="2"/>
      <c r="N49" s="7">
        <f t="shared" si="23"/>
        <v>-0.17151531956144572</v>
      </c>
      <c r="O49" s="11"/>
      <c r="P49" s="6">
        <v>29708.2</v>
      </c>
      <c r="Q49" s="2"/>
      <c r="R49" s="7">
        <f t="shared" si="24"/>
        <v>2.9257639087312378E-2</v>
      </c>
      <c r="S49" s="2"/>
      <c r="T49" s="6">
        <v>32607.205224000001</v>
      </c>
      <c r="U49" s="2"/>
      <c r="V49" s="7">
        <f t="shared" si="25"/>
        <v>1.7321316566887474E-2</v>
      </c>
      <c r="W49" s="2"/>
      <c r="X49" s="6">
        <f t="shared" si="26"/>
        <v>-2899.0052240000005</v>
      </c>
      <c r="Y49" s="2"/>
      <c r="Z49" s="7">
        <f t="shared" si="27"/>
        <v>-8.8906890488922821E-2</v>
      </c>
    </row>
    <row r="50" spans="1:26" s="24" customFormat="1" hidden="1" outlineLevel="2" x14ac:dyDescent="0.3">
      <c r="A50" s="27"/>
      <c r="B50" s="11" t="str">
        <f>CONCATENATE("          ", "6005", " - ", "TEMPORARY WAGES-HOURLY")</f>
        <v xml:space="preserve">          6005 - TEMPORARY WAGES-HOURLY</v>
      </c>
      <c r="C50" s="11"/>
      <c r="D50" s="6">
        <v>2066.79</v>
      </c>
      <c r="E50" s="2"/>
      <c r="F50" s="7">
        <f t="shared" si="20"/>
        <v>0.2836032663657907</v>
      </c>
      <c r="G50" s="2"/>
      <c r="H50" s="6">
        <v>3080</v>
      </c>
      <c r="I50" s="2"/>
      <c r="J50" s="7">
        <f t="shared" si="21"/>
        <v>0.30225711481844947</v>
      </c>
      <c r="K50" s="2"/>
      <c r="L50" s="6">
        <f t="shared" si="22"/>
        <v>-1013.21</v>
      </c>
      <c r="M50" s="2"/>
      <c r="N50" s="7">
        <f t="shared" si="23"/>
        <v>-0.32896428571428571</v>
      </c>
      <c r="O50" s="11"/>
      <c r="P50" s="6">
        <v>12607.65</v>
      </c>
      <c r="Q50" s="2"/>
      <c r="R50" s="7">
        <f t="shared" si="24"/>
        <v>1.2416439684637706E-2</v>
      </c>
      <c r="S50" s="2"/>
      <c r="T50" s="6">
        <v>18171</v>
      </c>
      <c r="U50" s="2"/>
      <c r="V50" s="7">
        <f t="shared" si="25"/>
        <v>9.6526409170832241E-3</v>
      </c>
      <c r="W50" s="2"/>
      <c r="X50" s="6">
        <f t="shared" si="26"/>
        <v>-5563.35</v>
      </c>
      <c r="Y50" s="2"/>
      <c r="Z50" s="7">
        <f t="shared" si="27"/>
        <v>-0.30616641901931652</v>
      </c>
    </row>
    <row r="51" spans="1:26" s="24" customFormat="1" hidden="1" outlineLevel="2" x14ac:dyDescent="0.3">
      <c r="A51" s="27"/>
      <c r="B51" s="11" t="str">
        <f>CONCATENATE("          ", "6006", " - ", "TEMPORARY PART TIME")</f>
        <v xml:space="preserve">          6006 - TEMPORARY PART TIME</v>
      </c>
      <c r="C51" s="11"/>
      <c r="D51" s="6"/>
      <c r="E51" s="2"/>
      <c r="F51" s="7">
        <f t="shared" si="20"/>
        <v>0</v>
      </c>
      <c r="G51" s="2"/>
      <c r="H51" s="6">
        <v>0</v>
      </c>
      <c r="I51" s="2"/>
      <c r="J51" s="7">
        <f t="shared" si="21"/>
        <v>0</v>
      </c>
      <c r="K51" s="2"/>
      <c r="L51" s="6">
        <f t="shared" si="22"/>
        <v>0</v>
      </c>
      <c r="M51" s="2"/>
      <c r="N51" s="7">
        <f t="shared" si="23"/>
        <v>0</v>
      </c>
      <c r="O51" s="11"/>
      <c r="P51" s="6"/>
      <c r="Q51" s="2"/>
      <c r="R51" s="7">
        <f t="shared" si="24"/>
        <v>0</v>
      </c>
      <c r="S51" s="2"/>
      <c r="T51" s="6">
        <v>0</v>
      </c>
      <c r="U51" s="2"/>
      <c r="V51" s="7">
        <f t="shared" si="25"/>
        <v>0</v>
      </c>
      <c r="W51" s="2"/>
      <c r="X51" s="6">
        <f t="shared" si="26"/>
        <v>0</v>
      </c>
      <c r="Y51" s="2"/>
      <c r="Z51" s="7">
        <f t="shared" si="27"/>
        <v>0</v>
      </c>
    </row>
    <row r="52" spans="1:26" s="24" customFormat="1" hidden="1" outlineLevel="2" x14ac:dyDescent="0.3">
      <c r="A52" s="27"/>
      <c r="B52" s="11" t="str">
        <f>CONCATENATE("          ", "6007", " - ", "STUDENT HOURLY")</f>
        <v xml:space="preserve">          6007 - STUDENT HOURLY</v>
      </c>
      <c r="C52" s="11"/>
      <c r="D52" s="6">
        <v>1280.8</v>
      </c>
      <c r="E52" s="2"/>
      <c r="F52" s="7">
        <f t="shared" si="20"/>
        <v>0.17575034887981109</v>
      </c>
      <c r="G52" s="2"/>
      <c r="H52" s="6">
        <v>0</v>
      </c>
      <c r="I52" s="2"/>
      <c r="J52" s="7">
        <f t="shared" si="21"/>
        <v>0</v>
      </c>
      <c r="K52" s="2"/>
      <c r="L52" s="6">
        <f t="shared" si="22"/>
        <v>1280.8</v>
      </c>
      <c r="M52" s="2"/>
      <c r="N52" s="7">
        <f t="shared" si="23"/>
        <v>0</v>
      </c>
      <c r="O52" s="11"/>
      <c r="P52" s="6">
        <v>17624.75</v>
      </c>
      <c r="Q52" s="2"/>
      <c r="R52" s="7">
        <f t="shared" si="24"/>
        <v>1.7357449273402926E-2</v>
      </c>
      <c r="S52" s="2"/>
      <c r="T52" s="6">
        <v>13384</v>
      </c>
      <c r="U52" s="2"/>
      <c r="V52" s="7">
        <f t="shared" si="25"/>
        <v>7.1097323226152597E-3</v>
      </c>
      <c r="W52" s="2"/>
      <c r="X52" s="6">
        <f t="shared" si="26"/>
        <v>4240.75</v>
      </c>
      <c r="Y52" s="2"/>
      <c r="Z52" s="7">
        <f t="shared" si="27"/>
        <v>0.31685221159593546</v>
      </c>
    </row>
    <row r="53" spans="1:26" s="24" customFormat="1" hidden="1" outlineLevel="2" x14ac:dyDescent="0.3">
      <c r="A53" s="27"/>
      <c r="B53" s="11" t="str">
        <f>CONCATENATE("          ", "6008", " - ", "STUDENT HOURLY-FICA EXEMPT")</f>
        <v xml:space="preserve">          6008 - STUDENT HOURLY-FICA EXEMPT</v>
      </c>
      <c r="C53" s="11"/>
      <c r="D53" s="6"/>
      <c r="E53" s="2"/>
      <c r="F53" s="7">
        <f t="shared" si="20"/>
        <v>0</v>
      </c>
      <c r="G53" s="2"/>
      <c r="H53" s="6">
        <v>896</v>
      </c>
      <c r="I53" s="2"/>
      <c r="J53" s="7">
        <f t="shared" si="21"/>
        <v>8.7929342492639839E-2</v>
      </c>
      <c r="K53" s="2"/>
      <c r="L53" s="6">
        <f t="shared" si="22"/>
        <v>-896</v>
      </c>
      <c r="M53" s="2"/>
      <c r="N53" s="7">
        <f t="shared" si="23"/>
        <v>-1</v>
      </c>
      <c r="O53" s="11"/>
      <c r="P53" s="6">
        <v>3966.48</v>
      </c>
      <c r="Q53" s="2"/>
      <c r="R53" s="7">
        <f t="shared" si="24"/>
        <v>3.9063235163033375E-3</v>
      </c>
      <c r="S53" s="2"/>
      <c r="T53" s="6">
        <v>15456</v>
      </c>
      <c r="U53" s="2"/>
      <c r="V53" s="7">
        <f t="shared" si="25"/>
        <v>8.2104021800912617E-3</v>
      </c>
      <c r="W53" s="2"/>
      <c r="X53" s="6">
        <f t="shared" si="26"/>
        <v>-11489.52</v>
      </c>
      <c r="Y53" s="2"/>
      <c r="Z53" s="7">
        <f t="shared" si="27"/>
        <v>-0.74336956521739128</v>
      </c>
    </row>
    <row r="54" spans="1:26" s="24" customFormat="1" hidden="1" outlineLevel="2" x14ac:dyDescent="0.3">
      <c r="A54" s="27"/>
      <c r="B54" s="11" t="str">
        <f>CONCATENATE("          ", "6009", " - ", "TEMPORARY-SEASONAL")</f>
        <v xml:space="preserve">          6009 - TEMPORARY-SEASONAL</v>
      </c>
      <c r="C54" s="11"/>
      <c r="D54" s="6"/>
      <c r="E54" s="2"/>
      <c r="F54" s="7">
        <f t="shared" si="20"/>
        <v>0</v>
      </c>
      <c r="G54" s="2"/>
      <c r="H54" s="6">
        <v>0</v>
      </c>
      <c r="I54" s="2"/>
      <c r="J54" s="7">
        <f t="shared" si="21"/>
        <v>0</v>
      </c>
      <c r="K54" s="2"/>
      <c r="L54" s="6">
        <f t="shared" si="22"/>
        <v>0</v>
      </c>
      <c r="M54" s="2"/>
      <c r="N54" s="7">
        <f t="shared" si="23"/>
        <v>0</v>
      </c>
      <c r="O54" s="11"/>
      <c r="P54" s="6"/>
      <c r="Q54" s="2"/>
      <c r="R54" s="7">
        <f t="shared" si="24"/>
        <v>0</v>
      </c>
      <c r="S54" s="2"/>
      <c r="T54" s="6">
        <v>0</v>
      </c>
      <c r="U54" s="2"/>
      <c r="V54" s="7">
        <f t="shared" si="25"/>
        <v>0</v>
      </c>
      <c r="W54" s="2"/>
      <c r="X54" s="6">
        <f t="shared" si="26"/>
        <v>0</v>
      </c>
      <c r="Y54" s="2"/>
      <c r="Z54" s="7">
        <f t="shared" si="27"/>
        <v>0</v>
      </c>
    </row>
    <row r="55" spans="1:26" s="24" customFormat="1" hidden="1" outlineLevel="2" x14ac:dyDescent="0.3">
      <c r="A55" s="27"/>
      <c r="B55" s="11" t="str">
        <f>CONCATENATE("          ", "6010", " - ", "GRATUITY")</f>
        <v xml:space="preserve">          6010 - GRATUITY</v>
      </c>
      <c r="C55" s="11"/>
      <c r="D55" s="6"/>
      <c r="E55" s="2"/>
      <c r="F55" s="7">
        <f t="shared" si="20"/>
        <v>0</v>
      </c>
      <c r="G55" s="2"/>
      <c r="H55" s="6">
        <v>0</v>
      </c>
      <c r="I55" s="2"/>
      <c r="J55" s="7">
        <f t="shared" si="21"/>
        <v>0</v>
      </c>
      <c r="K55" s="2"/>
      <c r="L55" s="6">
        <f t="shared" si="22"/>
        <v>0</v>
      </c>
      <c r="M55" s="2"/>
      <c r="N55" s="7">
        <f t="shared" si="23"/>
        <v>0</v>
      </c>
      <c r="O55" s="11"/>
      <c r="P55" s="6"/>
      <c r="Q55" s="2"/>
      <c r="R55" s="7">
        <f t="shared" si="24"/>
        <v>0</v>
      </c>
      <c r="S55" s="2"/>
      <c r="T55" s="6">
        <v>0</v>
      </c>
      <c r="U55" s="2"/>
      <c r="V55" s="7">
        <f t="shared" si="25"/>
        <v>0</v>
      </c>
      <c r="W55" s="2"/>
      <c r="X55" s="6">
        <f t="shared" si="26"/>
        <v>0</v>
      </c>
      <c r="Y55" s="2"/>
      <c r="Z55" s="7">
        <f t="shared" si="27"/>
        <v>0</v>
      </c>
    </row>
    <row r="56" spans="1:26" s="29" customFormat="1" outlineLevel="1" collapsed="1" x14ac:dyDescent="0.3">
      <c r="A56" s="28"/>
      <c r="B56" s="14" t="str">
        <f>CONCATENATE("     ","Advertising/Promo                                 ")</f>
        <v xml:space="preserve">     Advertising/Promo                                 </v>
      </c>
      <c r="C56" s="14"/>
      <c r="D56" s="1">
        <f>SUM(OSRRefD22_2x_0)</f>
        <v>0.66</v>
      </c>
      <c r="E56" s="1"/>
      <c r="F56" s="5">
        <f t="shared" ref="F56:F71" si="28">IF(D$12=0,0,D56/D$12)</f>
        <v>9.0564670721951377E-5</v>
      </c>
      <c r="G56" s="1"/>
      <c r="H56" s="1">
        <f>SUM(OSRRefH22_2x_0)</f>
        <v>100</v>
      </c>
      <c r="I56" s="1"/>
      <c r="J56" s="5">
        <f t="shared" ref="J56:J71" si="29">IF(H$12=0,0,H56/H$12)</f>
        <v>9.8135426889106973E-3</v>
      </c>
      <c r="K56" s="1"/>
      <c r="L56" s="1">
        <f t="shared" ref="L56:L71" si="30">+D56-H56</f>
        <v>-99.34</v>
      </c>
      <c r="M56" s="1"/>
      <c r="N56" s="5">
        <f t="shared" ref="N56:N71" si="31">IF(H56=0,0,L56/H56)</f>
        <v>-0.99340000000000006</v>
      </c>
      <c r="O56" s="14"/>
      <c r="P56" s="1">
        <f>SUM(OSRRefP22_2x_0)</f>
        <v>233.71</v>
      </c>
      <c r="Q56" s="1"/>
      <c r="R56" s="5">
        <f t="shared" ref="R56:R71" si="32">IF(P$12=0,0,P56/P$12)</f>
        <v>2.3016550417378961E-4</v>
      </c>
      <c r="S56" s="1"/>
      <c r="T56" s="1">
        <f>SUM(OSRRefT22_2x_0)</f>
        <v>2100</v>
      </c>
      <c r="U56" s="1"/>
      <c r="V56" s="5">
        <f t="shared" ref="V56:V71" si="33">IF(T$12=0,0,T56/T$12)</f>
        <v>1.1155437744689214E-3</v>
      </c>
      <c r="W56" s="1"/>
      <c r="X56" s="1">
        <f t="shared" ref="X56:X71" si="34">+P56-T56</f>
        <v>-1866.29</v>
      </c>
      <c r="Y56" s="1"/>
      <c r="Z56" s="5">
        <f t="shared" ref="Z56:Z71" si="35">IF(T56=0,0,X56/T56)</f>
        <v>-0.88870952380952384</v>
      </c>
    </row>
    <row r="57" spans="1:26" s="24" customFormat="1" hidden="1" outlineLevel="2" x14ac:dyDescent="0.3">
      <c r="A57" s="27"/>
      <c r="B57" s="11" t="str">
        <f>CONCATENATE("          ", "6362", " - ", "ADVERTISING EXPENSE")</f>
        <v xml:space="preserve">          6362 - ADVERTISING EXPENSE</v>
      </c>
      <c r="C57" s="11"/>
      <c r="D57" s="6">
        <v>0.66</v>
      </c>
      <c r="E57" s="2"/>
      <c r="F57" s="7">
        <f t="shared" si="28"/>
        <v>9.0564670721951377E-5</v>
      </c>
      <c r="G57" s="2"/>
      <c r="H57" s="6">
        <v>100</v>
      </c>
      <c r="I57" s="2"/>
      <c r="J57" s="7">
        <f t="shared" si="29"/>
        <v>9.8135426889106973E-3</v>
      </c>
      <c r="K57" s="2"/>
      <c r="L57" s="6">
        <f t="shared" si="30"/>
        <v>-99.34</v>
      </c>
      <c r="M57" s="2"/>
      <c r="N57" s="7">
        <f t="shared" si="31"/>
        <v>-0.99340000000000006</v>
      </c>
      <c r="O57" s="11"/>
      <c r="P57" s="6">
        <v>233.71</v>
      </c>
      <c r="Q57" s="2"/>
      <c r="R57" s="7">
        <f t="shared" si="32"/>
        <v>2.3016550417378961E-4</v>
      </c>
      <c r="S57" s="2"/>
      <c r="T57" s="6">
        <v>2100</v>
      </c>
      <c r="U57" s="2"/>
      <c r="V57" s="7">
        <f t="shared" si="33"/>
        <v>1.1155437744689214E-3</v>
      </c>
      <c r="W57" s="2"/>
      <c r="X57" s="6">
        <f t="shared" si="34"/>
        <v>-1866.29</v>
      </c>
      <c r="Y57" s="2"/>
      <c r="Z57" s="7">
        <f t="shared" si="35"/>
        <v>-0.88870952380952384</v>
      </c>
    </row>
    <row r="58" spans="1:26" s="29" customFormat="1" outlineLevel="1" collapsed="1" x14ac:dyDescent="0.3">
      <c r="A58" s="28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SUM(OSRRefD22_3x_0)</f>
        <v>0</v>
      </c>
      <c r="E58" s="1"/>
      <c r="F58" s="5">
        <f t="shared" si="28"/>
        <v>0</v>
      </c>
      <c r="G58" s="1"/>
      <c r="H58" s="1">
        <f>SUM(OSRRefH22_3x_0)</f>
        <v>50</v>
      </c>
      <c r="I58" s="1"/>
      <c r="J58" s="5">
        <f t="shared" si="29"/>
        <v>4.9067713444553487E-3</v>
      </c>
      <c r="K58" s="1"/>
      <c r="L58" s="1">
        <f t="shared" si="30"/>
        <v>-50</v>
      </c>
      <c r="M58" s="1"/>
      <c r="N58" s="5">
        <f t="shared" si="31"/>
        <v>-1</v>
      </c>
      <c r="O58" s="14"/>
      <c r="P58" s="1">
        <f>SUM(OSRRefP22_3x_0)</f>
        <v>0</v>
      </c>
      <c r="Q58" s="1"/>
      <c r="R58" s="5">
        <f t="shared" si="32"/>
        <v>0</v>
      </c>
      <c r="S58" s="1"/>
      <c r="T58" s="1">
        <f>SUM(OSRRefT22_3x_0)</f>
        <v>250</v>
      </c>
      <c r="U58" s="1"/>
      <c r="V58" s="5">
        <f t="shared" si="33"/>
        <v>1.3280283029391924E-4</v>
      </c>
      <c r="W58" s="1"/>
      <c r="X58" s="1">
        <f t="shared" si="34"/>
        <v>-250</v>
      </c>
      <c r="Y58" s="1"/>
      <c r="Z58" s="5">
        <f t="shared" si="35"/>
        <v>-1</v>
      </c>
    </row>
    <row r="59" spans="1:26" s="24" customFormat="1" hidden="1" outlineLevel="2" x14ac:dyDescent="0.3">
      <c r="A59" s="27"/>
      <c r="B59" s="11" t="str">
        <f>CONCATENATE("          ", "6277", " - ", "EMPLOYEE APPRECIATION")</f>
        <v xml:space="preserve">          6277 - EMPLOYEE APPRECIATION</v>
      </c>
      <c r="C59" s="11"/>
      <c r="D59" s="6"/>
      <c r="E59" s="2"/>
      <c r="F59" s="7">
        <f t="shared" si="28"/>
        <v>0</v>
      </c>
      <c r="G59" s="2"/>
      <c r="H59" s="6">
        <v>50</v>
      </c>
      <c r="I59" s="2"/>
      <c r="J59" s="7">
        <f t="shared" si="29"/>
        <v>4.9067713444553487E-3</v>
      </c>
      <c r="K59" s="2"/>
      <c r="L59" s="6">
        <f t="shared" si="30"/>
        <v>-50</v>
      </c>
      <c r="M59" s="2"/>
      <c r="N59" s="7">
        <f t="shared" si="31"/>
        <v>-1</v>
      </c>
      <c r="O59" s="11"/>
      <c r="P59" s="6"/>
      <c r="Q59" s="2"/>
      <c r="R59" s="7">
        <f t="shared" si="32"/>
        <v>0</v>
      </c>
      <c r="S59" s="2"/>
      <c r="T59" s="6">
        <v>250</v>
      </c>
      <c r="U59" s="2"/>
      <c r="V59" s="7">
        <f t="shared" si="33"/>
        <v>1.3280283029391924E-4</v>
      </c>
      <c r="W59" s="2"/>
      <c r="X59" s="6">
        <f t="shared" si="34"/>
        <v>-250</v>
      </c>
      <c r="Y59" s="2"/>
      <c r="Z59" s="7">
        <f t="shared" si="35"/>
        <v>-1</v>
      </c>
    </row>
    <row r="60" spans="1:26" s="29" customFormat="1" outlineLevel="1" collapsed="1" x14ac:dyDescent="0.3">
      <c r="A60" s="28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SUM(OSRRefD22_4x_0)</f>
        <v>91.26</v>
      </c>
      <c r="E60" s="1"/>
      <c r="F60" s="5">
        <f t="shared" si="28"/>
        <v>1.2522624015280731E-2</v>
      </c>
      <c r="G60" s="1"/>
      <c r="H60" s="1">
        <f>SUM(OSRRefH22_4x_0)</f>
        <v>100</v>
      </c>
      <c r="I60" s="1"/>
      <c r="J60" s="5">
        <f t="shared" si="29"/>
        <v>9.8135426889106973E-3</v>
      </c>
      <c r="K60" s="1"/>
      <c r="L60" s="1">
        <f t="shared" si="30"/>
        <v>-8.7399999999999949</v>
      </c>
      <c r="M60" s="1"/>
      <c r="N60" s="5">
        <f t="shared" si="31"/>
        <v>-8.739999999999995E-2</v>
      </c>
      <c r="O60" s="14"/>
      <c r="P60" s="1">
        <f>SUM(OSRRefP22_4x_0)</f>
        <v>456.3</v>
      </c>
      <c r="Q60" s="1"/>
      <c r="R60" s="5">
        <f t="shared" si="32"/>
        <v>4.4937965664498819E-4</v>
      </c>
      <c r="S60" s="1"/>
      <c r="T60" s="1">
        <f>SUM(OSRRefT22_4x_0)</f>
        <v>500</v>
      </c>
      <c r="U60" s="1"/>
      <c r="V60" s="5">
        <f t="shared" si="33"/>
        <v>2.6560566058783847E-4</v>
      </c>
      <c r="W60" s="1"/>
      <c r="X60" s="1">
        <f t="shared" si="34"/>
        <v>-43.699999999999989</v>
      </c>
      <c r="Y60" s="1"/>
      <c r="Z60" s="5">
        <f t="shared" si="35"/>
        <v>-8.7399999999999978E-2</v>
      </c>
    </row>
    <row r="61" spans="1:26" s="24" customFormat="1" hidden="1" outlineLevel="2" x14ac:dyDescent="0.3">
      <c r="A61" s="27"/>
      <c r="B61" s="11" t="str">
        <f>CONCATENATE("          ", "6351", " - ", "EQUIPMENT RENTAL")</f>
        <v xml:space="preserve">          6351 - EQUIPMENT RENTAL</v>
      </c>
      <c r="C61" s="11"/>
      <c r="D61" s="6">
        <v>91.26</v>
      </c>
      <c r="E61" s="2"/>
      <c r="F61" s="7">
        <f t="shared" si="28"/>
        <v>1.2522624015280731E-2</v>
      </c>
      <c r="G61" s="2"/>
      <c r="H61" s="6">
        <v>100</v>
      </c>
      <c r="I61" s="2"/>
      <c r="J61" s="7">
        <f t="shared" si="29"/>
        <v>9.8135426889106973E-3</v>
      </c>
      <c r="K61" s="2"/>
      <c r="L61" s="6">
        <f t="shared" si="30"/>
        <v>-8.7399999999999949</v>
      </c>
      <c r="M61" s="2"/>
      <c r="N61" s="7">
        <f t="shared" si="31"/>
        <v>-8.739999999999995E-2</v>
      </c>
      <c r="O61" s="11"/>
      <c r="P61" s="6">
        <v>456.3</v>
      </c>
      <c r="Q61" s="2"/>
      <c r="R61" s="7">
        <f t="shared" si="32"/>
        <v>4.4937965664498819E-4</v>
      </c>
      <c r="S61" s="2"/>
      <c r="T61" s="6">
        <v>500</v>
      </c>
      <c r="U61" s="2"/>
      <c r="V61" s="7">
        <f t="shared" si="33"/>
        <v>2.6560566058783847E-4</v>
      </c>
      <c r="W61" s="2"/>
      <c r="X61" s="6">
        <f t="shared" si="34"/>
        <v>-43.699999999999989</v>
      </c>
      <c r="Y61" s="2"/>
      <c r="Z61" s="7">
        <f t="shared" si="35"/>
        <v>-8.7399999999999978E-2</v>
      </c>
    </row>
    <row r="62" spans="1:26" s="29" customFormat="1" outlineLevel="1" collapsed="1" x14ac:dyDescent="0.3">
      <c r="A62" s="28"/>
      <c r="B62" s="14" t="str">
        <f>CONCATENATE("     ","Freight out/Postage                               ")</f>
        <v xml:space="preserve">     Freight out/Postage                               </v>
      </c>
      <c r="C62" s="14"/>
      <c r="D62" s="1">
        <f>SUM(OSRRefD22_5x_0)</f>
        <v>2119.1</v>
      </c>
      <c r="E62" s="1"/>
      <c r="F62" s="5">
        <f t="shared" si="28"/>
        <v>0.29078120261649565</v>
      </c>
      <c r="G62" s="1"/>
      <c r="H62" s="1">
        <f>SUM(OSRRefH22_5x_0)</f>
        <v>3000</v>
      </c>
      <c r="I62" s="1"/>
      <c r="J62" s="5">
        <f t="shared" si="29"/>
        <v>0.29440628066732089</v>
      </c>
      <c r="K62" s="1"/>
      <c r="L62" s="1">
        <f t="shared" si="30"/>
        <v>-880.90000000000009</v>
      </c>
      <c r="M62" s="1"/>
      <c r="N62" s="5">
        <f t="shared" si="31"/>
        <v>-0.29363333333333336</v>
      </c>
      <c r="O62" s="14"/>
      <c r="P62" s="1">
        <f>SUM(OSRRefP22_5x_0)</f>
        <v>2512.85</v>
      </c>
      <c r="Q62" s="1"/>
      <c r="R62" s="5">
        <f t="shared" si="32"/>
        <v>2.4747395796632884E-3</v>
      </c>
      <c r="S62" s="1"/>
      <c r="T62" s="1">
        <f>SUM(OSRRefT22_5x_0)</f>
        <v>6400</v>
      </c>
      <c r="U62" s="1"/>
      <c r="V62" s="5">
        <f t="shared" si="33"/>
        <v>3.399752455524332E-3</v>
      </c>
      <c r="W62" s="1"/>
      <c r="X62" s="1">
        <f t="shared" si="34"/>
        <v>-3887.15</v>
      </c>
      <c r="Y62" s="1"/>
      <c r="Z62" s="5">
        <f t="shared" si="35"/>
        <v>-0.60736718749999996</v>
      </c>
    </row>
    <row r="63" spans="1:26" s="24" customFormat="1" hidden="1" outlineLevel="2" x14ac:dyDescent="0.3">
      <c r="A63" s="27"/>
      <c r="B63" s="11" t="str">
        <f>CONCATENATE("          ", "6305", " - ", "FREIGHT OUT")</f>
        <v xml:space="preserve">          6305 - FREIGHT OUT</v>
      </c>
      <c r="C63" s="11"/>
      <c r="D63" s="6">
        <v>2119.1</v>
      </c>
      <c r="E63" s="2"/>
      <c r="F63" s="7">
        <f t="shared" si="28"/>
        <v>0.29078120261649565</v>
      </c>
      <c r="G63" s="2"/>
      <c r="H63" s="6">
        <v>3000</v>
      </c>
      <c r="I63" s="2"/>
      <c r="J63" s="7">
        <f t="shared" si="29"/>
        <v>0.29440628066732089</v>
      </c>
      <c r="K63" s="2"/>
      <c r="L63" s="6">
        <f t="shared" si="30"/>
        <v>-880.90000000000009</v>
      </c>
      <c r="M63" s="2"/>
      <c r="N63" s="7">
        <f t="shared" si="31"/>
        <v>-0.29363333333333336</v>
      </c>
      <c r="O63" s="11"/>
      <c r="P63" s="6">
        <v>2512.85</v>
      </c>
      <c r="Q63" s="2"/>
      <c r="R63" s="7">
        <f t="shared" si="32"/>
        <v>2.4747395796632884E-3</v>
      </c>
      <c r="S63" s="2"/>
      <c r="T63" s="6">
        <v>6400</v>
      </c>
      <c r="U63" s="2"/>
      <c r="V63" s="7">
        <f t="shared" si="33"/>
        <v>3.399752455524332E-3</v>
      </c>
      <c r="W63" s="2"/>
      <c r="X63" s="6">
        <f t="shared" si="34"/>
        <v>-3887.15</v>
      </c>
      <c r="Y63" s="2"/>
      <c r="Z63" s="7">
        <f t="shared" si="35"/>
        <v>-0.60736718749999996</v>
      </c>
    </row>
    <row r="64" spans="1:26" s="29" customFormat="1" outlineLevel="1" collapsed="1" x14ac:dyDescent="0.3">
      <c r="A64" s="28"/>
      <c r="B64" s="14" t="str">
        <f>CONCATENATE("     ","General                                           ")</f>
        <v xml:space="preserve">     General                                           </v>
      </c>
      <c r="C64" s="14"/>
      <c r="D64" s="1">
        <f>SUM(OSRRefD22_6x_0)</f>
        <v>0</v>
      </c>
      <c r="E64" s="1"/>
      <c r="F64" s="5">
        <f t="shared" si="28"/>
        <v>0</v>
      </c>
      <c r="G64" s="1"/>
      <c r="H64" s="1">
        <f>SUM(OSRRefH22_6x_0)</f>
        <v>500</v>
      </c>
      <c r="I64" s="1"/>
      <c r="J64" s="5">
        <f t="shared" si="29"/>
        <v>4.9067713444553483E-2</v>
      </c>
      <c r="K64" s="1"/>
      <c r="L64" s="1">
        <f t="shared" si="30"/>
        <v>-500</v>
      </c>
      <c r="M64" s="1"/>
      <c r="N64" s="5">
        <f t="shared" si="31"/>
        <v>-1</v>
      </c>
      <c r="O64" s="14"/>
      <c r="P64" s="1">
        <f>SUM(OSRRefP22_6x_0)</f>
        <v>0</v>
      </c>
      <c r="Q64" s="1"/>
      <c r="R64" s="5">
        <f t="shared" si="32"/>
        <v>0</v>
      </c>
      <c r="S64" s="1"/>
      <c r="T64" s="1">
        <f>SUM(OSRRefT22_6x_0)</f>
        <v>625</v>
      </c>
      <c r="U64" s="1"/>
      <c r="V64" s="5">
        <f t="shared" si="33"/>
        <v>3.3200707573479804E-4</v>
      </c>
      <c r="W64" s="1"/>
      <c r="X64" s="1">
        <f t="shared" si="34"/>
        <v>-625</v>
      </c>
      <c r="Y64" s="1"/>
      <c r="Z64" s="5">
        <f t="shared" si="35"/>
        <v>-1</v>
      </c>
    </row>
    <row r="65" spans="1:26" s="24" customFormat="1" hidden="1" outlineLevel="2" x14ac:dyDescent="0.3">
      <c r="A65" s="27"/>
      <c r="B65" s="11" t="str">
        <f>CONCATENATE("          ", "6279", " - ", "GENERAL EXPENSE")</f>
        <v xml:space="preserve">          6279 - GENERAL EXPENSE</v>
      </c>
      <c r="C65" s="11"/>
      <c r="D65" s="6"/>
      <c r="E65" s="2"/>
      <c r="F65" s="7">
        <f t="shared" si="28"/>
        <v>0</v>
      </c>
      <c r="G65" s="2"/>
      <c r="H65" s="6">
        <v>500</v>
      </c>
      <c r="I65" s="2"/>
      <c r="J65" s="7">
        <f t="shared" si="29"/>
        <v>4.9067713444553483E-2</v>
      </c>
      <c r="K65" s="2"/>
      <c r="L65" s="6">
        <f t="shared" si="30"/>
        <v>-500</v>
      </c>
      <c r="M65" s="2"/>
      <c r="N65" s="7">
        <f t="shared" si="31"/>
        <v>-1</v>
      </c>
      <c r="O65" s="11"/>
      <c r="P65" s="6"/>
      <c r="Q65" s="2"/>
      <c r="R65" s="7">
        <f t="shared" si="32"/>
        <v>0</v>
      </c>
      <c r="S65" s="2"/>
      <c r="T65" s="6">
        <v>625</v>
      </c>
      <c r="U65" s="2"/>
      <c r="V65" s="7">
        <f t="shared" si="33"/>
        <v>3.3200707573479804E-4</v>
      </c>
      <c r="W65" s="2"/>
      <c r="X65" s="6">
        <f t="shared" si="34"/>
        <v>-625</v>
      </c>
      <c r="Y65" s="2"/>
      <c r="Z65" s="7">
        <f t="shared" si="35"/>
        <v>-1</v>
      </c>
    </row>
    <row r="66" spans="1:26" s="29" customFormat="1" outlineLevel="1" collapsed="1" x14ac:dyDescent="0.3">
      <c r="A66" s="28"/>
      <c r="B66" s="14" t="str">
        <f>CONCATENATE("     ","Inventory Adjustment                              ")</f>
        <v xml:space="preserve">     Inventory Adjustment                              </v>
      </c>
      <c r="C66" s="14"/>
      <c r="D66" s="1">
        <f>SUM(OSRRefD22_7x_0)</f>
        <v>1000</v>
      </c>
      <c r="E66" s="1"/>
      <c r="F66" s="5">
        <f t="shared" si="28"/>
        <v>0.13721919806356267</v>
      </c>
      <c r="G66" s="1"/>
      <c r="H66" s="1">
        <f>SUM(OSRRefH22_7x_0)</f>
        <v>1000</v>
      </c>
      <c r="I66" s="1"/>
      <c r="J66" s="5">
        <f t="shared" si="29"/>
        <v>9.8135426889106966E-2</v>
      </c>
      <c r="K66" s="1"/>
      <c r="L66" s="1">
        <f t="shared" si="30"/>
        <v>0</v>
      </c>
      <c r="M66" s="1"/>
      <c r="N66" s="5">
        <f t="shared" si="31"/>
        <v>0</v>
      </c>
      <c r="O66" s="14"/>
      <c r="P66" s="1">
        <f>SUM(OSRRefP22_7x_0)</f>
        <v>5000</v>
      </c>
      <c r="Q66" s="1"/>
      <c r="R66" s="5">
        <f t="shared" si="32"/>
        <v>4.9241689310211287E-3</v>
      </c>
      <c r="S66" s="1"/>
      <c r="T66" s="1">
        <f>SUM(OSRRefT22_7x_0)</f>
        <v>5000</v>
      </c>
      <c r="U66" s="1"/>
      <c r="V66" s="5">
        <f t="shared" si="33"/>
        <v>2.6560566058783843E-3</v>
      </c>
      <c r="W66" s="1"/>
      <c r="X66" s="1">
        <f t="shared" si="34"/>
        <v>0</v>
      </c>
      <c r="Y66" s="1"/>
      <c r="Z66" s="5">
        <f t="shared" si="35"/>
        <v>0</v>
      </c>
    </row>
    <row r="67" spans="1:26" s="24" customFormat="1" hidden="1" outlineLevel="2" x14ac:dyDescent="0.3">
      <c r="A67" s="27"/>
      <c r="B67" s="11" t="str">
        <f>CONCATENATE("          ", "6408", " - ", "INVENTORY ADJUSTMENT")</f>
        <v xml:space="preserve">          6408 - INVENTORY ADJUSTMENT</v>
      </c>
      <c r="C67" s="11"/>
      <c r="D67" s="6">
        <v>1000</v>
      </c>
      <c r="E67" s="2"/>
      <c r="F67" s="7">
        <f t="shared" si="28"/>
        <v>0.13721919806356267</v>
      </c>
      <c r="G67" s="2"/>
      <c r="H67" s="6">
        <v>1000</v>
      </c>
      <c r="I67" s="2"/>
      <c r="J67" s="7">
        <f t="shared" si="29"/>
        <v>9.8135426889106966E-2</v>
      </c>
      <c r="K67" s="2"/>
      <c r="L67" s="6">
        <f t="shared" si="30"/>
        <v>0</v>
      </c>
      <c r="M67" s="2"/>
      <c r="N67" s="7">
        <f t="shared" si="31"/>
        <v>0</v>
      </c>
      <c r="O67" s="11"/>
      <c r="P67" s="6">
        <v>5000</v>
      </c>
      <c r="Q67" s="2"/>
      <c r="R67" s="7">
        <f t="shared" si="32"/>
        <v>4.9241689310211287E-3</v>
      </c>
      <c r="S67" s="2"/>
      <c r="T67" s="6">
        <v>5000</v>
      </c>
      <c r="U67" s="2"/>
      <c r="V67" s="7">
        <f t="shared" si="33"/>
        <v>2.6560566058783843E-3</v>
      </c>
      <c r="W67" s="2"/>
      <c r="X67" s="6">
        <f t="shared" si="34"/>
        <v>0</v>
      </c>
      <c r="Y67" s="2"/>
      <c r="Z67" s="7">
        <f t="shared" si="35"/>
        <v>0</v>
      </c>
    </row>
    <row r="68" spans="1:26" s="29" customFormat="1" outlineLevel="1" collapsed="1" x14ac:dyDescent="0.3">
      <c r="A68" s="28"/>
      <c r="B68" s="14" t="str">
        <f>CONCATENATE("     ","Repair and Maintenance                            ")</f>
        <v xml:space="preserve">     Repair and Maintenance                            </v>
      </c>
      <c r="C68" s="14"/>
      <c r="D68" s="1">
        <f>SUM(OSRRefD22_8x_0)</f>
        <v>21</v>
      </c>
      <c r="E68" s="1"/>
      <c r="F68" s="5">
        <f t="shared" si="28"/>
        <v>2.8816031593348166E-3</v>
      </c>
      <c r="G68" s="1"/>
      <c r="H68" s="1">
        <f>SUM(OSRRefH22_8x_0)</f>
        <v>80</v>
      </c>
      <c r="I68" s="1"/>
      <c r="J68" s="5">
        <f t="shared" si="29"/>
        <v>7.8508341511285568E-3</v>
      </c>
      <c r="K68" s="1"/>
      <c r="L68" s="1">
        <f t="shared" si="30"/>
        <v>-59</v>
      </c>
      <c r="M68" s="1"/>
      <c r="N68" s="5">
        <f t="shared" si="31"/>
        <v>-0.73750000000000004</v>
      </c>
      <c r="O68" s="14"/>
      <c r="P68" s="1">
        <f>SUM(OSRRefP22_8x_0)</f>
        <v>5854.44</v>
      </c>
      <c r="Q68" s="1"/>
      <c r="R68" s="5">
        <f t="shared" si="32"/>
        <v>5.7656503113054673E-3</v>
      </c>
      <c r="S68" s="1"/>
      <c r="T68" s="1">
        <f>SUM(OSRRefT22_8x_0)</f>
        <v>400</v>
      </c>
      <c r="U68" s="1"/>
      <c r="V68" s="5">
        <f t="shared" si="33"/>
        <v>2.1248452847027075E-4</v>
      </c>
      <c r="W68" s="1"/>
      <c r="X68" s="1">
        <f t="shared" si="34"/>
        <v>5454.44</v>
      </c>
      <c r="Y68" s="1"/>
      <c r="Z68" s="5">
        <f t="shared" si="35"/>
        <v>13.636099999999999</v>
      </c>
    </row>
    <row r="69" spans="1:26" s="24" customFormat="1" hidden="1" outlineLevel="2" x14ac:dyDescent="0.3">
      <c r="A69" s="27"/>
      <c r="B69" s="11" t="str">
        <f>CONCATENATE("          ", "6371", " - ", "COMPUTER SOFTWARE MAINTENANCE")</f>
        <v xml:space="preserve">          6371 - COMPUTER SOFTWARE MAINTENANCE</v>
      </c>
      <c r="C69" s="11"/>
      <c r="D69" s="6"/>
      <c r="E69" s="2"/>
      <c r="F69" s="7">
        <f t="shared" si="28"/>
        <v>0</v>
      </c>
      <c r="G69" s="2"/>
      <c r="H69" s="6"/>
      <c r="I69" s="2"/>
      <c r="J69" s="7">
        <f t="shared" si="29"/>
        <v>0</v>
      </c>
      <c r="K69" s="2"/>
      <c r="L69" s="6">
        <f t="shared" si="30"/>
        <v>0</v>
      </c>
      <c r="M69" s="2"/>
      <c r="N69" s="7">
        <f t="shared" si="31"/>
        <v>0</v>
      </c>
      <c r="O69" s="11"/>
      <c r="P69" s="6">
        <v>5775</v>
      </c>
      <c r="Q69" s="2"/>
      <c r="R69" s="7">
        <f t="shared" si="32"/>
        <v>5.6874151153294035E-3</v>
      </c>
      <c r="S69" s="2"/>
      <c r="T69" s="6"/>
      <c r="U69" s="2"/>
      <c r="V69" s="7">
        <f t="shared" si="33"/>
        <v>0</v>
      </c>
      <c r="W69" s="2"/>
      <c r="X69" s="6">
        <f t="shared" si="34"/>
        <v>5775</v>
      </c>
      <c r="Y69" s="2"/>
      <c r="Z69" s="7">
        <f t="shared" si="35"/>
        <v>0</v>
      </c>
    </row>
    <row r="70" spans="1:26" s="24" customFormat="1" hidden="1" outlineLevel="2" x14ac:dyDescent="0.3">
      <c r="A70" s="27"/>
      <c r="B70" s="11" t="str">
        <f>CONCATENATE("          ", "6373", " - ", "MAINTENANCE CONTRACTS")</f>
        <v xml:space="preserve">          6373 - MAINTENANCE CONTRACTS</v>
      </c>
      <c r="C70" s="11"/>
      <c r="D70" s="6">
        <v>21</v>
      </c>
      <c r="E70" s="2"/>
      <c r="F70" s="7">
        <f t="shared" si="28"/>
        <v>2.8816031593348166E-3</v>
      </c>
      <c r="G70" s="2"/>
      <c r="H70" s="6">
        <v>40</v>
      </c>
      <c r="I70" s="2"/>
      <c r="J70" s="7">
        <f t="shared" si="29"/>
        <v>3.9254170755642784E-3</v>
      </c>
      <c r="K70" s="2"/>
      <c r="L70" s="6">
        <f t="shared" si="30"/>
        <v>-19</v>
      </c>
      <c r="M70" s="2"/>
      <c r="N70" s="7">
        <f t="shared" si="31"/>
        <v>-0.47499999999999998</v>
      </c>
      <c r="O70" s="11"/>
      <c r="P70" s="6">
        <v>79.44</v>
      </c>
      <c r="Q70" s="2"/>
      <c r="R70" s="7">
        <f t="shared" si="32"/>
        <v>7.8235195976063691E-5</v>
      </c>
      <c r="S70" s="2"/>
      <c r="T70" s="6">
        <v>200</v>
      </c>
      <c r="U70" s="2"/>
      <c r="V70" s="7">
        <f t="shared" si="33"/>
        <v>1.0624226423513538E-4</v>
      </c>
      <c r="W70" s="2"/>
      <c r="X70" s="6">
        <f t="shared" si="34"/>
        <v>-120.56</v>
      </c>
      <c r="Y70" s="2"/>
      <c r="Z70" s="7">
        <f t="shared" si="35"/>
        <v>-0.6028</v>
      </c>
    </row>
    <row r="71" spans="1:26" s="24" customFormat="1" hidden="1" outlineLevel="2" x14ac:dyDescent="0.3">
      <c r="A71" s="27"/>
      <c r="B71" s="11" t="str">
        <f>CONCATENATE("          ", "6375", " - ", "OUTSIDE REPAIRS &amp; MAINTENANCE")</f>
        <v xml:space="preserve">          6375 - OUTSIDE REPAIRS &amp; MAINTENANCE</v>
      </c>
      <c r="C71" s="11"/>
      <c r="D71" s="6"/>
      <c r="E71" s="2"/>
      <c r="F71" s="7">
        <f t="shared" si="28"/>
        <v>0</v>
      </c>
      <c r="G71" s="2"/>
      <c r="H71" s="6">
        <v>40</v>
      </c>
      <c r="I71" s="2"/>
      <c r="J71" s="7">
        <f t="shared" si="29"/>
        <v>3.9254170755642784E-3</v>
      </c>
      <c r="K71" s="2"/>
      <c r="L71" s="6">
        <f t="shared" si="30"/>
        <v>-40</v>
      </c>
      <c r="M71" s="2"/>
      <c r="N71" s="7">
        <f t="shared" si="31"/>
        <v>-1</v>
      </c>
      <c r="O71" s="11"/>
      <c r="P71" s="6"/>
      <c r="Q71" s="2"/>
      <c r="R71" s="7">
        <f t="shared" si="32"/>
        <v>0</v>
      </c>
      <c r="S71" s="2"/>
      <c r="T71" s="6">
        <v>200</v>
      </c>
      <c r="U71" s="2"/>
      <c r="V71" s="7">
        <f t="shared" si="33"/>
        <v>1.0624226423513538E-4</v>
      </c>
      <c r="W71" s="2"/>
      <c r="X71" s="6">
        <f t="shared" si="34"/>
        <v>-200</v>
      </c>
      <c r="Y71" s="2"/>
      <c r="Z71" s="7">
        <f t="shared" si="35"/>
        <v>-1</v>
      </c>
    </row>
    <row r="72" spans="1:26" s="29" customFormat="1" outlineLevel="1" collapsed="1" x14ac:dyDescent="0.3">
      <c r="A72" s="28"/>
      <c r="B72" s="14" t="str">
        <f>CONCATENATE("     ","Subscriptions &amp; Dues                              ")</f>
        <v xml:space="preserve">     Subscriptions &amp; Dues                              </v>
      </c>
      <c r="C72" s="14"/>
      <c r="D72" s="1">
        <f>SUM(OSRRefD22_9x_0)</f>
        <v>148.66</v>
      </c>
      <c r="E72" s="1"/>
      <c r="F72" s="5">
        <f t="shared" ref="F72:F76" si="36">IF(D$12=0,0,D72/D$12)</f>
        <v>2.0399005984129227E-2</v>
      </c>
      <c r="G72" s="1"/>
      <c r="H72" s="1">
        <f>SUM(OSRRefH22_9x_0)</f>
        <v>300</v>
      </c>
      <c r="I72" s="1"/>
      <c r="J72" s="5">
        <f t="shared" ref="J72:J76" si="37">IF(H$12=0,0,H72/H$12)</f>
        <v>2.9440628066732092E-2</v>
      </c>
      <c r="K72" s="1"/>
      <c r="L72" s="1">
        <f t="shared" ref="L72:L76" si="38">+D72-H72</f>
        <v>-151.34</v>
      </c>
      <c r="M72" s="1"/>
      <c r="N72" s="5">
        <f t="shared" ref="N72:N76" si="39">IF(H72=0,0,L72/H72)</f>
        <v>-0.50446666666666673</v>
      </c>
      <c r="O72" s="14"/>
      <c r="P72" s="1">
        <f>SUM(OSRRefP22_9x_0)</f>
        <v>1225.5</v>
      </c>
      <c r="Q72" s="1"/>
      <c r="R72" s="5">
        <f t="shared" ref="R72:R76" si="40">IF(P$12=0,0,P72/P$12)</f>
        <v>1.2069138049932786E-3</v>
      </c>
      <c r="S72" s="1"/>
      <c r="T72" s="1">
        <f>SUM(OSRRefT22_9x_0)</f>
        <v>1500</v>
      </c>
      <c r="U72" s="1"/>
      <c r="V72" s="5">
        <f t="shared" ref="V72:V76" si="41">IF(T$12=0,0,T72/T$12)</f>
        <v>7.9681698176351531E-4</v>
      </c>
      <c r="W72" s="1"/>
      <c r="X72" s="1">
        <f t="shared" ref="X72:X76" si="42">+P72-T72</f>
        <v>-274.5</v>
      </c>
      <c r="Y72" s="1"/>
      <c r="Z72" s="5">
        <f t="shared" ref="Z72:Z76" si="43">IF(T72=0,0,X72/T72)</f>
        <v>-0.183</v>
      </c>
    </row>
    <row r="73" spans="1:26" s="24" customFormat="1" hidden="1" outlineLevel="2" x14ac:dyDescent="0.3">
      <c r="A73" s="27"/>
      <c r="B73" s="11" t="str">
        <f>CONCATENATE("          ", "6258", " - ", "MEMBERSHIP DUES")</f>
        <v xml:space="preserve">          6258 - MEMBERSHIP DUES</v>
      </c>
      <c r="C73" s="11"/>
      <c r="D73" s="6">
        <v>148.66</v>
      </c>
      <c r="E73" s="2"/>
      <c r="F73" s="7">
        <f t="shared" si="36"/>
        <v>2.0399005984129227E-2</v>
      </c>
      <c r="G73" s="2"/>
      <c r="H73" s="6">
        <v>300</v>
      </c>
      <c r="I73" s="2"/>
      <c r="J73" s="7">
        <f t="shared" si="37"/>
        <v>2.9440628066732092E-2</v>
      </c>
      <c r="K73" s="2"/>
      <c r="L73" s="6">
        <f t="shared" si="38"/>
        <v>-151.34</v>
      </c>
      <c r="M73" s="2"/>
      <c r="N73" s="7">
        <f t="shared" si="39"/>
        <v>-0.50446666666666673</v>
      </c>
      <c r="O73" s="11"/>
      <c r="P73" s="6">
        <v>1225.5</v>
      </c>
      <c r="Q73" s="2"/>
      <c r="R73" s="7">
        <f t="shared" si="40"/>
        <v>1.2069138049932786E-3</v>
      </c>
      <c r="S73" s="2"/>
      <c r="T73" s="6">
        <v>1500</v>
      </c>
      <c r="U73" s="2"/>
      <c r="V73" s="7">
        <f t="shared" si="41"/>
        <v>7.9681698176351531E-4</v>
      </c>
      <c r="W73" s="2"/>
      <c r="X73" s="6">
        <f t="shared" si="42"/>
        <v>-274.5</v>
      </c>
      <c r="Y73" s="2"/>
      <c r="Z73" s="7">
        <f t="shared" si="43"/>
        <v>-0.183</v>
      </c>
    </row>
    <row r="74" spans="1:26" s="29" customFormat="1" outlineLevel="1" collapsed="1" x14ac:dyDescent="0.3">
      <c r="A74" s="28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SUM(OSRRefD22_10x_0)</f>
        <v>207.4</v>
      </c>
      <c r="E74" s="1"/>
      <c r="F74" s="5">
        <f t="shared" si="36"/>
        <v>2.8459261678382902E-2</v>
      </c>
      <c r="G74" s="1"/>
      <c r="H74" s="1">
        <f>SUM(OSRRefH22_10x_0)</f>
        <v>700</v>
      </c>
      <c r="I74" s="1"/>
      <c r="J74" s="5">
        <f t="shared" si="37"/>
        <v>6.8694798822374878E-2</v>
      </c>
      <c r="K74" s="1"/>
      <c r="L74" s="1">
        <f t="shared" si="38"/>
        <v>-492.6</v>
      </c>
      <c r="M74" s="1"/>
      <c r="N74" s="5">
        <f t="shared" si="39"/>
        <v>-0.70371428571428574</v>
      </c>
      <c r="O74" s="14"/>
      <c r="P74" s="1">
        <f>SUM(OSRRefP22_10x_0)</f>
        <v>944.33</v>
      </c>
      <c r="Q74" s="1"/>
      <c r="R74" s="5">
        <f t="shared" si="40"/>
        <v>9.3000808932623647E-4</v>
      </c>
      <c r="S74" s="1"/>
      <c r="T74" s="1">
        <f>SUM(OSRRefT22_10x_0)</f>
        <v>3700</v>
      </c>
      <c r="U74" s="1"/>
      <c r="V74" s="5">
        <f t="shared" si="41"/>
        <v>1.9654818883500045E-3</v>
      </c>
      <c r="W74" s="1"/>
      <c r="X74" s="1">
        <f t="shared" si="42"/>
        <v>-2755.67</v>
      </c>
      <c r="Y74" s="1"/>
      <c r="Z74" s="5">
        <f t="shared" si="43"/>
        <v>-0.74477567567567571</v>
      </c>
    </row>
    <row r="75" spans="1:26" s="24" customFormat="1" hidden="1" outlineLevel="2" x14ac:dyDescent="0.3">
      <c r="A75" s="27"/>
      <c r="B75" s="11" t="str">
        <f>CONCATENATE("          ", "6241", " - ", "OFFICE EXPENSE")</f>
        <v xml:space="preserve">          6241 - OFFICE EXPENSE</v>
      </c>
      <c r="C75" s="11"/>
      <c r="D75" s="6">
        <v>207.4</v>
      </c>
      <c r="E75" s="2"/>
      <c r="F75" s="7">
        <f t="shared" si="36"/>
        <v>2.8459261678382902E-2</v>
      </c>
      <c r="G75" s="2"/>
      <c r="H75" s="6">
        <v>300</v>
      </c>
      <c r="I75" s="2"/>
      <c r="J75" s="7">
        <f t="shared" si="37"/>
        <v>2.9440628066732092E-2</v>
      </c>
      <c r="K75" s="2"/>
      <c r="L75" s="6">
        <f t="shared" si="38"/>
        <v>-92.6</v>
      </c>
      <c r="M75" s="2"/>
      <c r="N75" s="7">
        <f t="shared" si="39"/>
        <v>-0.30866666666666664</v>
      </c>
      <c r="O75" s="11"/>
      <c r="P75" s="6">
        <v>944.33</v>
      </c>
      <c r="Q75" s="2"/>
      <c r="R75" s="7">
        <f t="shared" si="40"/>
        <v>9.3000808932623647E-4</v>
      </c>
      <c r="S75" s="2"/>
      <c r="T75" s="6">
        <v>1800</v>
      </c>
      <c r="U75" s="2"/>
      <c r="V75" s="7">
        <f t="shared" si="41"/>
        <v>9.561803781162184E-4</v>
      </c>
      <c r="W75" s="2"/>
      <c r="X75" s="6">
        <f t="shared" si="42"/>
        <v>-855.67</v>
      </c>
      <c r="Y75" s="2"/>
      <c r="Z75" s="7">
        <f t="shared" si="43"/>
        <v>-0.4753722222222222</v>
      </c>
    </row>
    <row r="76" spans="1:26" s="24" customFormat="1" hidden="1" outlineLevel="2" x14ac:dyDescent="0.3">
      <c r="A76" s="27"/>
      <c r="B76" s="11" t="str">
        <f>CONCATENATE("          ", "6247", " - ", "STORE SUPPLIES")</f>
        <v xml:space="preserve">          6247 - STORE SUPPLIES</v>
      </c>
      <c r="C76" s="11"/>
      <c r="D76" s="6"/>
      <c r="E76" s="2"/>
      <c r="F76" s="7">
        <f t="shared" si="36"/>
        <v>0</v>
      </c>
      <c r="G76" s="2"/>
      <c r="H76" s="6">
        <v>400</v>
      </c>
      <c r="I76" s="2"/>
      <c r="J76" s="7">
        <f t="shared" si="37"/>
        <v>3.9254170755642789E-2</v>
      </c>
      <c r="K76" s="2"/>
      <c r="L76" s="6">
        <f t="shared" si="38"/>
        <v>-400</v>
      </c>
      <c r="M76" s="2"/>
      <c r="N76" s="7">
        <f t="shared" si="39"/>
        <v>-1</v>
      </c>
      <c r="O76" s="11"/>
      <c r="P76" s="6"/>
      <c r="Q76" s="2"/>
      <c r="R76" s="7">
        <f t="shared" si="40"/>
        <v>0</v>
      </c>
      <c r="S76" s="2"/>
      <c r="T76" s="6">
        <v>1900</v>
      </c>
      <c r="U76" s="2"/>
      <c r="V76" s="7">
        <f t="shared" si="41"/>
        <v>1.0093015102337862E-3</v>
      </c>
      <c r="W76" s="2"/>
      <c r="X76" s="6">
        <f t="shared" si="42"/>
        <v>-1900</v>
      </c>
      <c r="Y76" s="2"/>
      <c r="Z76" s="7">
        <f t="shared" si="43"/>
        <v>-1</v>
      </c>
    </row>
    <row r="77" spans="1:26" s="29" customFormat="1" outlineLevel="1" collapsed="1" x14ac:dyDescent="0.3">
      <c r="A77" s="28"/>
      <c r="B77" s="14" t="str">
        <f>CONCATENATE("     ","Telephone/Data Lines                              ")</f>
        <v xml:space="preserve">     Telephone/Data Lines                              </v>
      </c>
      <c r="C77" s="14"/>
      <c r="D77" s="1">
        <f>SUM(OSRRefD22_11x_0)</f>
        <v>562.29999999999995</v>
      </c>
      <c r="E77" s="1"/>
      <c r="F77" s="5">
        <f t="shared" ref="F77:F79" si="44">IF(D$12=0,0,D77/D$12)</f>
        <v>7.7158355071141285E-2</v>
      </c>
      <c r="G77" s="1"/>
      <c r="H77" s="1">
        <f>SUM(OSRRefH22_11x_0)</f>
        <v>350</v>
      </c>
      <c r="I77" s="1"/>
      <c r="J77" s="5">
        <f t="shared" ref="J77:J79" si="45">IF(H$12=0,0,H77/H$12)</f>
        <v>3.4347399411187439E-2</v>
      </c>
      <c r="K77" s="1"/>
      <c r="L77" s="1">
        <f t="shared" ref="L77:L79" si="46">+D77-H77</f>
        <v>212.29999999999995</v>
      </c>
      <c r="M77" s="1"/>
      <c r="N77" s="5">
        <f t="shared" ref="N77:N79" si="47">IF(H77=0,0,L77/H77)</f>
        <v>0.60657142857142843</v>
      </c>
      <c r="O77" s="14"/>
      <c r="P77" s="1">
        <f>SUM(OSRRefP22_11x_0)</f>
        <v>3017.35</v>
      </c>
      <c r="Q77" s="1"/>
      <c r="R77" s="5">
        <f t="shared" ref="R77:R79" si="48">IF(P$12=0,0,P77/P$12)</f>
        <v>2.9715882248033203E-3</v>
      </c>
      <c r="S77" s="1"/>
      <c r="T77" s="1">
        <f>SUM(OSRRefT22_11x_0)</f>
        <v>2100</v>
      </c>
      <c r="U77" s="1"/>
      <c r="V77" s="5">
        <f t="shared" ref="V77:V79" si="49">IF(T$12=0,0,T77/T$12)</f>
        <v>1.1155437744689214E-3</v>
      </c>
      <c r="W77" s="1"/>
      <c r="X77" s="1">
        <f t="shared" ref="X77:X79" si="50">+P77-T77</f>
        <v>917.34999999999991</v>
      </c>
      <c r="Y77" s="1"/>
      <c r="Z77" s="5">
        <f t="shared" ref="Z77:Z79" si="51">IF(T77=0,0,X77/T77)</f>
        <v>0.4368333333333333</v>
      </c>
    </row>
    <row r="78" spans="1:26" s="24" customFormat="1" hidden="1" outlineLevel="2" x14ac:dyDescent="0.3">
      <c r="A78" s="27"/>
      <c r="B78" s="11" t="str">
        <f>CONCATENATE("          ", "6303", " - ", "DATA PHONE LINES")</f>
        <v xml:space="preserve">          6303 - DATA PHONE LINES</v>
      </c>
      <c r="C78" s="11"/>
      <c r="D78" s="6"/>
      <c r="E78" s="2"/>
      <c r="F78" s="7">
        <f t="shared" si="44"/>
        <v>0</v>
      </c>
      <c r="G78" s="2"/>
      <c r="H78" s="6">
        <v>0</v>
      </c>
      <c r="I78" s="2"/>
      <c r="J78" s="7">
        <f t="shared" si="45"/>
        <v>0</v>
      </c>
      <c r="K78" s="2"/>
      <c r="L78" s="6">
        <f t="shared" si="46"/>
        <v>0</v>
      </c>
      <c r="M78" s="2"/>
      <c r="N78" s="7">
        <f t="shared" si="47"/>
        <v>0</v>
      </c>
      <c r="O78" s="11"/>
      <c r="P78" s="6">
        <v>295</v>
      </c>
      <c r="Q78" s="2"/>
      <c r="R78" s="7">
        <f t="shared" si="48"/>
        <v>2.9052596693024657E-4</v>
      </c>
      <c r="S78" s="2"/>
      <c r="T78" s="6">
        <v>0</v>
      </c>
      <c r="U78" s="2"/>
      <c r="V78" s="7">
        <f t="shared" si="49"/>
        <v>0</v>
      </c>
      <c r="W78" s="2"/>
      <c r="X78" s="6">
        <f t="shared" si="50"/>
        <v>295</v>
      </c>
      <c r="Y78" s="2"/>
      <c r="Z78" s="7">
        <f t="shared" si="51"/>
        <v>0</v>
      </c>
    </row>
    <row r="79" spans="1:26" s="24" customFormat="1" hidden="1" outlineLevel="2" x14ac:dyDescent="0.3">
      <c r="A79" s="27"/>
      <c r="B79" s="11" t="str">
        <f>CONCATENATE("          ", "6309", " - ", "TELEPHONE")</f>
        <v xml:space="preserve">          6309 - TELEPHONE</v>
      </c>
      <c r="C79" s="11"/>
      <c r="D79" s="6">
        <v>562.29999999999995</v>
      </c>
      <c r="E79" s="2"/>
      <c r="F79" s="7">
        <f t="shared" si="44"/>
        <v>7.7158355071141285E-2</v>
      </c>
      <c r="G79" s="2"/>
      <c r="H79" s="6">
        <v>350</v>
      </c>
      <c r="I79" s="2"/>
      <c r="J79" s="7">
        <f t="shared" si="45"/>
        <v>3.4347399411187439E-2</v>
      </c>
      <c r="K79" s="2"/>
      <c r="L79" s="6">
        <f t="shared" si="46"/>
        <v>212.29999999999995</v>
      </c>
      <c r="M79" s="2"/>
      <c r="N79" s="7">
        <f t="shared" si="47"/>
        <v>0.60657142857142843</v>
      </c>
      <c r="O79" s="11"/>
      <c r="P79" s="6">
        <v>2722.35</v>
      </c>
      <c r="Q79" s="2"/>
      <c r="R79" s="7">
        <f t="shared" si="48"/>
        <v>2.6810622578730737E-3</v>
      </c>
      <c r="S79" s="2"/>
      <c r="T79" s="6">
        <v>2100</v>
      </c>
      <c r="U79" s="2"/>
      <c r="V79" s="7">
        <f t="shared" si="49"/>
        <v>1.1155437744689214E-3</v>
      </c>
      <c r="W79" s="2"/>
      <c r="X79" s="6">
        <f t="shared" si="50"/>
        <v>622.34999999999991</v>
      </c>
      <c r="Y79" s="2"/>
      <c r="Z79" s="7">
        <f t="shared" si="51"/>
        <v>0.29635714285714282</v>
      </c>
    </row>
    <row r="80" spans="1:26" s="29" customFormat="1" outlineLevel="1" collapsed="1" x14ac:dyDescent="0.3">
      <c r="A80" s="28"/>
      <c r="B80" s="14" t="str">
        <f>CONCATENATE("     ","Training                                          ")</f>
        <v xml:space="preserve">     Training                                          </v>
      </c>
      <c r="C80" s="14"/>
      <c r="D80" s="1">
        <f>SUM(OSRRefD22_12x_0)</f>
        <v>0</v>
      </c>
      <c r="E80" s="1"/>
      <c r="F80" s="5">
        <f t="shared" ref="F80:F81" si="52">IF(D$12=0,0,D80/D$12)</f>
        <v>0</v>
      </c>
      <c r="G80" s="1"/>
      <c r="H80" s="1">
        <f>SUM(OSRRefH22_12x_0)</f>
        <v>0</v>
      </c>
      <c r="I80" s="1"/>
      <c r="J80" s="5">
        <f t="shared" ref="J80:J81" si="53">IF(H$12=0,0,H80/H$12)</f>
        <v>0</v>
      </c>
      <c r="K80" s="1"/>
      <c r="L80" s="1">
        <f t="shared" ref="L80:L81" si="54">+D80-H80</f>
        <v>0</v>
      </c>
      <c r="M80" s="1"/>
      <c r="N80" s="5">
        <f t="shared" ref="N80:N81" si="55">IF(H80=0,0,L80/H80)</f>
        <v>0</v>
      </c>
      <c r="O80" s="14"/>
      <c r="P80" s="1">
        <f>SUM(OSRRefP22_12x_0)</f>
        <v>0</v>
      </c>
      <c r="Q80" s="1"/>
      <c r="R80" s="5">
        <f t="shared" ref="R80:R81" si="56">IF(P$12=0,0,P80/P$12)</f>
        <v>0</v>
      </c>
      <c r="S80" s="1"/>
      <c r="T80" s="1">
        <f>SUM(OSRRefT22_12x_0)</f>
        <v>0</v>
      </c>
      <c r="U80" s="1"/>
      <c r="V80" s="5">
        <f t="shared" ref="V80:V81" si="57">IF(T$12=0,0,T80/T$12)</f>
        <v>0</v>
      </c>
      <c r="W80" s="1"/>
      <c r="X80" s="1">
        <f t="shared" ref="X80:X81" si="58">+P80-T80</f>
        <v>0</v>
      </c>
      <c r="Y80" s="1"/>
      <c r="Z80" s="5">
        <f t="shared" ref="Z80:Z81" si="59">IF(T80=0,0,X80/T80)</f>
        <v>0</v>
      </c>
    </row>
    <row r="81" spans="1:26" s="24" customFormat="1" hidden="1" outlineLevel="2" x14ac:dyDescent="0.3">
      <c r="A81" s="27"/>
      <c r="B81" s="11" t="str">
        <f>CONCATENATE("          ", "6376", " - ", "TRAINING")</f>
        <v xml:space="preserve">          6376 - TRAINING</v>
      </c>
      <c r="C81" s="11"/>
      <c r="D81" s="6"/>
      <c r="E81" s="2"/>
      <c r="F81" s="7">
        <f t="shared" si="52"/>
        <v>0</v>
      </c>
      <c r="G81" s="2"/>
      <c r="H81" s="6">
        <v>0</v>
      </c>
      <c r="I81" s="2"/>
      <c r="J81" s="7">
        <f t="shared" si="53"/>
        <v>0</v>
      </c>
      <c r="K81" s="2"/>
      <c r="L81" s="6">
        <f t="shared" si="54"/>
        <v>0</v>
      </c>
      <c r="M81" s="2"/>
      <c r="N81" s="7">
        <f t="shared" si="55"/>
        <v>0</v>
      </c>
      <c r="O81" s="11"/>
      <c r="P81" s="6"/>
      <c r="Q81" s="2"/>
      <c r="R81" s="7">
        <f t="shared" si="56"/>
        <v>0</v>
      </c>
      <c r="S81" s="2"/>
      <c r="T81" s="6">
        <v>0</v>
      </c>
      <c r="U81" s="2"/>
      <c r="V81" s="7">
        <f t="shared" si="57"/>
        <v>0</v>
      </c>
      <c r="W81" s="2"/>
      <c r="X81" s="6">
        <f t="shared" si="58"/>
        <v>0</v>
      </c>
      <c r="Y81" s="2"/>
      <c r="Z81" s="7">
        <f t="shared" si="59"/>
        <v>0</v>
      </c>
    </row>
    <row r="82" spans="1:26" s="63" customFormat="1" x14ac:dyDescent="0.3">
      <c r="A82" s="36"/>
      <c r="B82" s="36"/>
      <c r="C82" s="36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6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collapsed="1" x14ac:dyDescent="0.3">
      <c r="A83" s="10"/>
      <c r="B83" s="25" t="s">
        <v>293</v>
      </c>
      <c r="C83" s="10"/>
      <c r="D83" s="4">
        <f>SUM(OSRRefD25x_0)</f>
        <v>300.14</v>
      </c>
      <c r="E83" s="4"/>
      <c r="F83" s="12">
        <f t="shared" ref="F83:F87" si="60">IF(D$12=0,0,D83/D$12)</f>
        <v>4.1184970106797704E-2</v>
      </c>
      <c r="G83" s="4"/>
      <c r="H83" s="4">
        <f>SUM(OSRRefH25x_0)</f>
        <v>295</v>
      </c>
      <c r="I83" s="4"/>
      <c r="J83" s="12">
        <f t="shared" ref="J83:J87" si="61">IF(H$12=0,0,H83/H$12)</f>
        <v>2.8949950932286556E-2</v>
      </c>
      <c r="K83" s="4"/>
      <c r="L83" s="4">
        <f t="shared" ref="L83:L87" si="62">+D83-H83</f>
        <v>5.1399999999999864</v>
      </c>
      <c r="M83" s="4"/>
      <c r="N83" s="12">
        <f t="shared" ref="N83:N87" si="63">IF(H83=0,0,L83/H83)</f>
        <v>1.7423728813559275E-2</v>
      </c>
      <c r="O83" s="10"/>
      <c r="P83" s="4">
        <f>SUM(OSRRefP25x_0)</f>
        <v>189972.03</v>
      </c>
      <c r="Q83" s="4"/>
      <c r="R83" s="12">
        <f t="shared" ref="R83:R87" si="64">IF(P$12=0,0,P83/P$12)</f>
        <v>0.18709087357780277</v>
      </c>
      <c r="S83" s="4"/>
      <c r="T83" s="4">
        <f>SUM(OSRRefT25x_0)</f>
        <v>178304.5</v>
      </c>
      <c r="U83" s="4"/>
      <c r="V83" s="12">
        <f t="shared" ref="V83:V87" si="65">IF(T$12=0,0,T83/T$12)</f>
        <v>9.4717369016568478E-2</v>
      </c>
      <c r="W83" s="4"/>
      <c r="X83" s="4">
        <f t="shared" ref="X83:X87" si="66">+P83-T83</f>
        <v>11667.529999999999</v>
      </c>
      <c r="Y83" s="4"/>
      <c r="Z83" s="12">
        <f t="shared" ref="Z83:Z87" si="67">IF(T83=0,0,X83/T83)</f>
        <v>6.5435981705453311E-2</v>
      </c>
    </row>
    <row r="84" spans="1:26" s="24" customFormat="1" hidden="1" outlineLevel="1" x14ac:dyDescent="0.3">
      <c r="A84" s="44"/>
      <c r="B84" s="11" t="str">
        <f>CONCATENATE("          ", "9150", " - ", "MISC. INCOME")</f>
        <v xml:space="preserve">          9150 - MISC. INCOME</v>
      </c>
      <c r="C84" s="11"/>
      <c r="D84" s="2">
        <f>--300.14</f>
        <v>300.14</v>
      </c>
      <c r="E84" s="2"/>
      <c r="F84" s="19">
        <f t="shared" si="60"/>
        <v>4.1184970106797704E-2</v>
      </c>
      <c r="G84" s="2"/>
      <c r="H84" s="2">
        <v>295</v>
      </c>
      <c r="I84" s="2"/>
      <c r="J84" s="19">
        <f t="shared" si="61"/>
        <v>2.8949950932286556E-2</v>
      </c>
      <c r="K84" s="2"/>
      <c r="L84" s="2">
        <f t="shared" si="62"/>
        <v>5.1399999999999864</v>
      </c>
      <c r="M84" s="2"/>
      <c r="N84" s="19">
        <f t="shared" si="63"/>
        <v>1.7423728813559275E-2</v>
      </c>
      <c r="O84" s="11"/>
      <c r="P84" s="2">
        <f>--19313.26</f>
        <v>19313.259999999998</v>
      </c>
      <c r="Q84" s="2"/>
      <c r="R84" s="19">
        <f t="shared" si="64"/>
        <v>1.9020350969746622E-2</v>
      </c>
      <c r="S84" s="2"/>
      <c r="T84" s="2">
        <v>16324</v>
      </c>
      <c r="U84" s="2"/>
      <c r="V84" s="19">
        <f t="shared" si="65"/>
        <v>8.6714936068717496E-3</v>
      </c>
      <c r="W84" s="2"/>
      <c r="X84" s="2">
        <f t="shared" si="66"/>
        <v>2989.2599999999984</v>
      </c>
      <c r="Y84" s="2"/>
      <c r="Z84" s="19">
        <f t="shared" si="67"/>
        <v>0.18312055868659632</v>
      </c>
    </row>
    <row r="85" spans="1:26" s="24" customFormat="1" hidden="1" outlineLevel="1" x14ac:dyDescent="0.3">
      <c r="A85" s="44"/>
      <c r="B85" s="11" t="str">
        <f>CONCATENATE("          ", "9151", " - ", "MISC. INCOME")</f>
        <v xml:space="preserve">          9151 - MISC. INCOME</v>
      </c>
      <c r="C85" s="11"/>
      <c r="D85" s="2">
        <f t="shared" ref="D85:D87" si="68">0</f>
        <v>0</v>
      </c>
      <c r="E85" s="2"/>
      <c r="F85" s="19">
        <f t="shared" si="60"/>
        <v>0</v>
      </c>
      <c r="G85" s="2"/>
      <c r="H85" s="2"/>
      <c r="I85" s="2"/>
      <c r="J85" s="19">
        <f t="shared" si="61"/>
        <v>0</v>
      </c>
      <c r="K85" s="2"/>
      <c r="L85" s="2">
        <f t="shared" si="62"/>
        <v>0</v>
      </c>
      <c r="M85" s="2"/>
      <c r="N85" s="19">
        <f t="shared" si="63"/>
        <v>0</v>
      </c>
      <c r="O85" s="11"/>
      <c r="P85" s="2">
        <f>--168463.36</f>
        <v>168463.35999999999</v>
      </c>
      <c r="Q85" s="2"/>
      <c r="R85" s="19">
        <f t="shared" si="64"/>
        <v>0.16590840866548551</v>
      </c>
      <c r="S85" s="2"/>
      <c r="T85" s="2">
        <v>161980.5</v>
      </c>
      <c r="U85" s="2"/>
      <c r="V85" s="19">
        <f t="shared" si="65"/>
        <v>8.6045875409696729E-2</v>
      </c>
      <c r="W85" s="2"/>
      <c r="X85" s="2">
        <f t="shared" si="66"/>
        <v>6482.859999999986</v>
      </c>
      <c r="Y85" s="2"/>
      <c r="Z85" s="19">
        <f t="shared" si="67"/>
        <v>4.0022471840746178E-2</v>
      </c>
    </row>
    <row r="86" spans="1:26" s="24" customFormat="1" hidden="1" outlineLevel="1" x14ac:dyDescent="0.3">
      <c r="A86" s="44"/>
      <c r="B86" s="11" t="str">
        <f>CONCATENATE("          ", "9152", " - ", "MISC. INCOME")</f>
        <v xml:space="preserve">          9152 - MISC. INCOME</v>
      </c>
      <c r="C86" s="11"/>
      <c r="D86" s="2">
        <f t="shared" si="68"/>
        <v>0</v>
      </c>
      <c r="E86" s="2"/>
      <c r="F86" s="19">
        <f t="shared" si="60"/>
        <v>0</v>
      </c>
      <c r="G86" s="2"/>
      <c r="H86" s="2"/>
      <c r="I86" s="2"/>
      <c r="J86" s="19">
        <f t="shared" si="61"/>
        <v>0</v>
      </c>
      <c r="K86" s="2"/>
      <c r="L86" s="2">
        <f t="shared" si="62"/>
        <v>0</v>
      </c>
      <c r="M86" s="2"/>
      <c r="N86" s="19">
        <f t="shared" si="63"/>
        <v>0</v>
      </c>
      <c r="O86" s="11"/>
      <c r="P86" s="2">
        <f>--2195.41</f>
        <v>2195.41</v>
      </c>
      <c r="Q86" s="2"/>
      <c r="R86" s="19">
        <f t="shared" si="64"/>
        <v>2.162113942570619E-3</v>
      </c>
      <c r="S86" s="2"/>
      <c r="T86" s="2"/>
      <c r="U86" s="2"/>
      <c r="V86" s="19">
        <f t="shared" si="65"/>
        <v>0</v>
      </c>
      <c r="W86" s="2"/>
      <c r="X86" s="2">
        <f t="shared" si="66"/>
        <v>2195.41</v>
      </c>
      <c r="Y86" s="2"/>
      <c r="Z86" s="19">
        <f t="shared" si="67"/>
        <v>0</v>
      </c>
    </row>
    <row r="87" spans="1:26" s="24" customFormat="1" hidden="1" outlineLevel="1" x14ac:dyDescent="0.3">
      <c r="A87" s="44"/>
      <c r="B87" s="11" t="str">
        <f>CONCATENATE("          ", "9160", " - ", "MISC. INCOME")</f>
        <v xml:space="preserve">          9160 - MISC. INCOME</v>
      </c>
      <c r="C87" s="11"/>
      <c r="D87" s="2">
        <f t="shared" si="68"/>
        <v>0</v>
      </c>
      <c r="E87" s="2"/>
      <c r="F87" s="19">
        <f t="shared" si="60"/>
        <v>0</v>
      </c>
      <c r="G87" s="2"/>
      <c r="H87" s="2">
        <v>0</v>
      </c>
      <c r="I87" s="2"/>
      <c r="J87" s="19">
        <f t="shared" si="61"/>
        <v>0</v>
      </c>
      <c r="K87" s="2"/>
      <c r="L87" s="2">
        <f t="shared" si="62"/>
        <v>0</v>
      </c>
      <c r="M87" s="2"/>
      <c r="N87" s="19">
        <f t="shared" si="63"/>
        <v>0</v>
      </c>
      <c r="O87" s="11"/>
      <c r="P87" s="2">
        <f>0</f>
        <v>0</v>
      </c>
      <c r="Q87" s="2"/>
      <c r="R87" s="19">
        <f t="shared" si="64"/>
        <v>0</v>
      </c>
      <c r="S87" s="2"/>
      <c r="T87" s="2">
        <v>0</v>
      </c>
      <c r="U87" s="2"/>
      <c r="V87" s="19">
        <f t="shared" si="65"/>
        <v>0</v>
      </c>
      <c r="W87" s="2"/>
      <c r="X87" s="2">
        <f t="shared" si="66"/>
        <v>0</v>
      </c>
      <c r="Y87" s="2"/>
      <c r="Z87" s="19">
        <f t="shared" si="67"/>
        <v>0</v>
      </c>
    </row>
    <row r="88" spans="1:26" x14ac:dyDescent="0.3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3">
      <c r="A89" s="10"/>
      <c r="B89" s="26" t="s">
        <v>277</v>
      </c>
      <c r="C89" s="26"/>
      <c r="D89" s="20">
        <f>+D31-D33+D83</f>
        <v>-38090.360000000022</v>
      </c>
      <c r="E89" s="13"/>
      <c r="F89" s="22">
        <f>IF(D$12=0,0,D89/D$12)</f>
        <v>-5.2267286531524082</v>
      </c>
      <c r="G89" s="13"/>
      <c r="H89" s="20">
        <f>+H31-H33+H83</f>
        <v>-43768.564838989718</v>
      </c>
      <c r="I89" s="13"/>
      <c r="J89" s="22">
        <f>IF(H$12=0,0,H89/H$12)</f>
        <v>-4.295246794797813</v>
      </c>
      <c r="K89" s="15"/>
      <c r="L89" s="20">
        <f>+D89-H89</f>
        <v>5678.2048389896954</v>
      </c>
      <c r="M89" s="15"/>
      <c r="N89" s="22">
        <f>IF(H89=0,0,L89/H89)</f>
        <v>-0.12973248859947681</v>
      </c>
      <c r="O89" s="25"/>
      <c r="P89" s="20">
        <f>+P31-P33+P83</f>
        <v>123928.48000000007</v>
      </c>
      <c r="Q89" s="13"/>
      <c r="R89" s="22">
        <f>IF(P$12=0,0,P89/P$12)</f>
        <v>0.12204895417693473</v>
      </c>
      <c r="S89" s="13"/>
      <c r="T89" s="20">
        <f>+T31-T33+T83</f>
        <v>429411.29476555646</v>
      </c>
      <c r="U89" s="13"/>
      <c r="V89" s="22">
        <f>IF(T$12=0,0,T89/T$12)</f>
        <v>0.22810814122016929</v>
      </c>
      <c r="W89" s="15"/>
      <c r="X89" s="20">
        <f>+P89-T89</f>
        <v>-305482.81476555637</v>
      </c>
      <c r="Y89" s="15"/>
      <c r="Z89" s="22">
        <f>IF(T89=0,0,X89/T89)</f>
        <v>-0.71139911429749259</v>
      </c>
    </row>
    <row r="90" spans="1:26" x14ac:dyDescent="0.3">
      <c r="A90" s="9"/>
      <c r="B90" s="10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3">
      <c r="A91" s="52"/>
      <c r="B91" s="10" t="s">
        <v>128</v>
      </c>
      <c r="C91" s="10"/>
      <c r="D91" s="4">
        <v>4416.59</v>
      </c>
      <c r="E91" s="4"/>
      <c r="F91" s="12">
        <f>IF(D$12=0,0,D91/D$12)</f>
        <v>0.60604093797555036</v>
      </c>
      <c r="G91" s="4"/>
      <c r="H91" s="4">
        <v>20038</v>
      </c>
      <c r="I91" s="4"/>
      <c r="J91" s="12">
        <f>IF(H$12=0,0,H91/H$12)</f>
        <v>1.9664376840039255</v>
      </c>
      <c r="K91" s="4"/>
      <c r="L91" s="4">
        <f>+D91-H91</f>
        <v>-15621.41</v>
      </c>
      <c r="M91" s="4"/>
      <c r="N91" s="12">
        <f>IF(H91=0,0,L91/H91)</f>
        <v>-0.77958928036730213</v>
      </c>
      <c r="O91" s="10"/>
      <c r="P91" s="4">
        <v>120946.03</v>
      </c>
      <c r="Q91" s="4"/>
      <c r="R91" s="12">
        <f>IF(P$12=0,0,P91/P$12)</f>
        <v>0.11911173665126987</v>
      </c>
      <c r="S91" s="4"/>
      <c r="T91" s="4">
        <v>235335</v>
      </c>
      <c r="U91" s="4"/>
      <c r="V91" s="12">
        <f>IF(T$12=0,0,T91/T$12)</f>
        <v>0.12501261626887791</v>
      </c>
      <c r="W91" s="4"/>
      <c r="X91" s="4">
        <f>+P91-T91</f>
        <v>-114388.97</v>
      </c>
      <c r="Y91" s="4"/>
      <c r="Z91" s="12">
        <f>IF(T91=0,0,X91/T91)</f>
        <v>-0.48606866806892302</v>
      </c>
    </row>
    <row r="92" spans="1:26" x14ac:dyDescent="0.3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" thickBot="1" x14ac:dyDescent="0.35">
      <c r="A93" s="10"/>
      <c r="B93" s="26" t="s">
        <v>126</v>
      </c>
      <c r="C93" s="26"/>
      <c r="D93" s="33">
        <f>+D89-D91</f>
        <v>-42506.950000000026</v>
      </c>
      <c r="E93" s="13"/>
      <c r="F93" s="34">
        <f>IF(D$12=0,0,D93/D$12)</f>
        <v>-5.8327695911279598</v>
      </c>
      <c r="G93" s="13"/>
      <c r="H93" s="33">
        <f>+H89-H91</f>
        <v>-63806.564838989718</v>
      </c>
      <c r="I93" s="13"/>
      <c r="J93" s="34">
        <f>IF(H$12=0,0,H93/H$12)</f>
        <v>-6.2616844788017385</v>
      </c>
      <c r="K93" s="15"/>
      <c r="L93" s="33">
        <f>D93-H93</f>
        <v>21299.614838989692</v>
      </c>
      <c r="M93" s="15"/>
      <c r="N93" s="34">
        <f>IF(H93=0,0,L93/H93)</f>
        <v>-0.33381541370762408</v>
      </c>
      <c r="O93" s="25"/>
      <c r="P93" s="33">
        <f>+P89-P91</f>
        <v>2982.4500000000698</v>
      </c>
      <c r="Q93" s="13"/>
      <c r="R93" s="34">
        <f>IF(P$12=0,0,P93/P$12)</f>
        <v>2.9372175256648617E-3</v>
      </c>
      <c r="S93" s="13"/>
      <c r="T93" s="33">
        <f>+T89-T91</f>
        <v>194076.29476555646</v>
      </c>
      <c r="U93" s="13"/>
      <c r="V93" s="34">
        <f>IF(T$12=0,0,T93/T$12)</f>
        <v>0.10309552495129136</v>
      </c>
      <c r="W93" s="15"/>
      <c r="X93" s="33">
        <f>P93-T93</f>
        <v>-191093.84476555639</v>
      </c>
      <c r="Y93" s="15"/>
      <c r="Z93" s="34">
        <f>IF(T93=0,0,X93/T93)</f>
        <v>-0.98463258996363845</v>
      </c>
    </row>
    <row r="94" spans="1:26" ht="15" thickTop="1" x14ac:dyDescent="0.3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x14ac:dyDescent="0.3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" thickBot="1" x14ac:dyDescent="0.35">
      <c r="A96" s="10"/>
      <c r="B96" s="26" t="s">
        <v>294</v>
      </c>
      <c r="C96" s="26"/>
      <c r="D96" s="35">
        <f>SUM(D93:D95)</f>
        <v>-42506.950000000026</v>
      </c>
      <c r="E96" s="13"/>
      <c r="F96" s="32">
        <f>IF(D$12=0,0,D96/D$12)</f>
        <v>-5.8327695911279598</v>
      </c>
      <c r="G96" s="13"/>
      <c r="H96" s="35">
        <f>SUM(H93:H95)</f>
        <v>-63806.564838989718</v>
      </c>
      <c r="I96" s="13"/>
      <c r="J96" s="32">
        <f>IF(H$12=0,0,H96/H$12)</f>
        <v>-6.2616844788017385</v>
      </c>
      <c r="K96" s="15"/>
      <c r="L96" s="35">
        <f>+D96-H96</f>
        <v>21299.614838989692</v>
      </c>
      <c r="M96" s="15"/>
      <c r="N96" s="32">
        <f>IF(H96=0,0,L96/H96)</f>
        <v>-0.33381541370762408</v>
      </c>
      <c r="O96" s="25"/>
      <c r="P96" s="35">
        <f>SUM(P93:P95)</f>
        <v>2982.4500000000698</v>
      </c>
      <c r="Q96" s="13"/>
      <c r="R96" s="32">
        <f>IF(P$12=0,0,P96/P$12)</f>
        <v>2.9372175256648617E-3</v>
      </c>
      <c r="S96" s="13"/>
      <c r="T96" s="35">
        <f>SUM(T93:T95)</f>
        <v>194076.29476555646</v>
      </c>
      <c r="U96" s="13"/>
      <c r="V96" s="32">
        <f>IF(T$12=0,0,T96/T$12)</f>
        <v>0.10309552495129136</v>
      </c>
      <c r="W96" s="15"/>
      <c r="X96" s="35">
        <f>+P96-T96</f>
        <v>-191093.84476555639</v>
      </c>
      <c r="Y96" s="15"/>
      <c r="Z96" s="32">
        <f>IF(T96=0,0,X96/T96)</f>
        <v>-0.98463258996363845</v>
      </c>
    </row>
    <row r="97" spans="1:24" ht="15" thickTop="1" x14ac:dyDescent="0.3">
      <c r="A97" s="9"/>
      <c r="C97" s="9"/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3">
      <c r="A98" s="9"/>
      <c r="B98" s="60">
        <v>44543.753113078703</v>
      </c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  <row r="99" spans="1:24" x14ac:dyDescent="0.3">
      <c r="A99" s="9"/>
      <c r="B99" s="58" t="s">
        <v>56</v>
      </c>
      <c r="D99" s="17"/>
      <c r="E99" s="17"/>
      <c r="G99" s="17"/>
      <c r="H99" s="17"/>
      <c r="I99" s="17"/>
      <c r="J99" s="42"/>
      <c r="K99" s="17"/>
      <c r="L99" s="17"/>
      <c r="M99" s="17"/>
      <c r="P99" s="17"/>
      <c r="Q99" s="17"/>
      <c r="R99" s="42"/>
      <c r="S99" s="17"/>
      <c r="T99" s="17"/>
      <c r="U99" s="17"/>
      <c r="V99" s="42"/>
      <c r="W99" s="17"/>
      <c r="X99" s="17"/>
    </row>
    <row r="100" spans="1:24" x14ac:dyDescent="0.3">
      <c r="A100" s="9"/>
      <c r="B100" s="55"/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  <row r="101" spans="1:24" x14ac:dyDescent="0.3"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92D050"/>
    <outlinePr summaryBelow="0" summaryRight="0"/>
  </sheetPr>
  <dimension ref="A2:Z3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1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","324", " - ", "Textbook Rental")</f>
        <v>Department 324 - Textbook Rental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589.84</v>
      </c>
      <c r="E12" s="4"/>
      <c r="F12" s="12"/>
      <c r="G12" s="4"/>
      <c r="H12" s="4">
        <f>SUM(OSRRefH13x_0)</f>
        <v>4054</v>
      </c>
      <c r="I12" s="4"/>
      <c r="J12" s="12"/>
      <c r="K12" s="4"/>
      <c r="L12" s="4">
        <f t="shared" ref="L12:L14" si="0">+D12-H12</f>
        <v>-3464.16</v>
      </c>
      <c r="M12" s="4"/>
      <c r="N12" s="12">
        <f t="shared" ref="N12:N14" si="1">IF(H12=0,0,L12/H12)</f>
        <v>-0.8545041933892451</v>
      </c>
      <c r="O12" s="10"/>
      <c r="P12" s="4">
        <f>SUM(OSRRefP13x_0)</f>
        <v>336237.38</v>
      </c>
      <c r="Q12" s="4"/>
      <c r="R12" s="12"/>
      <c r="S12" s="4"/>
      <c r="T12" s="4">
        <f>SUM(OSRRefT13x_0)</f>
        <v>920152</v>
      </c>
      <c r="U12" s="4"/>
      <c r="V12" s="12"/>
      <c r="W12" s="4"/>
      <c r="X12" s="4">
        <f t="shared" ref="X12:X14" si="2">+P12-T12</f>
        <v>-583914.62</v>
      </c>
      <c r="Y12" s="4"/>
      <c r="Z12" s="12">
        <f t="shared" ref="Z12:Z14" si="3">IF(T12=0,0,X12/T12)</f>
        <v>-0.63458495987619434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--298.49</f>
        <v>298.49</v>
      </c>
      <c r="E13" s="2"/>
      <c r="F13" s="19"/>
      <c r="G13" s="2"/>
      <c r="H13" s="2">
        <v>4054</v>
      </c>
      <c r="I13" s="2"/>
      <c r="J13" s="19"/>
      <c r="K13" s="2"/>
      <c r="L13" s="2">
        <f t="shared" si="0"/>
        <v>-3755.51</v>
      </c>
      <c r="M13" s="2"/>
      <c r="N13" s="19">
        <f t="shared" si="1"/>
        <v>-0.92637148495313282</v>
      </c>
      <c r="O13" s="11"/>
      <c r="P13" s="2">
        <f>--211357.15</f>
        <v>211357.15</v>
      </c>
      <c r="Q13" s="2"/>
      <c r="R13" s="19"/>
      <c r="S13" s="2"/>
      <c r="T13" s="2">
        <v>920152</v>
      </c>
      <c r="U13" s="2"/>
      <c r="V13" s="19"/>
      <c r="W13" s="2"/>
      <c r="X13" s="2">
        <f t="shared" si="2"/>
        <v>-708794.85</v>
      </c>
      <c r="Y13" s="2"/>
      <c r="Z13" s="19">
        <f t="shared" si="3"/>
        <v>-0.77030191750928101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--291.35</f>
        <v>291.35000000000002</v>
      </c>
      <c r="E14" s="2"/>
      <c r="F14" s="19"/>
      <c r="G14" s="2"/>
      <c r="H14" s="2"/>
      <c r="I14" s="2"/>
      <c r="J14" s="19"/>
      <c r="K14" s="2"/>
      <c r="L14" s="2">
        <f t="shared" si="0"/>
        <v>291.35000000000002</v>
      </c>
      <c r="M14" s="2"/>
      <c r="N14" s="19">
        <f t="shared" si="1"/>
        <v>0</v>
      </c>
      <c r="O14" s="11"/>
      <c r="P14" s="2">
        <f>--124880.23</f>
        <v>124880.23</v>
      </c>
      <c r="Q14" s="2"/>
      <c r="R14" s="19"/>
      <c r="S14" s="2"/>
      <c r="T14" s="2"/>
      <c r="U14" s="2"/>
      <c r="V14" s="19"/>
      <c r="W14" s="2"/>
      <c r="X14" s="2">
        <f t="shared" si="2"/>
        <v>124880.23</v>
      </c>
      <c r="Y14" s="2"/>
      <c r="Z14" s="19">
        <f t="shared" si="3"/>
        <v>0</v>
      </c>
    </row>
    <row r="15" spans="1:26" x14ac:dyDescent="0.3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3">
      <c r="A16" s="10"/>
      <c r="B16" s="25" t="s">
        <v>257</v>
      </c>
      <c r="C16" s="10"/>
      <c r="D16" s="4">
        <f>SUM(OSRRefD16x_0)</f>
        <v>320.27999999999997</v>
      </c>
      <c r="E16" s="4"/>
      <c r="F16" s="12">
        <f t="shared" ref="F16:F17" si="4">IF(D$12=0,0,D16/D$12)</f>
        <v>0.54299471042994707</v>
      </c>
      <c r="G16" s="4"/>
      <c r="H16" s="4">
        <f>SUM(OSRRefH16x_0)</f>
        <v>2939</v>
      </c>
      <c r="I16" s="4"/>
      <c r="J16" s="12">
        <f t="shared" ref="J16:J17" si="5">IF(H$12=0,0,H16/H$12)</f>
        <v>0.7249629995066601</v>
      </c>
      <c r="K16" s="4"/>
      <c r="L16" s="4">
        <f t="shared" ref="L16:L17" si="6">+D16-H16</f>
        <v>-2618.7200000000003</v>
      </c>
      <c r="M16" s="4"/>
      <c r="N16" s="12">
        <f t="shared" ref="N16:N17" si="7">IF(H16=0,0,L16/H16)</f>
        <v>-0.89102415787682898</v>
      </c>
      <c r="O16" s="10"/>
      <c r="P16" s="4">
        <f>SUM(OSRRefP16x_0)</f>
        <v>253738.37</v>
      </c>
      <c r="Q16" s="4"/>
      <c r="R16" s="12">
        <f t="shared" ref="R16:R17" si="8">IF(P$12=0,0,P16/P$12)</f>
        <v>0.75464057565521114</v>
      </c>
      <c r="S16" s="4"/>
      <c r="T16" s="4">
        <f>SUM(OSRRefT16x_0)</f>
        <v>667111</v>
      </c>
      <c r="U16" s="4"/>
      <c r="V16" s="12">
        <f t="shared" ref="V16:V17" si="9">IF(T$12=0,0,T16/T$12)</f>
        <v>0.72500086942157382</v>
      </c>
      <c r="W16" s="4"/>
      <c r="X16" s="4">
        <f t="shared" ref="X16:X17" si="10">+P16-T16</f>
        <v>-413372.63</v>
      </c>
      <c r="Y16" s="4"/>
      <c r="Z16" s="12">
        <f t="shared" ref="Z16:Z17" si="11">IF(T16=0,0,X16/T16)</f>
        <v>-0.61964595097367603</v>
      </c>
    </row>
    <row r="17" spans="1:26" s="24" customFormat="1" hidden="1" outlineLevel="1" x14ac:dyDescent="0.3">
      <c r="A17" s="44"/>
      <c r="B17" s="11" t="str">
        <f>CONCATENATE("          ", "5000", " - ", "PURCHASES @ COST")</f>
        <v xml:space="preserve">          5000 - PURCHASES @ COST</v>
      </c>
      <c r="C17" s="11"/>
      <c r="D17" s="2">
        <v>320.27999999999997</v>
      </c>
      <c r="E17" s="2"/>
      <c r="F17" s="19">
        <f t="shared" si="4"/>
        <v>0.54299471042994707</v>
      </c>
      <c r="G17" s="2"/>
      <c r="H17" s="2">
        <v>2939</v>
      </c>
      <c r="I17" s="2"/>
      <c r="J17" s="19">
        <f t="shared" si="5"/>
        <v>0.7249629995066601</v>
      </c>
      <c r="K17" s="2"/>
      <c r="L17" s="2">
        <f t="shared" si="6"/>
        <v>-2618.7200000000003</v>
      </c>
      <c r="M17" s="2"/>
      <c r="N17" s="19">
        <f t="shared" si="7"/>
        <v>-0.89102415787682898</v>
      </c>
      <c r="O17" s="11"/>
      <c r="P17" s="2">
        <v>253738.37</v>
      </c>
      <c r="Q17" s="2"/>
      <c r="R17" s="19">
        <f t="shared" si="8"/>
        <v>0.75464057565521114</v>
      </c>
      <c r="S17" s="2"/>
      <c r="T17" s="2">
        <v>667111</v>
      </c>
      <c r="U17" s="2"/>
      <c r="V17" s="19">
        <f t="shared" si="9"/>
        <v>0.72500086942157382</v>
      </c>
      <c r="W17" s="2"/>
      <c r="X17" s="2">
        <f t="shared" si="10"/>
        <v>-413372.63</v>
      </c>
      <c r="Y17" s="2"/>
      <c r="Z17" s="19">
        <f t="shared" si="11"/>
        <v>-0.61964595097367603</v>
      </c>
    </row>
    <row r="18" spans="1:26" x14ac:dyDescent="0.3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3">
      <c r="A19" s="10"/>
      <c r="B19" s="26" t="s">
        <v>108</v>
      </c>
      <c r="C19" s="26"/>
      <c r="D19" s="20">
        <f>D12-D16</f>
        <v>269.56000000000006</v>
      </c>
      <c r="E19" s="13"/>
      <c r="F19" s="22">
        <f>IF(D$12=0,0,D19/D$12)</f>
        <v>0.45700528957005299</v>
      </c>
      <c r="G19" s="13"/>
      <c r="H19" s="20">
        <f>H12-H16</f>
        <v>1115</v>
      </c>
      <c r="I19" s="13"/>
      <c r="J19" s="22">
        <f>IF(H$12=0,0,H19/H$12)</f>
        <v>0.2750370004933399</v>
      </c>
      <c r="K19" s="15"/>
      <c r="L19" s="20">
        <f>+D19-H19</f>
        <v>-845.43999999999994</v>
      </c>
      <c r="M19" s="15"/>
      <c r="N19" s="22">
        <f>IF(H19=0,0,L19/H19)</f>
        <v>-0.75824215246636761</v>
      </c>
      <c r="O19" s="25"/>
      <c r="P19" s="20">
        <f>P12-P16</f>
        <v>82499.010000000009</v>
      </c>
      <c r="Q19" s="13"/>
      <c r="R19" s="22">
        <f>IF(P$12=0,0,P19/P$12)</f>
        <v>0.24535942434478883</v>
      </c>
      <c r="S19" s="13"/>
      <c r="T19" s="20">
        <f>T12-T16</f>
        <v>253041</v>
      </c>
      <c r="U19" s="13"/>
      <c r="V19" s="22">
        <f>IF(T$12=0,0,T19/T$12)</f>
        <v>0.27499913057842618</v>
      </c>
      <c r="W19" s="15"/>
      <c r="X19" s="20">
        <f>+P19-T19</f>
        <v>-170541.99</v>
      </c>
      <c r="Y19" s="15"/>
      <c r="Z19" s="22">
        <f>IF(T19=0,0,X19/T19)</f>
        <v>-0.67396979145672042</v>
      </c>
    </row>
    <row r="20" spans="1:26" x14ac:dyDescent="0.3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3">
      <c r="A21" s="10"/>
      <c r="B21" s="25" t="s">
        <v>295</v>
      </c>
      <c r="C21" s="10"/>
      <c r="D21" s="21">
        <f>SUM(0)</f>
        <v>0</v>
      </c>
      <c r="E21" s="21"/>
      <c r="F21" s="30">
        <f>IF(D$12=0,0,D21/D$12)</f>
        <v>0</v>
      </c>
      <c r="G21" s="21"/>
      <c r="H21" s="21">
        <f>SUM(0)</f>
        <v>0</v>
      </c>
      <c r="I21" s="21"/>
      <c r="J21" s="30">
        <f>IF(H$12=0,0,H21/H$12)</f>
        <v>0</v>
      </c>
      <c r="K21" s="4"/>
      <c r="L21" s="21">
        <f>+D21-H21</f>
        <v>0</v>
      </c>
      <c r="M21" s="4"/>
      <c r="N21" s="30">
        <f>IF(H21=0,0,L21/H21)</f>
        <v>0</v>
      </c>
      <c r="O21" s="10"/>
      <c r="P21" s="21">
        <f>SUM(0)</f>
        <v>0</v>
      </c>
      <c r="Q21" s="21"/>
      <c r="R21" s="30">
        <f>IF(P$12=0,0,P21/P$12)</f>
        <v>0</v>
      </c>
      <c r="S21" s="21"/>
      <c r="T21" s="21">
        <f>SUM(0)</f>
        <v>0</v>
      </c>
      <c r="U21" s="21"/>
      <c r="V21" s="30">
        <f>IF(T$12=0,0,T21/T$12)</f>
        <v>0</v>
      </c>
      <c r="W21" s="4"/>
      <c r="X21" s="21">
        <f>+P21-T21</f>
        <v>0</v>
      </c>
      <c r="Y21" s="4"/>
      <c r="Z21" s="30">
        <f>IF(T21=0,0,X21/T21)</f>
        <v>0</v>
      </c>
    </row>
    <row r="22" spans="1:26" s="63" customFormat="1" x14ac:dyDescent="0.3">
      <c r="A22" s="36"/>
      <c r="B22" s="36"/>
      <c r="C22" s="36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6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3">
      <c r="A23" s="10"/>
      <c r="B23" s="25" t="s">
        <v>293</v>
      </c>
      <c r="C23" s="10"/>
      <c r="D23" s="4">
        <f>SUM(0)</f>
        <v>0</v>
      </c>
      <c r="E23" s="4"/>
      <c r="F23" s="12">
        <f>IF(D$12=0,0,D23/D$12)</f>
        <v>0</v>
      </c>
      <c r="G23" s="4"/>
      <c r="H23" s="4">
        <f>SUM(0)</f>
        <v>0</v>
      </c>
      <c r="I23" s="4"/>
      <c r="J23" s="12">
        <f>IF(H$12=0,0,H23/H$12)</f>
        <v>0</v>
      </c>
      <c r="K23" s="4"/>
      <c r="L23" s="4">
        <f>+D23-H23</f>
        <v>0</v>
      </c>
      <c r="M23" s="4"/>
      <c r="N23" s="12">
        <f>IF(H23=0,0,L23/H23)</f>
        <v>0</v>
      </c>
      <c r="O23" s="10"/>
      <c r="P23" s="4">
        <f>SUM(0)</f>
        <v>0</v>
      </c>
      <c r="Q23" s="4"/>
      <c r="R23" s="12">
        <f>IF(P$12=0,0,P23/P$12)</f>
        <v>0</v>
      </c>
      <c r="S23" s="4"/>
      <c r="T23" s="4">
        <f>SUM(0)</f>
        <v>0</v>
      </c>
      <c r="U23" s="4"/>
      <c r="V23" s="12">
        <f>IF(T$12=0,0,T23/T$12)</f>
        <v>0</v>
      </c>
      <c r="W23" s="4"/>
      <c r="X23" s="4">
        <f>+P23-T23</f>
        <v>0</v>
      </c>
      <c r="Y23" s="4"/>
      <c r="Z23" s="12">
        <f>IF(T23=0,0,X23/T23)</f>
        <v>0</v>
      </c>
    </row>
    <row r="24" spans="1:26" x14ac:dyDescent="0.3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3">
      <c r="A25" s="10"/>
      <c r="B25" s="26" t="s">
        <v>277</v>
      </c>
      <c r="C25" s="26"/>
      <c r="D25" s="20">
        <f>+D19-D21+D23</f>
        <v>269.56000000000006</v>
      </c>
      <c r="E25" s="13"/>
      <c r="F25" s="22">
        <f>IF(D$12=0,0,D25/D$12)</f>
        <v>0.45700528957005299</v>
      </c>
      <c r="G25" s="13"/>
      <c r="H25" s="20">
        <f>+H19-H21+H23</f>
        <v>1115</v>
      </c>
      <c r="I25" s="13"/>
      <c r="J25" s="22">
        <f>IF(H$12=0,0,H25/H$12)</f>
        <v>0.2750370004933399</v>
      </c>
      <c r="K25" s="15"/>
      <c r="L25" s="20">
        <f>+D25-H25</f>
        <v>-845.43999999999994</v>
      </c>
      <c r="M25" s="15"/>
      <c r="N25" s="22">
        <f>IF(H25=0,0,L25/H25)</f>
        <v>-0.75824215246636761</v>
      </c>
      <c r="O25" s="25"/>
      <c r="P25" s="20">
        <f>+P19-P21+P23</f>
        <v>82499.010000000009</v>
      </c>
      <c r="Q25" s="13"/>
      <c r="R25" s="22">
        <f>IF(P$12=0,0,P25/P$12)</f>
        <v>0.24535942434478883</v>
      </c>
      <c r="S25" s="13"/>
      <c r="T25" s="20">
        <f>+T19-T21+T23</f>
        <v>253041</v>
      </c>
      <c r="U25" s="13"/>
      <c r="V25" s="22">
        <f>IF(T$12=0,0,T25/T$12)</f>
        <v>0.27499913057842618</v>
      </c>
      <c r="W25" s="15"/>
      <c r="X25" s="20">
        <f>+P25-T25</f>
        <v>-170541.99</v>
      </c>
      <c r="Y25" s="15"/>
      <c r="Z25" s="22">
        <f>IF(T25=0,0,X25/T25)</f>
        <v>-0.67396979145672042</v>
      </c>
    </row>
    <row r="26" spans="1:26" x14ac:dyDescent="0.3">
      <c r="A26" s="9"/>
      <c r="B26" s="10"/>
      <c r="C26" s="9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52"/>
      <c r="B27" s="10" t="s">
        <v>128</v>
      </c>
      <c r="C27" s="10"/>
      <c r="D27" s="4">
        <v>1251.74</v>
      </c>
      <c r="E27" s="4"/>
      <c r="F27" s="12">
        <f>IF(D$12=0,0,D27/D$12)</f>
        <v>2.1221687237216873</v>
      </c>
      <c r="G27" s="4"/>
      <c r="H27" s="4">
        <v>9688</v>
      </c>
      <c r="I27" s="4"/>
      <c r="J27" s="12">
        <f>IF(H$12=0,0,H27/H$12)</f>
        <v>2.3897385298470648</v>
      </c>
      <c r="K27" s="4"/>
      <c r="L27" s="4">
        <f>+D27-H27</f>
        <v>-8436.26</v>
      </c>
      <c r="M27" s="4"/>
      <c r="N27" s="12">
        <f>IF(H27=0,0,L27/H27)</f>
        <v>-0.87079479768786128</v>
      </c>
      <c r="O27" s="10"/>
      <c r="P27" s="4">
        <v>40049.82</v>
      </c>
      <c r="Q27" s="4"/>
      <c r="R27" s="12">
        <f>IF(P$12=0,0,P27/P$12)</f>
        <v>0.11911174182953721</v>
      </c>
      <c r="S27" s="4"/>
      <c r="T27" s="4">
        <v>115030</v>
      </c>
      <c r="U27" s="4"/>
      <c r="V27" s="12">
        <f>IF(T$12=0,0,T27/T$12)</f>
        <v>0.12501195454664013</v>
      </c>
      <c r="W27" s="4"/>
      <c r="X27" s="4">
        <f>+P27-T27</f>
        <v>-74980.179999999993</v>
      </c>
      <c r="Y27" s="4"/>
      <c r="Z27" s="12">
        <f>IF(T27=0,0,X27/T27)</f>
        <v>-0.6518315222115969</v>
      </c>
    </row>
    <row r="28" spans="1:26" x14ac:dyDescent="0.3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ht="15" thickBot="1" x14ac:dyDescent="0.35">
      <c r="A29" s="10"/>
      <c r="B29" s="26" t="s">
        <v>126</v>
      </c>
      <c r="C29" s="26"/>
      <c r="D29" s="33">
        <f>+D25-D27</f>
        <v>-982.18</v>
      </c>
      <c r="E29" s="13"/>
      <c r="F29" s="34">
        <f>IF(D$12=0,0,D29/D$12)</f>
        <v>-1.6651634341516341</v>
      </c>
      <c r="G29" s="13"/>
      <c r="H29" s="33">
        <f>+H25-H27</f>
        <v>-8573</v>
      </c>
      <c r="I29" s="13"/>
      <c r="J29" s="34">
        <f>IF(H$12=0,0,H29/H$12)</f>
        <v>-2.1147015293537246</v>
      </c>
      <c r="K29" s="15"/>
      <c r="L29" s="33">
        <f>D29-H29</f>
        <v>7590.82</v>
      </c>
      <c r="M29" s="15"/>
      <c r="N29" s="34">
        <f>IF(H29=0,0,L29/H29)</f>
        <v>-0.88543333722150941</v>
      </c>
      <c r="O29" s="25"/>
      <c r="P29" s="33">
        <f>+P25-P27</f>
        <v>42449.19000000001</v>
      </c>
      <c r="Q29" s="13"/>
      <c r="R29" s="34">
        <f>IF(P$12=0,0,P29/P$12)</f>
        <v>0.12624768251525159</v>
      </c>
      <c r="S29" s="13"/>
      <c r="T29" s="33">
        <f>+T25-T27</f>
        <v>138011</v>
      </c>
      <c r="U29" s="13"/>
      <c r="V29" s="34">
        <f>IF(T$12=0,0,T29/T$12)</f>
        <v>0.14998717603178605</v>
      </c>
      <c r="W29" s="15"/>
      <c r="X29" s="33">
        <f>P29-T29</f>
        <v>-95561.81</v>
      </c>
      <c r="Y29" s="15"/>
      <c r="Z29" s="34">
        <f>IF(T29=0,0,X29/T29)</f>
        <v>-0.69242169102462847</v>
      </c>
    </row>
    <row r="30" spans="1:26" ht="15" thickTop="1" x14ac:dyDescent="0.3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x14ac:dyDescent="0.3">
      <c r="A31" s="9"/>
      <c r="B31" s="9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" thickBot="1" x14ac:dyDescent="0.35">
      <c r="A32" s="10"/>
      <c r="B32" s="26" t="s">
        <v>294</v>
      </c>
      <c r="C32" s="26"/>
      <c r="D32" s="35">
        <f>SUM(D29:D31)</f>
        <v>-982.18</v>
      </c>
      <c r="E32" s="13"/>
      <c r="F32" s="32">
        <f>IF(D$12=0,0,D32/D$12)</f>
        <v>-1.6651634341516341</v>
      </c>
      <c r="G32" s="13"/>
      <c r="H32" s="35">
        <f>SUM(H29:H31)</f>
        <v>-8573</v>
      </c>
      <c r="I32" s="13"/>
      <c r="J32" s="32">
        <f>IF(H$12=0,0,H32/H$12)</f>
        <v>-2.1147015293537246</v>
      </c>
      <c r="K32" s="15"/>
      <c r="L32" s="35">
        <f>+D32-H32</f>
        <v>7590.82</v>
      </c>
      <c r="M32" s="15"/>
      <c r="N32" s="32">
        <f>IF(H32=0,0,L32/H32)</f>
        <v>-0.88543333722150941</v>
      </c>
      <c r="O32" s="25"/>
      <c r="P32" s="35">
        <f>SUM(P29:P31)</f>
        <v>42449.19000000001</v>
      </c>
      <c r="Q32" s="13"/>
      <c r="R32" s="32">
        <f>IF(P$12=0,0,P32/P$12)</f>
        <v>0.12624768251525159</v>
      </c>
      <c r="S32" s="13"/>
      <c r="T32" s="35">
        <f>SUM(T29:T31)</f>
        <v>138011</v>
      </c>
      <c r="U32" s="13"/>
      <c r="V32" s="32">
        <f>IF(T$12=0,0,T32/T$12)</f>
        <v>0.14998717603178605</v>
      </c>
      <c r="W32" s="15"/>
      <c r="X32" s="35">
        <f>+P32-T32</f>
        <v>-95561.81</v>
      </c>
      <c r="Y32" s="15"/>
      <c r="Z32" s="32">
        <f>IF(T32=0,0,X32/T32)</f>
        <v>-0.69242169102462847</v>
      </c>
    </row>
    <row r="33" spans="1:24" ht="15" thickTop="1" x14ac:dyDescent="0.3">
      <c r="A33" s="9"/>
      <c r="C33" s="9"/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3">
      <c r="A34" s="9"/>
      <c r="B34" s="60">
        <v>44543.753113078703</v>
      </c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4" x14ac:dyDescent="0.3">
      <c r="A35" s="9"/>
      <c r="B35" s="58" t="s">
        <v>56</v>
      </c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4" x14ac:dyDescent="0.3">
      <c r="A36" s="9"/>
      <c r="B36" s="55"/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  <row r="37" spans="1:24" x14ac:dyDescent="0.3"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FF00"/>
    <outlinePr summaryBelow="0" summaryRight="0"/>
  </sheetPr>
  <dimension ref="A2:Z13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22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265288.17000000004</v>
      </c>
      <c r="E12" s="4"/>
      <c r="F12" s="12"/>
      <c r="G12" s="4"/>
      <c r="H12" s="4">
        <f>SUM(OSRRefH13x_0)</f>
        <v>189085</v>
      </c>
      <c r="I12" s="4"/>
      <c r="J12" s="12"/>
      <c r="K12" s="4"/>
      <c r="L12" s="4">
        <f t="shared" ref="L12:L17" si="0">+D12-H12</f>
        <v>76203.170000000042</v>
      </c>
      <c r="M12" s="4"/>
      <c r="N12" s="12">
        <f t="shared" ref="N12:N17" si="1">IF(H12=0,0,L12/H12)</f>
        <v>0.40301012772033762</v>
      </c>
      <c r="O12" s="10"/>
      <c r="P12" s="4">
        <f>SUM(OSRRefP13x_0)</f>
        <v>1637734.3300000003</v>
      </c>
      <c r="Q12" s="4"/>
      <c r="R12" s="12"/>
      <c r="S12" s="4"/>
      <c r="T12" s="4">
        <f>SUM(OSRRefT13x_0)</f>
        <v>1373617</v>
      </c>
      <c r="U12" s="4"/>
      <c r="V12" s="12"/>
      <c r="W12" s="4"/>
      <c r="X12" s="4">
        <f t="shared" ref="X12:X17" si="2">+P12-T12</f>
        <v>264117.33000000031</v>
      </c>
      <c r="Y12" s="4"/>
      <c r="Z12" s="12">
        <f t="shared" ref="Z12:Z17" si="3">IF(T12=0,0,X12/T12)</f>
        <v>0.19227872835004248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--242978.9</f>
        <v>242978.9</v>
      </c>
      <c r="E13" s="2"/>
      <c r="F13" s="19"/>
      <c r="G13" s="2"/>
      <c r="H13" s="2">
        <v>189085</v>
      </c>
      <c r="I13" s="2"/>
      <c r="J13" s="19"/>
      <c r="K13" s="2"/>
      <c r="L13" s="2">
        <f t="shared" si="0"/>
        <v>53893.899999999994</v>
      </c>
      <c r="M13" s="2"/>
      <c r="N13" s="19">
        <f t="shared" si="1"/>
        <v>0.28502472433032761</v>
      </c>
      <c r="O13" s="11"/>
      <c r="P13" s="2">
        <f>--1509632.31</f>
        <v>1509632.31</v>
      </c>
      <c r="Q13" s="2"/>
      <c r="R13" s="19"/>
      <c r="S13" s="2"/>
      <c r="T13" s="2">
        <v>1373617</v>
      </c>
      <c r="U13" s="2"/>
      <c r="V13" s="19"/>
      <c r="W13" s="2"/>
      <c r="X13" s="2">
        <f t="shared" si="2"/>
        <v>136015.31000000006</v>
      </c>
      <c r="Y13" s="2"/>
      <c r="Z13" s="19">
        <f t="shared" si="3"/>
        <v>9.9019821391261212E-2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--38149.55</f>
        <v>38149.550000000003</v>
      </c>
      <c r="E14" s="2"/>
      <c r="F14" s="19"/>
      <c r="G14" s="2"/>
      <c r="H14" s="2"/>
      <c r="I14" s="2"/>
      <c r="J14" s="19"/>
      <c r="K14" s="2"/>
      <c r="L14" s="2">
        <f t="shared" si="0"/>
        <v>38149.550000000003</v>
      </c>
      <c r="M14" s="2"/>
      <c r="N14" s="19">
        <f t="shared" si="1"/>
        <v>0</v>
      </c>
      <c r="O14" s="11"/>
      <c r="P14" s="2">
        <f>--184542.39</f>
        <v>184542.39</v>
      </c>
      <c r="Q14" s="2"/>
      <c r="R14" s="19"/>
      <c r="S14" s="2"/>
      <c r="T14" s="2"/>
      <c r="U14" s="2"/>
      <c r="V14" s="19"/>
      <c r="W14" s="2"/>
      <c r="X14" s="2">
        <f t="shared" si="2"/>
        <v>184542.39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"4200", " - ", "TAXABLE RETURNS")</f>
        <v xml:space="preserve">          4200 - TAXABLE RETURNS</v>
      </c>
      <c r="C15" s="11"/>
      <c r="D15" s="2">
        <f>-9395.35</f>
        <v>-9395.35</v>
      </c>
      <c r="E15" s="2"/>
      <c r="F15" s="19"/>
      <c r="G15" s="2"/>
      <c r="H15" s="2"/>
      <c r="I15" s="2"/>
      <c r="J15" s="19"/>
      <c r="K15" s="2"/>
      <c r="L15" s="2">
        <f t="shared" si="0"/>
        <v>-9395.35</v>
      </c>
      <c r="M15" s="2"/>
      <c r="N15" s="19">
        <f t="shared" si="1"/>
        <v>0</v>
      </c>
      <c r="O15" s="11"/>
      <c r="P15" s="2">
        <f>-42176.9</f>
        <v>-42176.9</v>
      </c>
      <c r="Q15" s="2"/>
      <c r="R15" s="19"/>
      <c r="S15" s="2"/>
      <c r="T15" s="2"/>
      <c r="U15" s="2"/>
      <c r="V15" s="19"/>
      <c r="W15" s="2"/>
      <c r="X15" s="2">
        <f t="shared" si="2"/>
        <v>-42176.9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"4300", " - ", "NON-TAX RETURNS")</f>
        <v xml:space="preserve">          4300 - NON-TAX RETURNS</v>
      </c>
      <c r="C16" s="11"/>
      <c r="D16" s="2">
        <f>-213.1</f>
        <v>-213.1</v>
      </c>
      <c r="E16" s="2"/>
      <c r="F16" s="19"/>
      <c r="G16" s="2"/>
      <c r="H16" s="2"/>
      <c r="I16" s="2"/>
      <c r="J16" s="19"/>
      <c r="K16" s="2"/>
      <c r="L16" s="2">
        <f t="shared" si="0"/>
        <v>-213.1</v>
      </c>
      <c r="M16" s="2"/>
      <c r="N16" s="19">
        <f t="shared" si="1"/>
        <v>0</v>
      </c>
      <c r="O16" s="11"/>
      <c r="P16" s="2">
        <f>-1107.41</f>
        <v>-1107.4100000000001</v>
      </c>
      <c r="Q16" s="2"/>
      <c r="R16" s="19"/>
      <c r="S16" s="2"/>
      <c r="T16" s="2"/>
      <c r="U16" s="2"/>
      <c r="V16" s="19"/>
      <c r="W16" s="2"/>
      <c r="X16" s="2">
        <f t="shared" si="2"/>
        <v>-1107.4100000000001</v>
      </c>
      <c r="Y16" s="2"/>
      <c r="Z16" s="19">
        <f t="shared" si="3"/>
        <v>0</v>
      </c>
    </row>
    <row r="17" spans="1:26" s="24" customFormat="1" hidden="1" outlineLevel="1" x14ac:dyDescent="0.3">
      <c r="A17" s="44"/>
      <c r="B17" s="11" t="str">
        <f>CONCATENATE("          ", "4500", " - ", "SALES DISCOUNT")</f>
        <v xml:space="preserve">          4500 - SALES DISCOUNT</v>
      </c>
      <c r="C17" s="11"/>
      <c r="D17" s="2">
        <f>-6231.83</f>
        <v>-6231.83</v>
      </c>
      <c r="E17" s="2"/>
      <c r="F17" s="19"/>
      <c r="G17" s="2"/>
      <c r="H17" s="2"/>
      <c r="I17" s="2"/>
      <c r="J17" s="19"/>
      <c r="K17" s="2"/>
      <c r="L17" s="2">
        <f t="shared" si="0"/>
        <v>-6231.83</v>
      </c>
      <c r="M17" s="2"/>
      <c r="N17" s="19">
        <f t="shared" si="1"/>
        <v>0</v>
      </c>
      <c r="O17" s="11"/>
      <c r="P17" s="2">
        <f>-13156.06</f>
        <v>-13156.06</v>
      </c>
      <c r="Q17" s="2"/>
      <c r="R17" s="19"/>
      <c r="S17" s="2"/>
      <c r="T17" s="2"/>
      <c r="U17" s="2"/>
      <c r="V17" s="19"/>
      <c r="W17" s="2"/>
      <c r="X17" s="2">
        <f t="shared" si="2"/>
        <v>-13156.06</v>
      </c>
      <c r="Y17" s="2"/>
      <c r="Z17" s="19">
        <f t="shared" si="3"/>
        <v>0</v>
      </c>
    </row>
    <row r="18" spans="1:26" x14ac:dyDescent="0.3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3">
      <c r="A19" s="10"/>
      <c r="B19" s="25" t="s">
        <v>257</v>
      </c>
      <c r="C19" s="10"/>
      <c r="D19" s="4">
        <f>SUM(OSRRefD16x_0)</f>
        <v>124439.65</v>
      </c>
      <c r="E19" s="4"/>
      <c r="F19" s="12">
        <f t="shared" ref="F19:F38" si="4">IF(D$12=0,0,D19/D$12)</f>
        <v>0.46907349845264479</v>
      </c>
      <c r="G19" s="4"/>
      <c r="H19" s="4">
        <f>SUM(OSRRefH16x_0)</f>
        <v>95814</v>
      </c>
      <c r="I19" s="4"/>
      <c r="J19" s="12">
        <f t="shared" ref="J19:J38" si="5">IF(H$12=0,0,H19/H$12)</f>
        <v>0.50672448898643463</v>
      </c>
      <c r="K19" s="4"/>
      <c r="L19" s="4">
        <f t="shared" ref="L19:L38" si="6">+D19-H19</f>
        <v>28625.649999999994</v>
      </c>
      <c r="M19" s="4"/>
      <c r="N19" s="12">
        <f t="shared" ref="N19:N38" si="7">IF(H19=0,0,L19/H19)</f>
        <v>0.29876270691130724</v>
      </c>
      <c r="O19" s="10"/>
      <c r="P19" s="4">
        <f>SUM(OSRRefP16x_0)</f>
        <v>805053.13</v>
      </c>
      <c r="Q19" s="4"/>
      <c r="R19" s="12">
        <f t="shared" ref="R19:R38" si="8">IF(P$12=0,0,P19/P$12)</f>
        <v>0.49156515513721927</v>
      </c>
      <c r="S19" s="4"/>
      <c r="T19" s="4">
        <f>SUM(OSRRefT16x_0)</f>
        <v>714786</v>
      </c>
      <c r="U19" s="4"/>
      <c r="V19" s="12">
        <f t="shared" ref="V19:V38" si="9">IF(T$12=0,0,T19/T$12)</f>
        <v>0.52036775898958731</v>
      </c>
      <c r="W19" s="4"/>
      <c r="X19" s="4">
        <f t="shared" ref="X19:X38" si="10">+P19-T19</f>
        <v>90267.13</v>
      </c>
      <c r="Y19" s="4"/>
      <c r="Z19" s="12">
        <f t="shared" ref="Z19:Z38" si="11">IF(T19=0,0,X19/T19)</f>
        <v>0.1262855316136578</v>
      </c>
    </row>
    <row r="20" spans="1:26" s="24" customFormat="1" hidden="1" outlineLevel="1" x14ac:dyDescent="0.3">
      <c r="A20" s="44"/>
      <c r="B20" s="11" t="str">
        <f>CONCATENATE("          ", "5000", " - ", "PURCHASES @ COST")</f>
        <v xml:space="preserve">          5000 - PURCHASES @ COST</v>
      </c>
      <c r="C20" s="11"/>
      <c r="D20" s="2">
        <v>109123.35</v>
      </c>
      <c r="E20" s="2"/>
      <c r="F20" s="19">
        <f t="shared" si="4"/>
        <v>0.41133892250076581</v>
      </c>
      <c r="G20" s="2"/>
      <c r="H20" s="2">
        <v>95814</v>
      </c>
      <c r="I20" s="2"/>
      <c r="J20" s="19">
        <f t="shared" si="5"/>
        <v>0.50672448898643463</v>
      </c>
      <c r="K20" s="2"/>
      <c r="L20" s="2">
        <f t="shared" si="6"/>
        <v>13309.350000000006</v>
      </c>
      <c r="M20" s="2"/>
      <c r="N20" s="19">
        <f t="shared" si="7"/>
        <v>0.13890819713194319</v>
      </c>
      <c r="O20" s="11"/>
      <c r="P20" s="2">
        <v>834058.82</v>
      </c>
      <c r="Q20" s="2"/>
      <c r="R20" s="19">
        <f t="shared" si="8"/>
        <v>0.50927601914530285</v>
      </c>
      <c r="S20" s="2"/>
      <c r="T20" s="2">
        <v>714786</v>
      </c>
      <c r="U20" s="2"/>
      <c r="V20" s="19">
        <f t="shared" si="9"/>
        <v>0.52036775898958731</v>
      </c>
      <c r="W20" s="2"/>
      <c r="X20" s="2">
        <f t="shared" si="10"/>
        <v>119272.81999999995</v>
      </c>
      <c r="Y20" s="2"/>
      <c r="Z20" s="19">
        <f t="shared" si="11"/>
        <v>0.16686507570097897</v>
      </c>
    </row>
    <row r="21" spans="1:26" s="24" customFormat="1" hidden="1" outlineLevel="1" x14ac:dyDescent="0.3">
      <c r="A21" s="44"/>
      <c r="B21" s="11" t="str">
        <f>CONCATENATE("          ", "5027", " - ", "PURCHASES @ COST-SCHOOL SUPPLI")</f>
        <v xml:space="preserve">          5027 - PURCHASES @ COST-SCHOOL SUPPLI</v>
      </c>
      <c r="C21" s="11"/>
      <c r="D21" s="2"/>
      <c r="E21" s="2"/>
      <c r="F21" s="19">
        <f t="shared" si="4"/>
        <v>0</v>
      </c>
      <c r="G21" s="2"/>
      <c r="H21" s="2"/>
      <c r="I21" s="2"/>
      <c r="J21" s="19">
        <f t="shared" si="5"/>
        <v>0</v>
      </c>
      <c r="K21" s="2"/>
      <c r="L21" s="2">
        <f t="shared" si="6"/>
        <v>0</v>
      </c>
      <c r="M21" s="2"/>
      <c r="N21" s="19">
        <f t="shared" si="7"/>
        <v>0</v>
      </c>
      <c r="O21" s="11"/>
      <c r="P21" s="2">
        <v>0</v>
      </c>
      <c r="Q21" s="2"/>
      <c r="R21" s="19">
        <f t="shared" si="8"/>
        <v>0</v>
      </c>
      <c r="S21" s="2"/>
      <c r="T21" s="2"/>
      <c r="U21" s="2"/>
      <c r="V21" s="19">
        <f t="shared" si="9"/>
        <v>0</v>
      </c>
      <c r="W21" s="2"/>
      <c r="X21" s="2">
        <f t="shared" si="10"/>
        <v>0</v>
      </c>
      <c r="Y21" s="2"/>
      <c r="Z21" s="19">
        <f t="shared" si="11"/>
        <v>0</v>
      </c>
    </row>
    <row r="22" spans="1:26" s="24" customFormat="1" hidden="1" outlineLevel="1" x14ac:dyDescent="0.3">
      <c r="A22" s="44"/>
      <c r="B22" s="11" t="str">
        <f>CONCATENATE("          ", "5028", " - ", "PURCHASES @ COST-ART/TECH")</f>
        <v xml:space="preserve">          5028 - PURCHASES @ COST-ART/TECH</v>
      </c>
      <c r="C22" s="11"/>
      <c r="D22" s="2"/>
      <c r="E22" s="2"/>
      <c r="F22" s="19">
        <f t="shared" si="4"/>
        <v>0</v>
      </c>
      <c r="G22" s="2"/>
      <c r="H22" s="2"/>
      <c r="I22" s="2"/>
      <c r="J22" s="19">
        <f t="shared" si="5"/>
        <v>0</v>
      </c>
      <c r="K22" s="2"/>
      <c r="L22" s="2">
        <f t="shared" si="6"/>
        <v>0</v>
      </c>
      <c r="M22" s="2"/>
      <c r="N22" s="19">
        <f t="shared" si="7"/>
        <v>0</v>
      </c>
      <c r="O22" s="11"/>
      <c r="P22" s="2">
        <v>0</v>
      </c>
      <c r="Q22" s="2"/>
      <c r="R22" s="19">
        <f t="shared" si="8"/>
        <v>0</v>
      </c>
      <c r="S22" s="2"/>
      <c r="T22" s="2"/>
      <c r="U22" s="2"/>
      <c r="V22" s="19">
        <f t="shared" si="9"/>
        <v>0</v>
      </c>
      <c r="W22" s="2"/>
      <c r="X22" s="2">
        <f t="shared" si="10"/>
        <v>0</v>
      </c>
      <c r="Y22" s="2"/>
      <c r="Z22" s="19">
        <f t="shared" si="11"/>
        <v>0</v>
      </c>
    </row>
    <row r="23" spans="1:26" s="24" customFormat="1" hidden="1" outlineLevel="1" x14ac:dyDescent="0.3">
      <c r="A23" s="44"/>
      <c r="B23" s="11" t="str">
        <f>CONCATENATE("          ", "5031", " - ", "PURCHASES @ COST-FOOD")</f>
        <v xml:space="preserve">          5031 - PURCHASES @ COST-FOOD</v>
      </c>
      <c r="C23" s="11"/>
      <c r="D23" s="2"/>
      <c r="E23" s="2"/>
      <c r="F23" s="19">
        <f t="shared" si="4"/>
        <v>0</v>
      </c>
      <c r="G23" s="2"/>
      <c r="H23" s="2"/>
      <c r="I23" s="2"/>
      <c r="J23" s="19">
        <f t="shared" si="5"/>
        <v>0</v>
      </c>
      <c r="K23" s="2"/>
      <c r="L23" s="2">
        <f t="shared" si="6"/>
        <v>0</v>
      </c>
      <c r="M23" s="2"/>
      <c r="N23" s="19">
        <f t="shared" si="7"/>
        <v>0</v>
      </c>
      <c r="O23" s="11"/>
      <c r="P23" s="2">
        <v>0</v>
      </c>
      <c r="Q23" s="2"/>
      <c r="R23" s="19">
        <f t="shared" si="8"/>
        <v>0</v>
      </c>
      <c r="S23" s="2"/>
      <c r="T23" s="2"/>
      <c r="U23" s="2"/>
      <c r="V23" s="19">
        <f t="shared" si="9"/>
        <v>0</v>
      </c>
      <c r="W23" s="2"/>
      <c r="X23" s="2">
        <f t="shared" si="10"/>
        <v>0</v>
      </c>
      <c r="Y23" s="2"/>
      <c r="Z23" s="19">
        <f t="shared" si="11"/>
        <v>0</v>
      </c>
    </row>
    <row r="24" spans="1:26" s="24" customFormat="1" hidden="1" outlineLevel="1" x14ac:dyDescent="0.3">
      <c r="A24" s="44"/>
      <c r="B24" s="11" t="str">
        <f>CONCATENATE("          ", "5040", " - ", "PURCHASES @ COST-LOGO CLOTHING")</f>
        <v xml:space="preserve">          5040 - PURCHASES @ COST-LOGO CLOTHING</v>
      </c>
      <c r="C24" s="11"/>
      <c r="D24" s="2"/>
      <c r="E24" s="2"/>
      <c r="F24" s="19">
        <f t="shared" si="4"/>
        <v>0</v>
      </c>
      <c r="G24" s="2"/>
      <c r="H24" s="2"/>
      <c r="I24" s="2"/>
      <c r="J24" s="19">
        <f t="shared" si="5"/>
        <v>0</v>
      </c>
      <c r="K24" s="2"/>
      <c r="L24" s="2">
        <f t="shared" si="6"/>
        <v>0</v>
      </c>
      <c r="M24" s="2"/>
      <c r="N24" s="19">
        <f t="shared" si="7"/>
        <v>0</v>
      </c>
      <c r="O24" s="11"/>
      <c r="P24" s="2">
        <v>0</v>
      </c>
      <c r="Q24" s="2"/>
      <c r="R24" s="19">
        <f t="shared" si="8"/>
        <v>0</v>
      </c>
      <c r="S24" s="2"/>
      <c r="T24" s="2"/>
      <c r="U24" s="2"/>
      <c r="V24" s="19">
        <f t="shared" si="9"/>
        <v>0</v>
      </c>
      <c r="W24" s="2"/>
      <c r="X24" s="2">
        <f t="shared" si="10"/>
        <v>0</v>
      </c>
      <c r="Y24" s="2"/>
      <c r="Z24" s="19">
        <f t="shared" si="11"/>
        <v>0</v>
      </c>
    </row>
    <row r="25" spans="1:26" s="24" customFormat="1" hidden="1" outlineLevel="1" x14ac:dyDescent="0.3">
      <c r="A25" s="44"/>
      <c r="B25" s="11" t="str">
        <f>CONCATENATE("          ", "5041", " - ", "PURCHASES @ COST-LOGO GIFTS")</f>
        <v xml:space="preserve">          5041 - PURCHASES @ COST-LOGO GIFTS</v>
      </c>
      <c r="C25" s="11"/>
      <c r="D25" s="2"/>
      <c r="E25" s="2"/>
      <c r="F25" s="19">
        <f t="shared" si="4"/>
        <v>0</v>
      </c>
      <c r="G25" s="2"/>
      <c r="H25" s="2"/>
      <c r="I25" s="2"/>
      <c r="J25" s="19">
        <f t="shared" si="5"/>
        <v>0</v>
      </c>
      <c r="K25" s="2"/>
      <c r="L25" s="2">
        <f t="shared" si="6"/>
        <v>0</v>
      </c>
      <c r="M25" s="2"/>
      <c r="N25" s="19">
        <f t="shared" si="7"/>
        <v>0</v>
      </c>
      <c r="O25" s="11"/>
      <c r="P25" s="2">
        <v>0</v>
      </c>
      <c r="Q25" s="2"/>
      <c r="R25" s="19">
        <f t="shared" si="8"/>
        <v>0</v>
      </c>
      <c r="S25" s="2"/>
      <c r="T25" s="2"/>
      <c r="U25" s="2"/>
      <c r="V25" s="19">
        <f t="shared" si="9"/>
        <v>0</v>
      </c>
      <c r="W25" s="2"/>
      <c r="X25" s="2">
        <f t="shared" si="10"/>
        <v>0</v>
      </c>
      <c r="Y25" s="2"/>
      <c r="Z25" s="19">
        <f t="shared" si="11"/>
        <v>0</v>
      </c>
    </row>
    <row r="26" spans="1:26" s="24" customFormat="1" hidden="1" outlineLevel="1" x14ac:dyDescent="0.3">
      <c r="A26" s="44"/>
      <c r="B26" s="11" t="str">
        <f>CONCATENATE("          ", "5042", " - ", "PURCHASES @ COST-EVERYDAY GIFT")</f>
        <v xml:space="preserve">          5042 - PURCHASES @ COST-EVERYDAY GIFT</v>
      </c>
      <c r="C26" s="11"/>
      <c r="D26" s="2"/>
      <c r="E26" s="2"/>
      <c r="F26" s="19">
        <f t="shared" si="4"/>
        <v>0</v>
      </c>
      <c r="G26" s="2"/>
      <c r="H26" s="2"/>
      <c r="I26" s="2"/>
      <c r="J26" s="19">
        <f t="shared" si="5"/>
        <v>0</v>
      </c>
      <c r="K26" s="2"/>
      <c r="L26" s="2">
        <f t="shared" si="6"/>
        <v>0</v>
      </c>
      <c r="M26" s="2"/>
      <c r="N26" s="19">
        <f t="shared" si="7"/>
        <v>0</v>
      </c>
      <c r="O26" s="11"/>
      <c r="P26" s="2">
        <v>0</v>
      </c>
      <c r="Q26" s="2"/>
      <c r="R26" s="19">
        <f t="shared" si="8"/>
        <v>0</v>
      </c>
      <c r="S26" s="2"/>
      <c r="T26" s="2"/>
      <c r="U26" s="2"/>
      <c r="V26" s="19">
        <f t="shared" si="9"/>
        <v>0</v>
      </c>
      <c r="W26" s="2"/>
      <c r="X26" s="2">
        <f t="shared" si="10"/>
        <v>0</v>
      </c>
      <c r="Y26" s="2"/>
      <c r="Z26" s="19">
        <f t="shared" si="11"/>
        <v>0</v>
      </c>
    </row>
    <row r="27" spans="1:26" s="24" customFormat="1" hidden="1" outlineLevel="1" x14ac:dyDescent="0.3">
      <c r="A27" s="44"/>
      <c r="B27" s="11" t="str">
        <f>CONCATENATE("          ", "5043", " - ", "PURCHASES @ COST-CARDS")</f>
        <v xml:space="preserve">          5043 - PURCHASES @ COST-CARDS</v>
      </c>
      <c r="C27" s="11"/>
      <c r="D27" s="2"/>
      <c r="E27" s="2"/>
      <c r="F27" s="19">
        <f t="shared" si="4"/>
        <v>0</v>
      </c>
      <c r="G27" s="2"/>
      <c r="H27" s="2"/>
      <c r="I27" s="2"/>
      <c r="J27" s="19">
        <f t="shared" si="5"/>
        <v>0</v>
      </c>
      <c r="K27" s="2"/>
      <c r="L27" s="2">
        <f t="shared" si="6"/>
        <v>0</v>
      </c>
      <c r="M27" s="2"/>
      <c r="N27" s="19">
        <f t="shared" si="7"/>
        <v>0</v>
      </c>
      <c r="O27" s="11"/>
      <c r="P27" s="2">
        <v>0</v>
      </c>
      <c r="Q27" s="2"/>
      <c r="R27" s="19">
        <f t="shared" si="8"/>
        <v>0</v>
      </c>
      <c r="S27" s="2"/>
      <c r="T27" s="2"/>
      <c r="U27" s="2"/>
      <c r="V27" s="19">
        <f t="shared" si="9"/>
        <v>0</v>
      </c>
      <c r="W27" s="2"/>
      <c r="X27" s="2">
        <f t="shared" si="10"/>
        <v>0</v>
      </c>
      <c r="Y27" s="2"/>
      <c r="Z27" s="19">
        <f t="shared" si="11"/>
        <v>0</v>
      </c>
    </row>
    <row r="28" spans="1:26" s="24" customFormat="1" hidden="1" outlineLevel="1" x14ac:dyDescent="0.3">
      <c r="A28" s="44"/>
      <c r="B28" s="11" t="str">
        <f>CONCATENATE("          ", "5044", " - ", "PURCHASES @ COST-ACCESSORIES")</f>
        <v xml:space="preserve">          5044 - PURCHASES @ COST-ACCESSORIES</v>
      </c>
      <c r="C28" s="11"/>
      <c r="D28" s="2"/>
      <c r="E28" s="2"/>
      <c r="F28" s="19">
        <f t="shared" si="4"/>
        <v>0</v>
      </c>
      <c r="G28" s="2"/>
      <c r="H28" s="2"/>
      <c r="I28" s="2"/>
      <c r="J28" s="19">
        <f t="shared" si="5"/>
        <v>0</v>
      </c>
      <c r="K28" s="2"/>
      <c r="L28" s="2">
        <f t="shared" si="6"/>
        <v>0</v>
      </c>
      <c r="M28" s="2"/>
      <c r="N28" s="19">
        <f t="shared" si="7"/>
        <v>0</v>
      </c>
      <c r="O28" s="11"/>
      <c r="P28" s="2">
        <v>0</v>
      </c>
      <c r="Q28" s="2"/>
      <c r="R28" s="19">
        <f t="shared" si="8"/>
        <v>0</v>
      </c>
      <c r="S28" s="2"/>
      <c r="T28" s="2"/>
      <c r="U28" s="2"/>
      <c r="V28" s="19">
        <f t="shared" si="9"/>
        <v>0</v>
      </c>
      <c r="W28" s="2"/>
      <c r="X28" s="2">
        <f t="shared" si="10"/>
        <v>0</v>
      </c>
      <c r="Y28" s="2"/>
      <c r="Z28" s="19">
        <f t="shared" si="11"/>
        <v>0</v>
      </c>
    </row>
    <row r="29" spans="1:26" s="24" customFormat="1" hidden="1" outlineLevel="1" x14ac:dyDescent="0.3">
      <c r="A29" s="44"/>
      <c r="B29" s="11" t="str">
        <f>CONCATENATE("          ", "5045", " - ", "PURCHASES @ COST-SPECIAL ORDER")</f>
        <v xml:space="preserve">          5045 - PURCHASES @ COST-SPECIAL ORDER</v>
      </c>
      <c r="C29" s="11"/>
      <c r="D29" s="2"/>
      <c r="E29" s="2"/>
      <c r="F29" s="19">
        <f t="shared" si="4"/>
        <v>0</v>
      </c>
      <c r="G29" s="2"/>
      <c r="H29" s="2"/>
      <c r="I29" s="2"/>
      <c r="J29" s="19">
        <f t="shared" si="5"/>
        <v>0</v>
      </c>
      <c r="K29" s="2"/>
      <c r="L29" s="2">
        <f t="shared" si="6"/>
        <v>0</v>
      </c>
      <c r="M29" s="2"/>
      <c r="N29" s="19">
        <f t="shared" si="7"/>
        <v>0</v>
      </c>
      <c r="O29" s="11"/>
      <c r="P29" s="2">
        <v>0</v>
      </c>
      <c r="Q29" s="2"/>
      <c r="R29" s="19">
        <f t="shared" si="8"/>
        <v>0</v>
      </c>
      <c r="S29" s="2"/>
      <c r="T29" s="2"/>
      <c r="U29" s="2"/>
      <c r="V29" s="19">
        <f t="shared" si="9"/>
        <v>0</v>
      </c>
      <c r="W29" s="2"/>
      <c r="X29" s="2">
        <f t="shared" si="10"/>
        <v>0</v>
      </c>
      <c r="Y29" s="2"/>
      <c r="Z29" s="19">
        <f t="shared" si="11"/>
        <v>0</v>
      </c>
    </row>
    <row r="30" spans="1:26" s="24" customFormat="1" hidden="1" outlineLevel="1" x14ac:dyDescent="0.3">
      <c r="A30" s="44"/>
      <c r="B30" s="11" t="str">
        <f>CONCATENATE("          ", "5200", " - ", "PURCHASES OFFSET")</f>
        <v xml:space="preserve">          5200 - PURCHASES OFFSET</v>
      </c>
      <c r="C30" s="11"/>
      <c r="D30" s="2">
        <v>-119795.1</v>
      </c>
      <c r="E30" s="2"/>
      <c r="F30" s="19">
        <f t="shared" si="4"/>
        <v>-0.45156593300032938</v>
      </c>
      <c r="G30" s="2"/>
      <c r="H30" s="2"/>
      <c r="I30" s="2"/>
      <c r="J30" s="19">
        <f t="shared" si="5"/>
        <v>0</v>
      </c>
      <c r="K30" s="2"/>
      <c r="L30" s="2">
        <f t="shared" si="6"/>
        <v>-119795.1</v>
      </c>
      <c r="M30" s="2"/>
      <c r="N30" s="19">
        <f t="shared" si="7"/>
        <v>0</v>
      </c>
      <c r="O30" s="11"/>
      <c r="P30" s="2">
        <v>-857476.25</v>
      </c>
      <c r="Q30" s="2"/>
      <c r="R30" s="19">
        <f t="shared" si="8"/>
        <v>-0.52357469358293285</v>
      </c>
      <c r="S30" s="2"/>
      <c r="T30" s="2"/>
      <c r="U30" s="2"/>
      <c r="V30" s="19">
        <f t="shared" si="9"/>
        <v>0</v>
      </c>
      <c r="W30" s="2"/>
      <c r="X30" s="2">
        <f t="shared" si="10"/>
        <v>-857476.25</v>
      </c>
      <c r="Y30" s="2"/>
      <c r="Z30" s="19">
        <f t="shared" si="11"/>
        <v>0</v>
      </c>
    </row>
    <row r="31" spans="1:26" s="24" customFormat="1" hidden="1" outlineLevel="1" x14ac:dyDescent="0.3">
      <c r="A31" s="44"/>
      <c r="B31" s="11" t="str">
        <f>CONCATENATE("          ", "5300", " - ", "COG$ OFFSET")</f>
        <v xml:space="preserve">          5300 - COG$ OFFSET</v>
      </c>
      <c r="C31" s="11"/>
      <c r="D31" s="2">
        <v>124439.65</v>
      </c>
      <c r="E31" s="2"/>
      <c r="F31" s="19">
        <f t="shared" si="4"/>
        <v>0.46907349845264479</v>
      </c>
      <c r="G31" s="2"/>
      <c r="H31" s="2"/>
      <c r="I31" s="2"/>
      <c r="J31" s="19">
        <f t="shared" si="5"/>
        <v>0</v>
      </c>
      <c r="K31" s="2"/>
      <c r="L31" s="2">
        <f t="shared" si="6"/>
        <v>124439.65</v>
      </c>
      <c r="M31" s="2"/>
      <c r="N31" s="19">
        <f t="shared" si="7"/>
        <v>0</v>
      </c>
      <c r="O31" s="11"/>
      <c r="P31" s="2">
        <v>805053.13</v>
      </c>
      <c r="Q31" s="2"/>
      <c r="R31" s="19">
        <f t="shared" si="8"/>
        <v>0.49156515513721927</v>
      </c>
      <c r="S31" s="2"/>
      <c r="T31" s="2"/>
      <c r="U31" s="2"/>
      <c r="V31" s="19">
        <f t="shared" si="9"/>
        <v>0</v>
      </c>
      <c r="W31" s="2"/>
      <c r="X31" s="2">
        <f t="shared" si="10"/>
        <v>805053.13</v>
      </c>
      <c r="Y31" s="2"/>
      <c r="Z31" s="19">
        <f t="shared" si="11"/>
        <v>0</v>
      </c>
    </row>
    <row r="32" spans="1:26" s="24" customFormat="1" hidden="1" outlineLevel="1" x14ac:dyDescent="0.3">
      <c r="A32" s="44"/>
      <c r="B32" s="11" t="str">
        <f>CONCATENATE("          ", "5500", " - ", "FREIGHT-IN")</f>
        <v xml:space="preserve">          5500 - FREIGHT-IN</v>
      </c>
      <c r="C32" s="11"/>
      <c r="D32" s="2">
        <v>10671.75</v>
      </c>
      <c r="E32" s="2"/>
      <c r="F32" s="19">
        <f t="shared" si="4"/>
        <v>4.0227010499563544E-2</v>
      </c>
      <c r="G32" s="2"/>
      <c r="H32" s="2"/>
      <c r="I32" s="2"/>
      <c r="J32" s="19">
        <f t="shared" si="5"/>
        <v>0</v>
      </c>
      <c r="K32" s="2"/>
      <c r="L32" s="2">
        <f t="shared" si="6"/>
        <v>10671.75</v>
      </c>
      <c r="M32" s="2"/>
      <c r="N32" s="19">
        <f t="shared" si="7"/>
        <v>0</v>
      </c>
      <c r="O32" s="11"/>
      <c r="P32" s="2">
        <v>23417.43</v>
      </c>
      <c r="Q32" s="2"/>
      <c r="R32" s="19">
        <f t="shared" si="8"/>
        <v>1.429867443762994E-2</v>
      </c>
      <c r="S32" s="2"/>
      <c r="T32" s="2"/>
      <c r="U32" s="2"/>
      <c r="V32" s="19">
        <f t="shared" si="9"/>
        <v>0</v>
      </c>
      <c r="W32" s="2"/>
      <c r="X32" s="2">
        <f t="shared" si="10"/>
        <v>23417.43</v>
      </c>
      <c r="Y32" s="2"/>
      <c r="Z32" s="19">
        <f t="shared" si="11"/>
        <v>0</v>
      </c>
    </row>
    <row r="33" spans="1:26" s="24" customFormat="1" hidden="1" outlineLevel="1" x14ac:dyDescent="0.3">
      <c r="A33" s="44"/>
      <c r="B33" s="11" t="str">
        <f>CONCATENATE("          ", "5527", " - ", "FREIGHT-IN-SCHOOL SUPPLIES")</f>
        <v xml:space="preserve">          5527 - FREIGHT-IN-SCHOOL SUPPLIES</v>
      </c>
      <c r="C33" s="11"/>
      <c r="D33" s="2"/>
      <c r="E33" s="2"/>
      <c r="F33" s="19">
        <f t="shared" si="4"/>
        <v>0</v>
      </c>
      <c r="G33" s="2"/>
      <c r="H33" s="2"/>
      <c r="I33" s="2"/>
      <c r="J33" s="19">
        <f t="shared" si="5"/>
        <v>0</v>
      </c>
      <c r="K33" s="2"/>
      <c r="L33" s="2">
        <f t="shared" si="6"/>
        <v>0</v>
      </c>
      <c r="M33" s="2"/>
      <c r="N33" s="19">
        <f t="shared" si="7"/>
        <v>0</v>
      </c>
      <c r="O33" s="11"/>
      <c r="P33" s="2">
        <v>0</v>
      </c>
      <c r="Q33" s="2"/>
      <c r="R33" s="19">
        <f t="shared" si="8"/>
        <v>0</v>
      </c>
      <c r="S33" s="2"/>
      <c r="T33" s="2"/>
      <c r="U33" s="2"/>
      <c r="V33" s="19">
        <f t="shared" si="9"/>
        <v>0</v>
      </c>
      <c r="W33" s="2"/>
      <c r="X33" s="2">
        <f t="shared" si="10"/>
        <v>0</v>
      </c>
      <c r="Y33" s="2"/>
      <c r="Z33" s="19">
        <f t="shared" si="11"/>
        <v>0</v>
      </c>
    </row>
    <row r="34" spans="1:26" s="24" customFormat="1" hidden="1" outlineLevel="1" x14ac:dyDescent="0.3">
      <c r="A34" s="44"/>
      <c r="B34" s="11" t="str">
        <f>CONCATENATE("          ", "5540", " - ", "FREIGHT-IN-LOGO CLOTHING")</f>
        <v xml:space="preserve">          5540 - FREIGHT-IN-LOGO CLOTHING</v>
      </c>
      <c r="C34" s="11"/>
      <c r="D34" s="2"/>
      <c r="E34" s="2"/>
      <c r="F34" s="19">
        <f t="shared" si="4"/>
        <v>0</v>
      </c>
      <c r="G34" s="2"/>
      <c r="H34" s="2"/>
      <c r="I34" s="2"/>
      <c r="J34" s="19">
        <f t="shared" si="5"/>
        <v>0</v>
      </c>
      <c r="K34" s="2"/>
      <c r="L34" s="2">
        <f t="shared" si="6"/>
        <v>0</v>
      </c>
      <c r="M34" s="2"/>
      <c r="N34" s="19">
        <f t="shared" si="7"/>
        <v>0</v>
      </c>
      <c r="O34" s="11"/>
      <c r="P34" s="2">
        <v>0</v>
      </c>
      <c r="Q34" s="2"/>
      <c r="R34" s="19">
        <f t="shared" si="8"/>
        <v>0</v>
      </c>
      <c r="S34" s="2"/>
      <c r="T34" s="2"/>
      <c r="U34" s="2"/>
      <c r="V34" s="19">
        <f t="shared" si="9"/>
        <v>0</v>
      </c>
      <c r="W34" s="2"/>
      <c r="X34" s="2">
        <f t="shared" si="10"/>
        <v>0</v>
      </c>
      <c r="Y34" s="2"/>
      <c r="Z34" s="19">
        <f t="shared" si="11"/>
        <v>0</v>
      </c>
    </row>
    <row r="35" spans="1:26" s="24" customFormat="1" hidden="1" outlineLevel="1" x14ac:dyDescent="0.3">
      <c r="A35" s="44"/>
      <c r="B35" s="11" t="str">
        <f>CONCATENATE("          ", "5541", " - ", "FREIGHT-IN-LOGO GIFTS")</f>
        <v xml:space="preserve">          5541 - FREIGHT-IN-LOGO GIFTS</v>
      </c>
      <c r="C35" s="11"/>
      <c r="D35" s="2"/>
      <c r="E35" s="2"/>
      <c r="F35" s="19">
        <f t="shared" si="4"/>
        <v>0</v>
      </c>
      <c r="G35" s="2"/>
      <c r="H35" s="2"/>
      <c r="I35" s="2"/>
      <c r="J35" s="19">
        <f t="shared" si="5"/>
        <v>0</v>
      </c>
      <c r="K35" s="2"/>
      <c r="L35" s="2">
        <f t="shared" si="6"/>
        <v>0</v>
      </c>
      <c r="M35" s="2"/>
      <c r="N35" s="19">
        <f t="shared" si="7"/>
        <v>0</v>
      </c>
      <c r="O35" s="11"/>
      <c r="P35" s="2">
        <v>0</v>
      </c>
      <c r="Q35" s="2"/>
      <c r="R35" s="19">
        <f t="shared" si="8"/>
        <v>0</v>
      </c>
      <c r="S35" s="2"/>
      <c r="T35" s="2"/>
      <c r="U35" s="2"/>
      <c r="V35" s="19">
        <f t="shared" si="9"/>
        <v>0</v>
      </c>
      <c r="W35" s="2"/>
      <c r="X35" s="2">
        <f t="shared" si="10"/>
        <v>0</v>
      </c>
      <c r="Y35" s="2"/>
      <c r="Z35" s="19">
        <f t="shared" si="11"/>
        <v>0</v>
      </c>
    </row>
    <row r="36" spans="1:26" s="24" customFormat="1" hidden="1" outlineLevel="1" x14ac:dyDescent="0.3">
      <c r="A36" s="44"/>
      <c r="B36" s="11" t="str">
        <f>CONCATENATE("          ", "5542", " - ", "FREIGHT-IN-EVERYDAY GIFTS")</f>
        <v xml:space="preserve">          5542 - FREIGHT-IN-EVERYDAY GIFTS</v>
      </c>
      <c r="C36" s="11"/>
      <c r="D36" s="2"/>
      <c r="E36" s="2"/>
      <c r="F36" s="19">
        <f t="shared" si="4"/>
        <v>0</v>
      </c>
      <c r="G36" s="2"/>
      <c r="H36" s="2"/>
      <c r="I36" s="2"/>
      <c r="J36" s="19">
        <f t="shared" si="5"/>
        <v>0</v>
      </c>
      <c r="K36" s="2"/>
      <c r="L36" s="2">
        <f t="shared" si="6"/>
        <v>0</v>
      </c>
      <c r="M36" s="2"/>
      <c r="N36" s="19">
        <f t="shared" si="7"/>
        <v>0</v>
      </c>
      <c r="O36" s="11"/>
      <c r="P36" s="2">
        <v>0</v>
      </c>
      <c r="Q36" s="2"/>
      <c r="R36" s="19">
        <f t="shared" si="8"/>
        <v>0</v>
      </c>
      <c r="S36" s="2"/>
      <c r="T36" s="2"/>
      <c r="U36" s="2"/>
      <c r="V36" s="19">
        <f t="shared" si="9"/>
        <v>0</v>
      </c>
      <c r="W36" s="2"/>
      <c r="X36" s="2">
        <f t="shared" si="10"/>
        <v>0</v>
      </c>
      <c r="Y36" s="2"/>
      <c r="Z36" s="19">
        <f t="shared" si="11"/>
        <v>0</v>
      </c>
    </row>
    <row r="37" spans="1:26" s="24" customFormat="1" hidden="1" outlineLevel="1" x14ac:dyDescent="0.3">
      <c r="A37" s="44"/>
      <c r="B37" s="11" t="str">
        <f>CONCATENATE("          ", "5544", " - ", "FREIGHT-IN-ACCESSORIES")</f>
        <v xml:space="preserve">          5544 - FREIGHT-IN-ACCESSORIES</v>
      </c>
      <c r="C37" s="11"/>
      <c r="D37" s="2"/>
      <c r="E37" s="2"/>
      <c r="F37" s="19">
        <f t="shared" si="4"/>
        <v>0</v>
      </c>
      <c r="G37" s="2"/>
      <c r="H37" s="2"/>
      <c r="I37" s="2"/>
      <c r="J37" s="19">
        <f t="shared" si="5"/>
        <v>0</v>
      </c>
      <c r="K37" s="2"/>
      <c r="L37" s="2">
        <f t="shared" si="6"/>
        <v>0</v>
      </c>
      <c r="M37" s="2"/>
      <c r="N37" s="19">
        <f t="shared" si="7"/>
        <v>0</v>
      </c>
      <c r="O37" s="11"/>
      <c r="P37" s="2">
        <v>0</v>
      </c>
      <c r="Q37" s="2"/>
      <c r="R37" s="19">
        <f t="shared" si="8"/>
        <v>0</v>
      </c>
      <c r="S37" s="2"/>
      <c r="T37" s="2"/>
      <c r="U37" s="2"/>
      <c r="V37" s="19">
        <f t="shared" si="9"/>
        <v>0</v>
      </c>
      <c r="W37" s="2"/>
      <c r="X37" s="2">
        <f t="shared" si="10"/>
        <v>0</v>
      </c>
      <c r="Y37" s="2"/>
      <c r="Z37" s="19">
        <f t="shared" si="11"/>
        <v>0</v>
      </c>
    </row>
    <row r="38" spans="1:26" s="24" customFormat="1" hidden="1" outlineLevel="1" x14ac:dyDescent="0.3">
      <c r="A38" s="44"/>
      <c r="B38" s="11" t="str">
        <f>CONCATENATE("          ", "5545", " - ", "FREIGHT-IN-SPECIAL ORDERS")</f>
        <v xml:space="preserve">          5545 - FREIGHT-IN-SPECIAL ORDERS</v>
      </c>
      <c r="C38" s="11"/>
      <c r="D38" s="2"/>
      <c r="E38" s="2"/>
      <c r="F38" s="19">
        <f t="shared" si="4"/>
        <v>0</v>
      </c>
      <c r="G38" s="2"/>
      <c r="H38" s="2"/>
      <c r="I38" s="2"/>
      <c r="J38" s="19">
        <f t="shared" si="5"/>
        <v>0</v>
      </c>
      <c r="K38" s="2"/>
      <c r="L38" s="2">
        <f t="shared" si="6"/>
        <v>0</v>
      </c>
      <c r="M38" s="2"/>
      <c r="N38" s="19">
        <f t="shared" si="7"/>
        <v>0</v>
      </c>
      <c r="O38" s="11"/>
      <c r="P38" s="2">
        <v>0</v>
      </c>
      <c r="Q38" s="2"/>
      <c r="R38" s="19">
        <f t="shared" si="8"/>
        <v>0</v>
      </c>
      <c r="S38" s="2"/>
      <c r="T38" s="2"/>
      <c r="U38" s="2"/>
      <c r="V38" s="19">
        <f t="shared" si="9"/>
        <v>0</v>
      </c>
      <c r="W38" s="2"/>
      <c r="X38" s="2">
        <f t="shared" si="10"/>
        <v>0</v>
      </c>
      <c r="Y38" s="2"/>
      <c r="Z38" s="19">
        <f t="shared" si="11"/>
        <v>0</v>
      </c>
    </row>
    <row r="39" spans="1:26" x14ac:dyDescent="0.3">
      <c r="A39" s="9"/>
      <c r="B39" s="10"/>
      <c r="C39" s="10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O39" s="10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x14ac:dyDescent="0.3">
      <c r="A40" s="10"/>
      <c r="B40" s="26" t="s">
        <v>108</v>
      </c>
      <c r="C40" s="26"/>
      <c r="D40" s="20">
        <f>D12-D19</f>
        <v>140848.52000000005</v>
      </c>
      <c r="E40" s="13"/>
      <c r="F40" s="22">
        <f>IF(D$12=0,0,D40/D$12)</f>
        <v>0.53092650154735521</v>
      </c>
      <c r="G40" s="13"/>
      <c r="H40" s="20">
        <f>H12-H19</f>
        <v>93271</v>
      </c>
      <c r="I40" s="13"/>
      <c r="J40" s="22">
        <f>IF(H$12=0,0,H40/H$12)</f>
        <v>0.49327551101356532</v>
      </c>
      <c r="K40" s="15"/>
      <c r="L40" s="20">
        <f>+D40-H40</f>
        <v>47577.520000000048</v>
      </c>
      <c r="M40" s="15"/>
      <c r="N40" s="22">
        <f>IF(H40=0,0,L40/H40)</f>
        <v>0.51009981666327209</v>
      </c>
      <c r="O40" s="25"/>
      <c r="P40" s="20">
        <f>P12-P19</f>
        <v>832681.2000000003</v>
      </c>
      <c r="Q40" s="13"/>
      <c r="R40" s="22">
        <f>IF(P$12=0,0,P40/P$12)</f>
        <v>0.50843484486278079</v>
      </c>
      <c r="S40" s="13"/>
      <c r="T40" s="20">
        <f>T12-T19</f>
        <v>658831</v>
      </c>
      <c r="U40" s="13"/>
      <c r="V40" s="22">
        <f>IF(T$12=0,0,T40/T$12)</f>
        <v>0.47963224101041263</v>
      </c>
      <c r="W40" s="15"/>
      <c r="X40" s="20">
        <f>+P40-T40</f>
        <v>173850.2000000003</v>
      </c>
      <c r="Y40" s="15"/>
      <c r="Z40" s="22">
        <f>IF(T40=0,0,X40/T40)</f>
        <v>0.26387677568299051</v>
      </c>
    </row>
    <row r="41" spans="1:26" x14ac:dyDescent="0.3">
      <c r="A41" s="9"/>
      <c r="B41" s="10"/>
      <c r="C41" s="9"/>
      <c r="D41" s="1"/>
      <c r="E41" s="1"/>
      <c r="F41" s="5"/>
      <c r="G41" s="1"/>
      <c r="H41" s="1"/>
      <c r="I41" s="1"/>
      <c r="J41" s="5"/>
      <c r="K41" s="1"/>
      <c r="L41" s="1"/>
      <c r="M41" s="1"/>
      <c r="N41" s="5"/>
      <c r="O41" s="36"/>
      <c r="P41" s="1"/>
      <c r="Q41" s="1"/>
      <c r="R41" s="5"/>
      <c r="S41" s="1"/>
      <c r="T41" s="1"/>
      <c r="U41" s="1"/>
      <c r="V41" s="5"/>
      <c r="W41" s="1"/>
      <c r="X41" s="1"/>
      <c r="Y41" s="1"/>
      <c r="Z41" s="5"/>
    </row>
    <row r="42" spans="1:26" s="23" customFormat="1" x14ac:dyDescent="0.3">
      <c r="A42" s="10"/>
      <c r="B42" s="25" t="s">
        <v>295</v>
      </c>
      <c r="C42" s="10"/>
      <c r="D42" s="21">
        <f>SUM(OSRRefD22x_0)</f>
        <v>80856.09</v>
      </c>
      <c r="E42" s="21"/>
      <c r="F42" s="30">
        <f t="shared" ref="F42:F52" si="12">IF(D$12=0,0,D42/D$12)</f>
        <v>0.30478588623081077</v>
      </c>
      <c r="G42" s="21"/>
      <c r="H42" s="21">
        <f>SUM(OSRRefH22x_0)</f>
        <v>97504.496517692329</v>
      </c>
      <c r="I42" s="21"/>
      <c r="J42" s="30">
        <f t="shared" ref="J42:J52" si="13">IF(H$12=0,0,H42/H$12)</f>
        <v>0.51566489418881634</v>
      </c>
      <c r="K42" s="4"/>
      <c r="L42" s="21">
        <f t="shared" ref="L42:L52" si="14">+D42-H42</f>
        <v>-16648.406517692332</v>
      </c>
      <c r="M42" s="4"/>
      <c r="N42" s="30">
        <f t="shared" ref="N42:N52" si="15">IF(H42=0,0,L42/H42)</f>
        <v>-0.17074501292021393</v>
      </c>
      <c r="O42" s="10"/>
      <c r="P42" s="21">
        <f>SUM(OSRRefP22x_0)</f>
        <v>466721.05999999994</v>
      </c>
      <c r="Q42" s="21"/>
      <c r="R42" s="30">
        <f t="shared" ref="R42:R52" si="16">IF(P$12=0,0,P42/P$12)</f>
        <v>0.28497971340687461</v>
      </c>
      <c r="S42" s="21"/>
      <c r="T42" s="21">
        <f>SUM(OSRRefT22x_0)</f>
        <v>534886.00177480769</v>
      </c>
      <c r="U42" s="21"/>
      <c r="V42" s="30">
        <f t="shared" ref="V42:V52" si="17">IF(T$12=0,0,T42/T$12)</f>
        <v>0.38939966655538455</v>
      </c>
      <c r="W42" s="4"/>
      <c r="X42" s="21">
        <f t="shared" ref="X42:X52" si="18">+P42-T42</f>
        <v>-68164.941774807754</v>
      </c>
      <c r="Y42" s="4"/>
      <c r="Z42" s="30">
        <f t="shared" ref="Z42:Z52" si="19">IF(T42=0,0,X42/T42)</f>
        <v>-0.12743826076702203</v>
      </c>
    </row>
    <row r="43" spans="1:26" s="29" customFormat="1" outlineLevel="1" collapsed="1" x14ac:dyDescent="0.3">
      <c r="A43" s="28"/>
      <c r="B43" s="14" t="str">
        <f>CONCATENATE("     ","*Benefits                                         ")</f>
        <v xml:space="preserve">     *Benefits                                         </v>
      </c>
      <c r="C43" s="14"/>
      <c r="D43" s="1">
        <f>SUM(OSRRefD22_0x_0)</f>
        <v>13383.269999999999</v>
      </c>
      <c r="E43" s="1"/>
      <c r="F43" s="5">
        <f t="shared" si="12"/>
        <v>5.0448046741021269E-2</v>
      </c>
      <c r="G43" s="1"/>
      <c r="H43" s="1">
        <f>SUM(OSRRefH22_0x_0)</f>
        <v>19939.288825384625</v>
      </c>
      <c r="I43" s="1"/>
      <c r="J43" s="5">
        <f t="shared" si="13"/>
        <v>0.10545145741536677</v>
      </c>
      <c r="K43" s="1"/>
      <c r="L43" s="1">
        <f t="shared" si="14"/>
        <v>-6556.0188253846263</v>
      </c>
      <c r="M43" s="1"/>
      <c r="N43" s="5">
        <f t="shared" si="15"/>
        <v>-0.32879903003552396</v>
      </c>
      <c r="O43" s="14"/>
      <c r="P43" s="1">
        <f>SUM(OSRRefP22_0x_0)</f>
        <v>72766.34</v>
      </c>
      <c r="Q43" s="1"/>
      <c r="R43" s="5">
        <f t="shared" si="16"/>
        <v>4.4431101349630978E-2</v>
      </c>
      <c r="S43" s="1"/>
      <c r="T43" s="1">
        <f>SUM(OSRRefT22_0x_0)</f>
        <v>102190.85946711541</v>
      </c>
      <c r="U43" s="1"/>
      <c r="V43" s="5">
        <f t="shared" si="17"/>
        <v>7.4395453366633793E-2</v>
      </c>
      <c r="W43" s="1"/>
      <c r="X43" s="1">
        <f t="shared" si="18"/>
        <v>-29424.519467115417</v>
      </c>
      <c r="Y43" s="1"/>
      <c r="Z43" s="5">
        <f t="shared" si="19"/>
        <v>-0.28793690179877685</v>
      </c>
    </row>
    <row r="44" spans="1:26" s="24" customFormat="1" hidden="1" outlineLevel="2" x14ac:dyDescent="0.3">
      <c r="A44" s="27"/>
      <c r="B44" s="11" t="str">
        <f>CONCATENATE("          ", "6111", " - ", "F.I.C.A.")</f>
        <v xml:space="preserve">          6111 - F.I.C.A.</v>
      </c>
      <c r="C44" s="11"/>
      <c r="D44" s="6">
        <v>2225.58</v>
      </c>
      <c r="E44" s="2"/>
      <c r="F44" s="7">
        <f t="shared" si="12"/>
        <v>8.3892922929808735E-3</v>
      </c>
      <c r="G44" s="2"/>
      <c r="H44" s="6">
        <v>4823.3974407692303</v>
      </c>
      <c r="I44" s="2"/>
      <c r="J44" s="7">
        <f t="shared" si="13"/>
        <v>2.5509149011128489E-2</v>
      </c>
      <c r="K44" s="2"/>
      <c r="L44" s="6">
        <f t="shared" si="14"/>
        <v>-2597.8174407692304</v>
      </c>
      <c r="M44" s="2"/>
      <c r="N44" s="7">
        <f t="shared" si="15"/>
        <v>-0.53858664409684909</v>
      </c>
      <c r="O44" s="11"/>
      <c r="P44" s="6">
        <v>15184.81</v>
      </c>
      <c r="Q44" s="2"/>
      <c r="R44" s="7">
        <f t="shared" si="16"/>
        <v>9.2718395907350846E-3</v>
      </c>
      <c r="S44" s="2"/>
      <c r="T44" s="6">
        <v>22158.9568517308</v>
      </c>
      <c r="U44" s="2"/>
      <c r="V44" s="7">
        <f t="shared" si="17"/>
        <v>1.6131830671672526E-2</v>
      </c>
      <c r="W44" s="2"/>
      <c r="X44" s="6">
        <f t="shared" si="18"/>
        <v>-6974.1468517308003</v>
      </c>
      <c r="Y44" s="2"/>
      <c r="Z44" s="7">
        <f t="shared" si="19"/>
        <v>-0.31473263377856442</v>
      </c>
    </row>
    <row r="45" spans="1:26" s="24" customFormat="1" hidden="1" outlineLevel="2" x14ac:dyDescent="0.3">
      <c r="A45" s="27"/>
      <c r="B45" s="11" t="str">
        <f>CONCATENATE("          ", "6112", " - ", "COMPENSATION INSURANCE")</f>
        <v xml:space="preserve">          6112 - COMPENSATION INSURANCE</v>
      </c>
      <c r="C45" s="11"/>
      <c r="D45" s="6">
        <v>815.52</v>
      </c>
      <c r="E45" s="2"/>
      <c r="F45" s="7">
        <f t="shared" si="12"/>
        <v>3.0740910912084767E-3</v>
      </c>
      <c r="G45" s="2"/>
      <c r="H45" s="6">
        <v>1017.888</v>
      </c>
      <c r="I45" s="2"/>
      <c r="J45" s="7">
        <f t="shared" si="13"/>
        <v>5.3832297643916756E-3</v>
      </c>
      <c r="K45" s="2"/>
      <c r="L45" s="6">
        <f t="shared" si="14"/>
        <v>-202.36800000000005</v>
      </c>
      <c r="M45" s="2"/>
      <c r="N45" s="7">
        <f t="shared" si="15"/>
        <v>-0.19881165707818546</v>
      </c>
      <c r="O45" s="11"/>
      <c r="P45" s="6">
        <v>4598.12</v>
      </c>
      <c r="Q45" s="2"/>
      <c r="R45" s="7">
        <f t="shared" si="16"/>
        <v>2.8076104382571006E-3</v>
      </c>
      <c r="S45" s="2"/>
      <c r="T45" s="6">
        <v>5598.384</v>
      </c>
      <c r="U45" s="2"/>
      <c r="V45" s="7">
        <f t="shared" si="17"/>
        <v>4.0756513642449099E-3</v>
      </c>
      <c r="W45" s="2"/>
      <c r="X45" s="6">
        <f t="shared" si="18"/>
        <v>-1000.2640000000001</v>
      </c>
      <c r="Y45" s="2"/>
      <c r="Z45" s="7">
        <f t="shared" si="19"/>
        <v>-0.17867013052337963</v>
      </c>
    </row>
    <row r="46" spans="1:26" s="24" customFormat="1" hidden="1" outlineLevel="2" x14ac:dyDescent="0.3">
      <c r="A46" s="27"/>
      <c r="B46" s="11" t="str">
        <f>CONCATENATE("          ", "6113", " - ", "GROUP INSURANCE")</f>
        <v xml:space="preserve">          6113 - GROUP INSURANCE</v>
      </c>
      <c r="C46" s="11"/>
      <c r="D46" s="6">
        <v>4811.13</v>
      </c>
      <c r="E46" s="2"/>
      <c r="F46" s="7">
        <f t="shared" si="12"/>
        <v>1.8135486403332644E-2</v>
      </c>
      <c r="G46" s="2"/>
      <c r="H46" s="6">
        <v>7772.9230769230799</v>
      </c>
      <c r="I46" s="2"/>
      <c r="J46" s="7">
        <f t="shared" si="13"/>
        <v>4.1108089361520377E-2</v>
      </c>
      <c r="K46" s="2"/>
      <c r="L46" s="6">
        <f t="shared" si="14"/>
        <v>-2961.7930769230798</v>
      </c>
      <c r="M46" s="2"/>
      <c r="N46" s="7">
        <f t="shared" si="15"/>
        <v>-0.38103980286596489</v>
      </c>
      <c r="O46" s="11"/>
      <c r="P46" s="6">
        <v>24089.4</v>
      </c>
      <c r="Q46" s="2"/>
      <c r="R46" s="7">
        <f t="shared" si="16"/>
        <v>1.4708979080874488E-2</v>
      </c>
      <c r="S46" s="2"/>
      <c r="T46" s="6">
        <v>40083.0769230769</v>
      </c>
      <c r="U46" s="2"/>
      <c r="V46" s="7">
        <f t="shared" si="17"/>
        <v>2.9180679128954359E-2</v>
      </c>
      <c r="W46" s="2"/>
      <c r="X46" s="6">
        <f t="shared" si="18"/>
        <v>-15993.676923076899</v>
      </c>
      <c r="Y46" s="2"/>
      <c r="Z46" s="7">
        <f t="shared" si="19"/>
        <v>-0.39901320334689455</v>
      </c>
    </row>
    <row r="47" spans="1:26" s="24" customFormat="1" hidden="1" outlineLevel="2" x14ac:dyDescent="0.3">
      <c r="A47" s="27"/>
      <c r="B47" s="11" t="str">
        <f>CONCATENATE("          ", "6114", " - ", "STATE UNEMPLOYMENT INSURANCE")</f>
        <v xml:space="preserve">          6114 - STATE UNEMPLOYMENT INSURANCE</v>
      </c>
      <c r="C47" s="11"/>
      <c r="D47" s="6">
        <v>143.27000000000001</v>
      </c>
      <c r="E47" s="2"/>
      <c r="F47" s="7">
        <f t="shared" si="12"/>
        <v>5.4005423611614486E-4</v>
      </c>
      <c r="G47" s="2"/>
      <c r="H47" s="6">
        <v>137.023384615385</v>
      </c>
      <c r="I47" s="2"/>
      <c r="J47" s="7">
        <f t="shared" si="13"/>
        <v>7.2466554520657378E-4</v>
      </c>
      <c r="K47" s="2"/>
      <c r="L47" s="6">
        <f t="shared" si="14"/>
        <v>6.2466153846150121</v>
      </c>
      <c r="M47" s="2"/>
      <c r="N47" s="7">
        <f t="shared" si="15"/>
        <v>4.5587951298596385E-2</v>
      </c>
      <c r="O47" s="11"/>
      <c r="P47" s="6">
        <v>807.77</v>
      </c>
      <c r="Q47" s="2"/>
      <c r="R47" s="7">
        <f t="shared" si="16"/>
        <v>4.9322407499389706E-4</v>
      </c>
      <c r="S47" s="2"/>
      <c r="T47" s="6">
        <v>753.62861538461505</v>
      </c>
      <c r="U47" s="2"/>
      <c r="V47" s="7">
        <f t="shared" si="17"/>
        <v>5.4864537595604532E-4</v>
      </c>
      <c r="W47" s="2"/>
      <c r="X47" s="6">
        <f t="shared" si="18"/>
        <v>54.141384615384936</v>
      </c>
      <c r="Y47" s="2"/>
      <c r="Z47" s="7">
        <f t="shared" si="19"/>
        <v>7.1840935322969174E-2</v>
      </c>
    </row>
    <row r="48" spans="1:26" s="24" customFormat="1" hidden="1" outlineLevel="2" x14ac:dyDescent="0.3">
      <c r="A48" s="27"/>
      <c r="B48" s="11" t="str">
        <f>CONCATENATE("          ", "6115", " - ", "P.E.R.S.")</f>
        <v xml:space="preserve">          6115 - P.E.R.S.</v>
      </c>
      <c r="C48" s="11"/>
      <c r="D48" s="6">
        <v>1642.66</v>
      </c>
      <c r="E48" s="2"/>
      <c r="F48" s="7">
        <f t="shared" si="12"/>
        <v>6.1919836078631017E-3</v>
      </c>
      <c r="G48" s="2"/>
      <c r="H48" s="6">
        <v>1413.3438461538501</v>
      </c>
      <c r="I48" s="2"/>
      <c r="J48" s="7">
        <f t="shared" si="13"/>
        <v>7.4746481537607433E-3</v>
      </c>
      <c r="K48" s="2"/>
      <c r="L48" s="6">
        <f t="shared" si="14"/>
        <v>229.31615384614997</v>
      </c>
      <c r="M48" s="2"/>
      <c r="N48" s="7">
        <f t="shared" si="15"/>
        <v>0.16225078877315724</v>
      </c>
      <c r="O48" s="11"/>
      <c r="P48" s="6">
        <v>8750.33</v>
      </c>
      <c r="Q48" s="2"/>
      <c r="R48" s="7">
        <f t="shared" si="16"/>
        <v>5.3429483889490172E-3</v>
      </c>
      <c r="S48" s="2"/>
      <c r="T48" s="6">
        <v>7773.3911538461498</v>
      </c>
      <c r="U48" s="2"/>
      <c r="V48" s="7">
        <f t="shared" si="17"/>
        <v>5.6590673774757809E-3</v>
      </c>
      <c r="W48" s="2"/>
      <c r="X48" s="6">
        <f t="shared" si="18"/>
        <v>976.93884615385014</v>
      </c>
      <c r="Y48" s="2"/>
      <c r="Z48" s="7">
        <f t="shared" si="19"/>
        <v>0.12567730438606275</v>
      </c>
    </row>
    <row r="49" spans="1:26" s="24" customFormat="1" hidden="1" outlineLevel="2" x14ac:dyDescent="0.3">
      <c r="A49" s="27"/>
      <c r="B49" s="11" t="str">
        <f>CONCATENATE("          ", "6116", " - ", "EDUCATIONAL BENEFITS")</f>
        <v xml:space="preserve">          6116 - EDUCATIONAL BENEFITS</v>
      </c>
      <c r="C49" s="11"/>
      <c r="D49" s="6"/>
      <c r="E49" s="2"/>
      <c r="F49" s="7">
        <f t="shared" si="12"/>
        <v>0</v>
      </c>
      <c r="G49" s="2"/>
      <c r="H49" s="6">
        <v>0</v>
      </c>
      <c r="I49" s="2"/>
      <c r="J49" s="7">
        <f t="shared" si="13"/>
        <v>0</v>
      </c>
      <c r="K49" s="2"/>
      <c r="L49" s="6">
        <f t="shared" si="14"/>
        <v>0</v>
      </c>
      <c r="M49" s="2"/>
      <c r="N49" s="7">
        <f t="shared" si="15"/>
        <v>0</v>
      </c>
      <c r="O49" s="11"/>
      <c r="P49" s="6"/>
      <c r="Q49" s="2"/>
      <c r="R49" s="7">
        <f t="shared" si="16"/>
        <v>0</v>
      </c>
      <c r="S49" s="2"/>
      <c r="T49" s="6">
        <v>0</v>
      </c>
      <c r="U49" s="2"/>
      <c r="V49" s="7">
        <f t="shared" si="17"/>
        <v>0</v>
      </c>
      <c r="W49" s="2"/>
      <c r="X49" s="6">
        <f t="shared" si="18"/>
        <v>0</v>
      </c>
      <c r="Y49" s="2"/>
      <c r="Z49" s="7">
        <f t="shared" si="19"/>
        <v>0</v>
      </c>
    </row>
    <row r="50" spans="1:26" s="24" customFormat="1" hidden="1" outlineLevel="2" x14ac:dyDescent="0.3">
      <c r="A50" s="27"/>
      <c r="B50" s="11" t="str">
        <f>CONCATENATE("          ", "6118", " - ", "VACATION")</f>
        <v xml:space="preserve">          6118 - VACATION</v>
      </c>
      <c r="C50" s="11"/>
      <c r="D50" s="6">
        <v>1780</v>
      </c>
      <c r="E50" s="2"/>
      <c r="F50" s="7">
        <f t="shared" si="12"/>
        <v>6.7096847929555238E-3</v>
      </c>
      <c r="G50" s="2"/>
      <c r="H50" s="6">
        <v>1233.7115384615399</v>
      </c>
      <c r="I50" s="2"/>
      <c r="J50" s="7">
        <f t="shared" si="13"/>
        <v>6.5246399157074331E-3</v>
      </c>
      <c r="K50" s="2"/>
      <c r="L50" s="6">
        <f t="shared" si="14"/>
        <v>546.28846153846007</v>
      </c>
      <c r="M50" s="2"/>
      <c r="N50" s="7">
        <f t="shared" si="15"/>
        <v>0.44280080432715369</v>
      </c>
      <c r="O50" s="11"/>
      <c r="P50" s="6">
        <v>9350.69</v>
      </c>
      <c r="Q50" s="2"/>
      <c r="R50" s="7">
        <f t="shared" si="16"/>
        <v>5.7095279916370796E-3</v>
      </c>
      <c r="S50" s="2"/>
      <c r="T50" s="6">
        <v>6785.4134615384601</v>
      </c>
      <c r="U50" s="2"/>
      <c r="V50" s="7">
        <f t="shared" si="17"/>
        <v>4.9398147092955752E-3</v>
      </c>
      <c r="W50" s="2"/>
      <c r="X50" s="6">
        <f t="shared" si="18"/>
        <v>2565.2765384615404</v>
      </c>
      <c r="Y50" s="2"/>
      <c r="Z50" s="7">
        <f t="shared" si="19"/>
        <v>0.3780575130759849</v>
      </c>
    </row>
    <row r="51" spans="1:26" s="24" customFormat="1" hidden="1" outlineLevel="2" x14ac:dyDescent="0.3">
      <c r="A51" s="27"/>
      <c r="B51" s="11" t="str">
        <f>CONCATENATE("          ", "6119", " - ", "SICK LEAVE")</f>
        <v xml:space="preserve">          6119 - SICK LEAVE</v>
      </c>
      <c r="C51" s="11"/>
      <c r="D51" s="6">
        <v>1165.22</v>
      </c>
      <c r="E51" s="2"/>
      <c r="F51" s="7">
        <f t="shared" si="12"/>
        <v>4.3922802890155252E-3</v>
      </c>
      <c r="G51" s="2"/>
      <c r="H51" s="6">
        <v>2666.0015384615399</v>
      </c>
      <c r="I51" s="2"/>
      <c r="J51" s="7">
        <f t="shared" si="13"/>
        <v>1.4099487206608351E-2</v>
      </c>
      <c r="K51" s="2"/>
      <c r="L51" s="6">
        <f t="shared" si="14"/>
        <v>-1500.7815384615399</v>
      </c>
      <c r="M51" s="2"/>
      <c r="N51" s="7">
        <f t="shared" si="15"/>
        <v>-0.56293348552513989</v>
      </c>
      <c r="O51" s="11"/>
      <c r="P51" s="6">
        <v>6207.11</v>
      </c>
      <c r="Q51" s="2"/>
      <c r="R51" s="7">
        <f t="shared" si="16"/>
        <v>3.7900591605721538E-3</v>
      </c>
      <c r="S51" s="2"/>
      <c r="T51" s="6">
        <v>14663.0084615385</v>
      </c>
      <c r="U51" s="2"/>
      <c r="V51" s="7">
        <f t="shared" si="17"/>
        <v>1.0674743004446291E-2</v>
      </c>
      <c r="W51" s="2"/>
      <c r="X51" s="6">
        <f t="shared" si="18"/>
        <v>-8455.8984615385016</v>
      </c>
      <c r="Y51" s="2"/>
      <c r="Z51" s="7">
        <f t="shared" si="19"/>
        <v>-0.57668236935950556</v>
      </c>
    </row>
    <row r="52" spans="1:26" s="24" customFormat="1" hidden="1" outlineLevel="2" x14ac:dyDescent="0.3">
      <c r="A52" s="27"/>
      <c r="B52" s="11" t="str">
        <f>CONCATENATE("          ", "6156", " - ", "EMPLOYEE MEALS")</f>
        <v xml:space="preserve">          6156 - EMPLOYEE MEALS</v>
      </c>
      <c r="C52" s="11"/>
      <c r="D52" s="6">
        <v>799.89</v>
      </c>
      <c r="E52" s="2"/>
      <c r="F52" s="7">
        <f t="shared" si="12"/>
        <v>3.015174027548985E-3</v>
      </c>
      <c r="G52" s="2"/>
      <c r="H52" s="6">
        <v>875</v>
      </c>
      <c r="I52" s="2"/>
      <c r="J52" s="7">
        <f t="shared" si="13"/>
        <v>4.6275484570431286E-3</v>
      </c>
      <c r="K52" s="2"/>
      <c r="L52" s="6">
        <f t="shared" si="14"/>
        <v>-75.110000000000014</v>
      </c>
      <c r="M52" s="2"/>
      <c r="N52" s="7">
        <f t="shared" si="15"/>
        <v>-8.5840000000000014E-2</v>
      </c>
      <c r="O52" s="11"/>
      <c r="P52" s="6">
        <v>3778.11</v>
      </c>
      <c r="Q52" s="2"/>
      <c r="R52" s="7">
        <f t="shared" si="16"/>
        <v>2.3069126236121579E-3</v>
      </c>
      <c r="S52" s="2"/>
      <c r="T52" s="6">
        <v>4375</v>
      </c>
      <c r="U52" s="2"/>
      <c r="V52" s="7">
        <f t="shared" si="17"/>
        <v>3.1850217345883169E-3</v>
      </c>
      <c r="W52" s="2"/>
      <c r="X52" s="6">
        <f t="shared" si="18"/>
        <v>-596.88999999999987</v>
      </c>
      <c r="Y52" s="2"/>
      <c r="Z52" s="7">
        <f t="shared" si="19"/>
        <v>-0.13643199999999997</v>
      </c>
    </row>
    <row r="53" spans="1:26" s="29" customFormat="1" outlineLevel="1" collapsed="1" x14ac:dyDescent="0.3">
      <c r="A53" s="28"/>
      <c r="B53" s="14" t="str">
        <f>CONCATENATE("     ","*Payroll                                          ")</f>
        <v xml:space="preserve">     *Payroll                                          </v>
      </c>
      <c r="C53" s="14"/>
      <c r="D53" s="1">
        <f>SUM(OSRRefD22_1x_0)</f>
        <v>53645.79</v>
      </c>
      <c r="E53" s="1"/>
      <c r="F53" s="5">
        <f t="shared" ref="F53:F63" si="20">IF(D$12=0,0,D53/D$12)</f>
        <v>0.20221704571296939</v>
      </c>
      <c r="G53" s="1"/>
      <c r="H53" s="1">
        <f>SUM(OSRRefH22_1x_0)</f>
        <v>62244.207692307704</v>
      </c>
      <c r="I53" s="1"/>
      <c r="J53" s="5">
        <f t="shared" ref="J53:J63" si="21">IF(H$12=0,0,H53/H$12)</f>
        <v>0.32918638544732637</v>
      </c>
      <c r="K53" s="1"/>
      <c r="L53" s="1">
        <f t="shared" ref="L53:L63" si="22">+D53-H53</f>
        <v>-8598.417692307703</v>
      </c>
      <c r="M53" s="1"/>
      <c r="N53" s="5">
        <f t="shared" ref="N53:N63" si="23">IF(H53=0,0,L53/H53)</f>
        <v>-0.13814004565392382</v>
      </c>
      <c r="O53" s="14"/>
      <c r="P53" s="1">
        <f>SUM(OSRRefP22_1x_0)</f>
        <v>303931.37</v>
      </c>
      <c r="Q53" s="1"/>
      <c r="R53" s="5">
        <f t="shared" ref="R53:R63" si="24">IF(P$12=0,0,P53/P$12)</f>
        <v>0.18558038653314421</v>
      </c>
      <c r="S53" s="1"/>
      <c r="T53" s="1">
        <f>SUM(OSRRefT22_1x_0)</f>
        <v>342343.14230769232</v>
      </c>
      <c r="U53" s="1"/>
      <c r="V53" s="5">
        <f t="shared" ref="V53:V63" si="25">IF(T$12=0,0,T53/T$12)</f>
        <v>0.24922750832851684</v>
      </c>
      <c r="W53" s="1"/>
      <c r="X53" s="1">
        <f t="shared" ref="X53:X63" si="26">+P53-T53</f>
        <v>-38411.772307692328</v>
      </c>
      <c r="Y53" s="1"/>
      <c r="Z53" s="5">
        <f t="shared" ref="Z53:Z63" si="27">IF(T53=0,0,X53/T53)</f>
        <v>-0.1122025463947178</v>
      </c>
    </row>
    <row r="54" spans="1:26" s="24" customFormat="1" hidden="1" outlineLevel="2" x14ac:dyDescent="0.3">
      <c r="A54" s="27"/>
      <c r="B54" s="11" t="str">
        <f>CONCATENATE("          ", "6001", " - ", "ADMINISTRATIVE SALARIES")</f>
        <v xml:space="preserve">          6001 - ADMINISTRATIVE SALARIES</v>
      </c>
      <c r="C54" s="11"/>
      <c r="D54" s="6"/>
      <c r="E54" s="2"/>
      <c r="F54" s="7">
        <f t="shared" si="20"/>
        <v>0</v>
      </c>
      <c r="G54" s="2"/>
      <c r="H54" s="6">
        <v>0</v>
      </c>
      <c r="I54" s="2"/>
      <c r="J54" s="7">
        <f t="shared" si="21"/>
        <v>0</v>
      </c>
      <c r="K54" s="2"/>
      <c r="L54" s="6">
        <f t="shared" si="22"/>
        <v>0</v>
      </c>
      <c r="M54" s="2"/>
      <c r="N54" s="7">
        <f t="shared" si="23"/>
        <v>0</v>
      </c>
      <c r="O54" s="11"/>
      <c r="P54" s="6"/>
      <c r="Q54" s="2"/>
      <c r="R54" s="7">
        <f t="shared" si="24"/>
        <v>0</v>
      </c>
      <c r="S54" s="2"/>
      <c r="T54" s="6">
        <v>0</v>
      </c>
      <c r="U54" s="2"/>
      <c r="V54" s="7">
        <f t="shared" si="25"/>
        <v>0</v>
      </c>
      <c r="W54" s="2"/>
      <c r="X54" s="6">
        <f t="shared" si="26"/>
        <v>0</v>
      </c>
      <c r="Y54" s="2"/>
      <c r="Z54" s="7">
        <f t="shared" si="27"/>
        <v>0</v>
      </c>
    </row>
    <row r="55" spans="1:26" s="24" customFormat="1" hidden="1" outlineLevel="2" x14ac:dyDescent="0.3">
      <c r="A55" s="27"/>
      <c r="B55" s="11" t="str">
        <f>CONCATENATE("          ", "6002", " - ", "STAFF SALARIES")</f>
        <v xml:space="preserve">          6002 - STAFF SALARIES</v>
      </c>
      <c r="C55" s="11"/>
      <c r="D55" s="6">
        <v>15374.72</v>
      </c>
      <c r="E55" s="2"/>
      <c r="F55" s="7">
        <f t="shared" si="20"/>
        <v>5.7954789314578169E-2</v>
      </c>
      <c r="G55" s="2"/>
      <c r="H55" s="6">
        <v>14790.807692307701</v>
      </c>
      <c r="I55" s="2"/>
      <c r="J55" s="7">
        <f t="shared" si="21"/>
        <v>7.8223062074240166E-2</v>
      </c>
      <c r="K55" s="2"/>
      <c r="L55" s="6">
        <f t="shared" si="22"/>
        <v>583.91230769229878</v>
      </c>
      <c r="M55" s="2"/>
      <c r="N55" s="7">
        <f t="shared" si="23"/>
        <v>3.9478054196862809E-2</v>
      </c>
      <c r="O55" s="11"/>
      <c r="P55" s="6">
        <v>83282.75</v>
      </c>
      <c r="Q55" s="2"/>
      <c r="R55" s="7">
        <f t="shared" si="24"/>
        <v>5.0852417559079918E-2</v>
      </c>
      <c r="S55" s="2"/>
      <c r="T55" s="6">
        <v>81349.442307692298</v>
      </c>
      <c r="U55" s="2"/>
      <c r="V55" s="7">
        <f t="shared" si="25"/>
        <v>5.9222798136374474E-2</v>
      </c>
      <c r="W55" s="2"/>
      <c r="X55" s="6">
        <f t="shared" si="26"/>
        <v>1933.3076923077024</v>
      </c>
      <c r="Y55" s="2"/>
      <c r="Z55" s="7">
        <f t="shared" si="27"/>
        <v>2.3765469528300519E-2</v>
      </c>
    </row>
    <row r="56" spans="1:26" s="24" customFormat="1" hidden="1" outlineLevel="2" x14ac:dyDescent="0.3">
      <c r="A56" s="27"/>
      <c r="B56" s="11" t="str">
        <f>CONCATENATE("          ", "6003", " - ", "STAFF HOURLY-9 MONTH")</f>
        <v xml:space="preserve">          6003 - STAFF HOURLY-9 MONTH</v>
      </c>
      <c r="C56" s="11"/>
      <c r="D56" s="6"/>
      <c r="E56" s="2"/>
      <c r="F56" s="7">
        <f t="shared" si="20"/>
        <v>0</v>
      </c>
      <c r="G56" s="2"/>
      <c r="H56" s="6">
        <v>0</v>
      </c>
      <c r="I56" s="2"/>
      <c r="J56" s="7">
        <f t="shared" si="21"/>
        <v>0</v>
      </c>
      <c r="K56" s="2"/>
      <c r="L56" s="6">
        <f t="shared" si="22"/>
        <v>0</v>
      </c>
      <c r="M56" s="2"/>
      <c r="N56" s="7">
        <f t="shared" si="23"/>
        <v>0</v>
      </c>
      <c r="O56" s="11"/>
      <c r="P56" s="6"/>
      <c r="Q56" s="2"/>
      <c r="R56" s="7">
        <f t="shared" si="24"/>
        <v>0</v>
      </c>
      <c r="S56" s="2"/>
      <c r="T56" s="6">
        <v>0</v>
      </c>
      <c r="U56" s="2"/>
      <c r="V56" s="7">
        <f t="shared" si="25"/>
        <v>0</v>
      </c>
      <c r="W56" s="2"/>
      <c r="X56" s="6">
        <f t="shared" si="26"/>
        <v>0</v>
      </c>
      <c r="Y56" s="2"/>
      <c r="Z56" s="7">
        <f t="shared" si="27"/>
        <v>0</v>
      </c>
    </row>
    <row r="57" spans="1:26" s="24" customFormat="1" hidden="1" outlineLevel="2" x14ac:dyDescent="0.3">
      <c r="A57" s="27"/>
      <c r="B57" s="11" t="str">
        <f>CONCATENATE("          ", "6004", " - ", "STAFF HOURLY")</f>
        <v xml:space="preserve">          6004 - STAFF HOURLY</v>
      </c>
      <c r="C57" s="11"/>
      <c r="D57" s="6">
        <v>8117.76</v>
      </c>
      <c r="E57" s="2"/>
      <c r="F57" s="7">
        <f t="shared" si="20"/>
        <v>3.0599781362282377E-2</v>
      </c>
      <c r="G57" s="2"/>
      <c r="H57" s="6">
        <v>17630.400000000001</v>
      </c>
      <c r="I57" s="2"/>
      <c r="J57" s="7">
        <f t="shared" si="21"/>
        <v>9.3240606076632204E-2</v>
      </c>
      <c r="K57" s="2"/>
      <c r="L57" s="6">
        <f t="shared" si="22"/>
        <v>-9512.6400000000012</v>
      </c>
      <c r="M57" s="2"/>
      <c r="N57" s="7">
        <f t="shared" si="23"/>
        <v>-0.53955894364279888</v>
      </c>
      <c r="O57" s="11"/>
      <c r="P57" s="6">
        <v>45791.519999999997</v>
      </c>
      <c r="Q57" s="2"/>
      <c r="R57" s="7">
        <f t="shared" si="24"/>
        <v>2.7960285841965582E-2</v>
      </c>
      <c r="S57" s="2"/>
      <c r="T57" s="6">
        <v>96967.2</v>
      </c>
      <c r="U57" s="2"/>
      <c r="V57" s="7">
        <f t="shared" si="25"/>
        <v>7.0592603323925085E-2</v>
      </c>
      <c r="W57" s="2"/>
      <c r="X57" s="6">
        <f t="shared" si="26"/>
        <v>-51175.68</v>
      </c>
      <c r="Y57" s="2"/>
      <c r="Z57" s="7">
        <f t="shared" si="27"/>
        <v>-0.52776278989183978</v>
      </c>
    </row>
    <row r="58" spans="1:26" s="24" customFormat="1" hidden="1" outlineLevel="2" x14ac:dyDescent="0.3">
      <c r="A58" s="27"/>
      <c r="B58" s="11" t="str">
        <f>CONCATENATE("          ", "6005", " - ", "TEMPORARY WAGES-HOURLY")</f>
        <v xml:space="preserve">          6005 - TEMPORARY WAGES-HOURLY</v>
      </c>
      <c r="C58" s="11"/>
      <c r="D58" s="6">
        <v>3232.62</v>
      </c>
      <c r="E58" s="2"/>
      <c r="F58" s="7">
        <f t="shared" si="20"/>
        <v>1.2185315312024653E-2</v>
      </c>
      <c r="G58" s="2"/>
      <c r="H58" s="6">
        <v>0</v>
      </c>
      <c r="I58" s="2"/>
      <c r="J58" s="7">
        <f t="shared" si="21"/>
        <v>0</v>
      </c>
      <c r="K58" s="2"/>
      <c r="L58" s="6">
        <f t="shared" si="22"/>
        <v>3232.62</v>
      </c>
      <c r="M58" s="2"/>
      <c r="N58" s="7">
        <f t="shared" si="23"/>
        <v>0</v>
      </c>
      <c r="O58" s="11"/>
      <c r="P58" s="6">
        <v>17847.91</v>
      </c>
      <c r="Q58" s="2"/>
      <c r="R58" s="7">
        <f t="shared" si="24"/>
        <v>1.0897927504517778E-2</v>
      </c>
      <c r="S58" s="2"/>
      <c r="T58" s="6">
        <v>0</v>
      </c>
      <c r="U58" s="2"/>
      <c r="V58" s="7">
        <f t="shared" si="25"/>
        <v>0</v>
      </c>
      <c r="W58" s="2"/>
      <c r="X58" s="6">
        <f t="shared" si="26"/>
        <v>17847.91</v>
      </c>
      <c r="Y58" s="2"/>
      <c r="Z58" s="7">
        <f t="shared" si="27"/>
        <v>0</v>
      </c>
    </row>
    <row r="59" spans="1:26" s="24" customFormat="1" hidden="1" outlineLevel="2" x14ac:dyDescent="0.3">
      <c r="A59" s="27"/>
      <c r="B59" s="11" t="str">
        <f>CONCATENATE("          ", "6006", " - ", "TEMPORARY PART TIME")</f>
        <v xml:space="preserve">          6006 - TEMPORARY PART TIME</v>
      </c>
      <c r="C59" s="11"/>
      <c r="D59" s="6"/>
      <c r="E59" s="2"/>
      <c r="F59" s="7">
        <f t="shared" si="20"/>
        <v>0</v>
      </c>
      <c r="G59" s="2"/>
      <c r="H59" s="6">
        <v>0</v>
      </c>
      <c r="I59" s="2"/>
      <c r="J59" s="7">
        <f t="shared" si="21"/>
        <v>0</v>
      </c>
      <c r="K59" s="2"/>
      <c r="L59" s="6">
        <f t="shared" si="22"/>
        <v>0</v>
      </c>
      <c r="M59" s="2"/>
      <c r="N59" s="7">
        <f t="shared" si="23"/>
        <v>0</v>
      </c>
      <c r="O59" s="11"/>
      <c r="P59" s="6"/>
      <c r="Q59" s="2"/>
      <c r="R59" s="7">
        <f t="shared" si="24"/>
        <v>0</v>
      </c>
      <c r="S59" s="2"/>
      <c r="T59" s="6">
        <v>0</v>
      </c>
      <c r="U59" s="2"/>
      <c r="V59" s="7">
        <f t="shared" si="25"/>
        <v>0</v>
      </c>
      <c r="W59" s="2"/>
      <c r="X59" s="6">
        <f t="shared" si="26"/>
        <v>0</v>
      </c>
      <c r="Y59" s="2"/>
      <c r="Z59" s="7">
        <f t="shared" si="27"/>
        <v>0</v>
      </c>
    </row>
    <row r="60" spans="1:26" s="24" customFormat="1" hidden="1" outlineLevel="2" x14ac:dyDescent="0.3">
      <c r="A60" s="27"/>
      <c r="B60" s="11" t="str">
        <f>CONCATENATE("          ", "6007", " - ", "STUDENT HOURLY")</f>
        <v xml:space="preserve">          6007 - STUDENT HOURLY</v>
      </c>
      <c r="C60" s="11"/>
      <c r="D60" s="6">
        <v>21401.58</v>
      </c>
      <c r="E60" s="2"/>
      <c r="F60" s="7">
        <f t="shared" si="20"/>
        <v>8.067295273664106E-2</v>
      </c>
      <c r="G60" s="2"/>
      <c r="H60" s="6">
        <v>27600</v>
      </c>
      <c r="I60" s="2"/>
      <c r="J60" s="7">
        <f t="shared" si="21"/>
        <v>0.14596609990216042</v>
      </c>
      <c r="K60" s="2"/>
      <c r="L60" s="6">
        <f t="shared" si="22"/>
        <v>-6198.4199999999983</v>
      </c>
      <c r="M60" s="2"/>
      <c r="N60" s="7">
        <f t="shared" si="23"/>
        <v>-0.22458043478260864</v>
      </c>
      <c r="O60" s="11"/>
      <c r="P60" s="6">
        <v>121963.62</v>
      </c>
      <c r="Q60" s="2"/>
      <c r="R60" s="7">
        <f t="shared" si="24"/>
        <v>7.4470943037507176E-2</v>
      </c>
      <c r="S60" s="2"/>
      <c r="T60" s="6">
        <v>94701.75</v>
      </c>
      <c r="U60" s="2"/>
      <c r="V60" s="7">
        <f t="shared" si="25"/>
        <v>6.8943344469382661E-2</v>
      </c>
      <c r="W60" s="2"/>
      <c r="X60" s="6">
        <f t="shared" si="26"/>
        <v>27261.869999999995</v>
      </c>
      <c r="Y60" s="2"/>
      <c r="Z60" s="7">
        <f t="shared" si="27"/>
        <v>0.28787081548123444</v>
      </c>
    </row>
    <row r="61" spans="1:26" s="24" customFormat="1" hidden="1" outlineLevel="2" x14ac:dyDescent="0.3">
      <c r="A61" s="27"/>
      <c r="B61" s="11" t="str">
        <f>CONCATENATE("          ", "6008", " - ", "STUDENT HOURLY-FICA EXEMPT")</f>
        <v xml:space="preserve">          6008 - STUDENT HOURLY-FICA EXEMPT</v>
      </c>
      <c r="C61" s="11"/>
      <c r="D61" s="6">
        <v>5519.11</v>
      </c>
      <c r="E61" s="2"/>
      <c r="F61" s="7">
        <f t="shared" si="20"/>
        <v>2.0804206987443122E-2</v>
      </c>
      <c r="G61" s="2"/>
      <c r="H61" s="6">
        <v>2223</v>
      </c>
      <c r="I61" s="2"/>
      <c r="J61" s="7">
        <f t="shared" si="21"/>
        <v>1.1756617394293572E-2</v>
      </c>
      <c r="K61" s="2"/>
      <c r="L61" s="6">
        <f t="shared" si="22"/>
        <v>3296.1099999999997</v>
      </c>
      <c r="M61" s="2"/>
      <c r="N61" s="7">
        <f t="shared" si="23"/>
        <v>1.4827305443094916</v>
      </c>
      <c r="O61" s="11"/>
      <c r="P61" s="6">
        <v>35045.57</v>
      </c>
      <c r="Q61" s="2"/>
      <c r="R61" s="7">
        <f t="shared" si="24"/>
        <v>2.1398812590073747E-2</v>
      </c>
      <c r="S61" s="2"/>
      <c r="T61" s="6">
        <v>69324.75</v>
      </c>
      <c r="U61" s="2"/>
      <c r="V61" s="7">
        <f t="shared" si="25"/>
        <v>5.0468762398834612E-2</v>
      </c>
      <c r="W61" s="2"/>
      <c r="X61" s="6">
        <f t="shared" si="26"/>
        <v>-34279.18</v>
      </c>
      <c r="Y61" s="2"/>
      <c r="Z61" s="7">
        <f t="shared" si="27"/>
        <v>-0.49447246474022627</v>
      </c>
    </row>
    <row r="62" spans="1:26" s="24" customFormat="1" hidden="1" outlineLevel="2" x14ac:dyDescent="0.3">
      <c r="A62" s="27"/>
      <c r="B62" s="11" t="str">
        <f>CONCATENATE("          ", "6009", " - ", "TEMPORARY-SEASONAL")</f>
        <v xml:space="preserve">          6009 - TEMPORARY-SEASONAL</v>
      </c>
      <c r="C62" s="11"/>
      <c r="D62" s="6"/>
      <c r="E62" s="2"/>
      <c r="F62" s="7">
        <f t="shared" si="20"/>
        <v>0</v>
      </c>
      <c r="G62" s="2"/>
      <c r="H62" s="6">
        <v>0</v>
      </c>
      <c r="I62" s="2"/>
      <c r="J62" s="7">
        <f t="shared" si="21"/>
        <v>0</v>
      </c>
      <c r="K62" s="2"/>
      <c r="L62" s="6">
        <f t="shared" si="22"/>
        <v>0</v>
      </c>
      <c r="M62" s="2"/>
      <c r="N62" s="7">
        <f t="shared" si="23"/>
        <v>0</v>
      </c>
      <c r="O62" s="11"/>
      <c r="P62" s="6"/>
      <c r="Q62" s="2"/>
      <c r="R62" s="7">
        <f t="shared" si="24"/>
        <v>0</v>
      </c>
      <c r="S62" s="2"/>
      <c r="T62" s="6">
        <v>0</v>
      </c>
      <c r="U62" s="2"/>
      <c r="V62" s="7">
        <f t="shared" si="25"/>
        <v>0</v>
      </c>
      <c r="W62" s="2"/>
      <c r="X62" s="6">
        <f t="shared" si="26"/>
        <v>0</v>
      </c>
      <c r="Y62" s="2"/>
      <c r="Z62" s="7">
        <f t="shared" si="27"/>
        <v>0</v>
      </c>
    </row>
    <row r="63" spans="1:26" s="24" customFormat="1" hidden="1" outlineLevel="2" x14ac:dyDescent="0.3">
      <c r="A63" s="27"/>
      <c r="B63" s="11" t="str">
        <f>CONCATENATE("          ", "6010", " - ", "GRATUITY")</f>
        <v xml:space="preserve">          6010 - GRATUITY</v>
      </c>
      <c r="C63" s="11"/>
      <c r="D63" s="6"/>
      <c r="E63" s="2"/>
      <c r="F63" s="7">
        <f t="shared" si="20"/>
        <v>0</v>
      </c>
      <c r="G63" s="2"/>
      <c r="H63" s="6">
        <v>0</v>
      </c>
      <c r="I63" s="2"/>
      <c r="J63" s="7">
        <f t="shared" si="21"/>
        <v>0</v>
      </c>
      <c r="K63" s="2"/>
      <c r="L63" s="6">
        <f t="shared" si="22"/>
        <v>0</v>
      </c>
      <c r="M63" s="2"/>
      <c r="N63" s="7">
        <f t="shared" si="23"/>
        <v>0</v>
      </c>
      <c r="O63" s="11"/>
      <c r="P63" s="6"/>
      <c r="Q63" s="2"/>
      <c r="R63" s="7">
        <f t="shared" si="24"/>
        <v>0</v>
      </c>
      <c r="S63" s="2"/>
      <c r="T63" s="6">
        <v>0</v>
      </c>
      <c r="U63" s="2"/>
      <c r="V63" s="7">
        <f t="shared" si="25"/>
        <v>0</v>
      </c>
      <c r="W63" s="2"/>
      <c r="X63" s="6">
        <f t="shared" si="26"/>
        <v>0</v>
      </c>
      <c r="Y63" s="2"/>
      <c r="Z63" s="7">
        <f t="shared" si="27"/>
        <v>0</v>
      </c>
    </row>
    <row r="64" spans="1:26" s="29" customFormat="1" outlineLevel="1" collapsed="1" x14ac:dyDescent="0.3">
      <c r="A64" s="28"/>
      <c r="B64" s="14" t="str">
        <f>CONCATENATE("     ","Advertising/Promo                                 ")</f>
        <v xml:space="preserve">     Advertising/Promo                                 </v>
      </c>
      <c r="C64" s="14"/>
      <c r="D64" s="1">
        <f>SUM(OSRRefD22_2x_0)</f>
        <v>662.42</v>
      </c>
      <c r="E64" s="1"/>
      <c r="F64" s="5">
        <f t="shared" ref="F64:F76" si="28">IF(D$12=0,0,D64/D$12)</f>
        <v>2.4969828092975266E-3</v>
      </c>
      <c r="G64" s="1"/>
      <c r="H64" s="1">
        <f>SUM(OSRRefH22_2x_0)</f>
        <v>100</v>
      </c>
      <c r="I64" s="1"/>
      <c r="J64" s="5">
        <f t="shared" ref="J64:J76" si="29">IF(H$12=0,0,H64/H$12)</f>
        <v>5.2886268080492899E-4</v>
      </c>
      <c r="K64" s="1"/>
      <c r="L64" s="1">
        <f t="shared" ref="L64:L76" si="30">+D64-H64</f>
        <v>562.41999999999996</v>
      </c>
      <c r="M64" s="1"/>
      <c r="N64" s="5">
        <f t="shared" ref="N64:N76" si="31">IF(H64=0,0,L64/H64)</f>
        <v>5.6241999999999992</v>
      </c>
      <c r="O64" s="14"/>
      <c r="P64" s="1">
        <f>SUM(OSRRefP22_2x_0)</f>
        <v>3152.8</v>
      </c>
      <c r="Q64" s="1"/>
      <c r="R64" s="5">
        <f t="shared" ref="R64:R76" si="32">IF(P$12=0,0,P64/P$12)</f>
        <v>1.925098559788998E-3</v>
      </c>
      <c r="S64" s="1"/>
      <c r="T64" s="1">
        <f>SUM(OSRRefT22_2x_0)</f>
        <v>1900</v>
      </c>
      <c r="U64" s="1"/>
      <c r="V64" s="5">
        <f t="shared" ref="V64:V76" si="33">IF(T$12=0,0,T64/T$12)</f>
        <v>1.3832094390212118E-3</v>
      </c>
      <c r="W64" s="1"/>
      <c r="X64" s="1">
        <f t="shared" ref="X64:X76" si="34">+P64-T64</f>
        <v>1252.8000000000002</v>
      </c>
      <c r="Y64" s="1"/>
      <c r="Z64" s="5">
        <f t="shared" ref="Z64:Z76" si="35">IF(T64=0,0,X64/T64)</f>
        <v>0.65936842105263171</v>
      </c>
    </row>
    <row r="65" spans="1:26" s="24" customFormat="1" hidden="1" outlineLevel="2" x14ac:dyDescent="0.3">
      <c r="A65" s="27"/>
      <c r="B65" s="11" t="str">
        <f>CONCATENATE("          ", "6362", " - ", "ADVERTISING EXPENSE")</f>
        <v xml:space="preserve">          6362 - ADVERTISING EXPENSE</v>
      </c>
      <c r="C65" s="11"/>
      <c r="D65" s="6">
        <v>662.42</v>
      </c>
      <c r="E65" s="2"/>
      <c r="F65" s="7">
        <f t="shared" si="28"/>
        <v>2.4969828092975266E-3</v>
      </c>
      <c r="G65" s="2"/>
      <c r="H65" s="6">
        <v>100</v>
      </c>
      <c r="I65" s="2"/>
      <c r="J65" s="7">
        <f t="shared" si="29"/>
        <v>5.2886268080492899E-4</v>
      </c>
      <c r="K65" s="2"/>
      <c r="L65" s="6">
        <f t="shared" si="30"/>
        <v>562.41999999999996</v>
      </c>
      <c r="M65" s="2"/>
      <c r="N65" s="7">
        <f t="shared" si="31"/>
        <v>5.6241999999999992</v>
      </c>
      <c r="O65" s="11"/>
      <c r="P65" s="6">
        <v>3152.8</v>
      </c>
      <c r="Q65" s="2"/>
      <c r="R65" s="7">
        <f t="shared" si="32"/>
        <v>1.925098559788998E-3</v>
      </c>
      <c r="S65" s="2"/>
      <c r="T65" s="6">
        <v>1900</v>
      </c>
      <c r="U65" s="2"/>
      <c r="V65" s="7">
        <f t="shared" si="33"/>
        <v>1.3832094390212118E-3</v>
      </c>
      <c r="W65" s="2"/>
      <c r="X65" s="6">
        <f t="shared" si="34"/>
        <v>1252.8000000000002</v>
      </c>
      <c r="Y65" s="2"/>
      <c r="Z65" s="7">
        <f t="shared" si="35"/>
        <v>0.65936842105263171</v>
      </c>
    </row>
    <row r="66" spans="1:26" s="29" customFormat="1" outlineLevel="1" collapsed="1" x14ac:dyDescent="0.3">
      <c r="A66" s="28"/>
      <c r="B66" s="14" t="str">
        <f>CONCATENATE("     ","Bad Debts/Over/Short                              ")</f>
        <v xml:space="preserve">     Bad Debts/Over/Short                              </v>
      </c>
      <c r="C66" s="14"/>
      <c r="D66" s="1">
        <f>SUM(OSRRefD22_3x_0)</f>
        <v>-0.66</v>
      </c>
      <c r="E66" s="1"/>
      <c r="F66" s="5">
        <f t="shared" si="28"/>
        <v>-2.4878606535677783E-6</v>
      </c>
      <c r="G66" s="1"/>
      <c r="H66" s="1">
        <f>SUM(OSRRefH22_3x_0)</f>
        <v>10</v>
      </c>
      <c r="I66" s="1"/>
      <c r="J66" s="5">
        <f t="shared" si="29"/>
        <v>5.2886268080492899E-5</v>
      </c>
      <c r="K66" s="1"/>
      <c r="L66" s="1">
        <f t="shared" si="30"/>
        <v>-10.66</v>
      </c>
      <c r="M66" s="1"/>
      <c r="N66" s="5">
        <f t="shared" si="31"/>
        <v>-1.0660000000000001</v>
      </c>
      <c r="O66" s="14"/>
      <c r="P66" s="1">
        <f>SUM(OSRRefP22_3x_0)</f>
        <v>-9.02</v>
      </c>
      <c r="Q66" s="1"/>
      <c r="R66" s="5">
        <f t="shared" si="32"/>
        <v>-5.5076087951334562E-6</v>
      </c>
      <c r="S66" s="1"/>
      <c r="T66" s="1">
        <f>SUM(OSRRefT22_3x_0)</f>
        <v>50</v>
      </c>
      <c r="U66" s="1"/>
      <c r="V66" s="5">
        <f t="shared" si="33"/>
        <v>3.6400248395295052E-5</v>
      </c>
      <c r="W66" s="1"/>
      <c r="X66" s="1">
        <f t="shared" si="34"/>
        <v>-59.019999999999996</v>
      </c>
      <c r="Y66" s="1"/>
      <c r="Z66" s="5">
        <f t="shared" si="35"/>
        <v>-1.1803999999999999</v>
      </c>
    </row>
    <row r="67" spans="1:26" s="24" customFormat="1" hidden="1" outlineLevel="2" x14ac:dyDescent="0.3">
      <c r="A67" s="27"/>
      <c r="B67" s="11" t="str">
        <f>CONCATENATE("          ", "6272", " - ", "CASH (OVER/SHORT)")</f>
        <v xml:space="preserve">          6272 - CASH (OVER/SHORT)</v>
      </c>
      <c r="C67" s="11"/>
      <c r="D67" s="6">
        <v>-0.66</v>
      </c>
      <c r="E67" s="2"/>
      <c r="F67" s="7">
        <f t="shared" si="28"/>
        <v>-2.4878606535677783E-6</v>
      </c>
      <c r="G67" s="2"/>
      <c r="H67" s="6">
        <v>10</v>
      </c>
      <c r="I67" s="2"/>
      <c r="J67" s="7">
        <f t="shared" si="29"/>
        <v>5.2886268080492899E-5</v>
      </c>
      <c r="K67" s="2"/>
      <c r="L67" s="6">
        <f t="shared" si="30"/>
        <v>-10.66</v>
      </c>
      <c r="M67" s="2"/>
      <c r="N67" s="7">
        <f t="shared" si="31"/>
        <v>-1.0660000000000001</v>
      </c>
      <c r="O67" s="11"/>
      <c r="P67" s="6">
        <v>-9.02</v>
      </c>
      <c r="Q67" s="2"/>
      <c r="R67" s="7">
        <f t="shared" si="32"/>
        <v>-5.5076087951334562E-6</v>
      </c>
      <c r="S67" s="2"/>
      <c r="T67" s="6">
        <v>50</v>
      </c>
      <c r="U67" s="2"/>
      <c r="V67" s="7">
        <f t="shared" si="33"/>
        <v>3.6400248395295052E-5</v>
      </c>
      <c r="W67" s="2"/>
      <c r="X67" s="6">
        <f t="shared" si="34"/>
        <v>-59.019999999999996</v>
      </c>
      <c r="Y67" s="2"/>
      <c r="Z67" s="7">
        <f t="shared" si="35"/>
        <v>-1.1803999999999999</v>
      </c>
    </row>
    <row r="68" spans="1:26" s="29" customFormat="1" outlineLevel="1" collapsed="1" x14ac:dyDescent="0.3">
      <c r="A68" s="28"/>
      <c r="B68" s="14" t="str">
        <f>CONCATENATE("     ","Bank/card Fees                                    ")</f>
        <v xml:space="preserve">     Bank/card Fees                                    </v>
      </c>
      <c r="C68" s="14"/>
      <c r="D68" s="1">
        <f>SUM(OSRRefD22_4x_0)</f>
        <v>552.5</v>
      </c>
      <c r="E68" s="1"/>
      <c r="F68" s="5">
        <f t="shared" si="28"/>
        <v>2.0826409259033295E-3</v>
      </c>
      <c r="G68" s="1"/>
      <c r="H68" s="1">
        <f>SUM(OSRRefH22_4x_0)</f>
        <v>391</v>
      </c>
      <c r="I68" s="1"/>
      <c r="J68" s="5">
        <f t="shared" si="29"/>
        <v>2.0678530819472725E-3</v>
      </c>
      <c r="K68" s="1"/>
      <c r="L68" s="1">
        <f t="shared" si="30"/>
        <v>161.5</v>
      </c>
      <c r="M68" s="1"/>
      <c r="N68" s="5">
        <f t="shared" si="31"/>
        <v>0.41304347826086957</v>
      </c>
      <c r="O68" s="14"/>
      <c r="P68" s="1">
        <f>SUM(OSRRefP22_4x_0)</f>
        <v>2474.44</v>
      </c>
      <c r="Q68" s="1"/>
      <c r="R68" s="5">
        <f t="shared" si="32"/>
        <v>1.5108921848148592E-3</v>
      </c>
      <c r="S68" s="1"/>
      <c r="T68" s="1">
        <f>SUM(OSRRefT22_4x_0)</f>
        <v>2356</v>
      </c>
      <c r="U68" s="1"/>
      <c r="V68" s="5">
        <f t="shared" si="33"/>
        <v>1.7151797043863028E-3</v>
      </c>
      <c r="W68" s="1"/>
      <c r="X68" s="1">
        <f t="shared" si="34"/>
        <v>118.44000000000005</v>
      </c>
      <c r="Y68" s="1"/>
      <c r="Z68" s="5">
        <f t="shared" si="35"/>
        <v>5.0271646859083217E-2</v>
      </c>
    </row>
    <row r="69" spans="1:26" s="24" customFormat="1" hidden="1" outlineLevel="2" x14ac:dyDescent="0.3">
      <c r="A69" s="27"/>
      <c r="B69" s="11" t="str">
        <f>CONCATENATE("          ", "6381", " - ", "BANK/CREDIT CARD FEES")</f>
        <v xml:space="preserve">          6381 - BANK/CREDIT CARD FEES</v>
      </c>
      <c r="C69" s="11"/>
      <c r="D69" s="6">
        <v>552.5</v>
      </c>
      <c r="E69" s="2"/>
      <c r="F69" s="7">
        <f t="shared" si="28"/>
        <v>2.0826409259033295E-3</v>
      </c>
      <c r="G69" s="2"/>
      <c r="H69" s="6">
        <v>391</v>
      </c>
      <c r="I69" s="2"/>
      <c r="J69" s="7">
        <f t="shared" si="29"/>
        <v>2.0678530819472725E-3</v>
      </c>
      <c r="K69" s="2"/>
      <c r="L69" s="6">
        <f t="shared" si="30"/>
        <v>161.5</v>
      </c>
      <c r="M69" s="2"/>
      <c r="N69" s="7">
        <f t="shared" si="31"/>
        <v>0.41304347826086957</v>
      </c>
      <c r="O69" s="11"/>
      <c r="P69" s="6">
        <v>2474.44</v>
      </c>
      <c r="Q69" s="2"/>
      <c r="R69" s="7">
        <f t="shared" si="32"/>
        <v>1.5108921848148592E-3</v>
      </c>
      <c r="S69" s="2"/>
      <c r="T69" s="6">
        <v>2356</v>
      </c>
      <c r="U69" s="2"/>
      <c r="V69" s="7">
        <f t="shared" si="33"/>
        <v>1.7151797043863028E-3</v>
      </c>
      <c r="W69" s="2"/>
      <c r="X69" s="6">
        <f t="shared" si="34"/>
        <v>118.44000000000005</v>
      </c>
      <c r="Y69" s="2"/>
      <c r="Z69" s="7">
        <f t="shared" si="35"/>
        <v>5.0271646859083217E-2</v>
      </c>
    </row>
    <row r="70" spans="1:26" s="29" customFormat="1" outlineLevel="1" collapsed="1" x14ac:dyDescent="0.3">
      <c r="A70" s="28"/>
      <c r="B70" s="14" t="str">
        <f>CONCATENATE("     ","Discounts and Markdowns                           ")</f>
        <v xml:space="preserve">     Discounts and Markdowns                           </v>
      </c>
      <c r="C70" s="14"/>
      <c r="D70" s="1">
        <f>SUM(OSRRefD22_5x_0)</f>
        <v>0</v>
      </c>
      <c r="E70" s="1"/>
      <c r="F70" s="5">
        <f t="shared" si="28"/>
        <v>0</v>
      </c>
      <c r="G70" s="1"/>
      <c r="H70" s="1">
        <f>SUM(OSRRefH22_5x_0)</f>
        <v>0</v>
      </c>
      <c r="I70" s="1"/>
      <c r="J70" s="5">
        <f t="shared" si="29"/>
        <v>0</v>
      </c>
      <c r="K70" s="1"/>
      <c r="L70" s="1">
        <f t="shared" si="30"/>
        <v>0</v>
      </c>
      <c r="M70" s="1"/>
      <c r="N70" s="5">
        <f t="shared" si="31"/>
        <v>0</v>
      </c>
      <c r="O70" s="14"/>
      <c r="P70" s="1">
        <f>SUM(OSRRefP22_5x_0)</f>
        <v>0</v>
      </c>
      <c r="Q70" s="1"/>
      <c r="R70" s="5">
        <f t="shared" si="32"/>
        <v>0</v>
      </c>
      <c r="S70" s="1"/>
      <c r="T70" s="1">
        <f>SUM(OSRRefT22_5x_0)</f>
        <v>0</v>
      </c>
      <c r="U70" s="1"/>
      <c r="V70" s="5">
        <f t="shared" si="33"/>
        <v>0</v>
      </c>
      <c r="W70" s="1"/>
      <c r="X70" s="1">
        <f t="shared" si="34"/>
        <v>0</v>
      </c>
      <c r="Y70" s="1"/>
      <c r="Z70" s="5">
        <f t="shared" si="35"/>
        <v>0</v>
      </c>
    </row>
    <row r="71" spans="1:26" s="24" customFormat="1" hidden="1" outlineLevel="2" x14ac:dyDescent="0.3">
      <c r="A71" s="27"/>
      <c r="B71" s="11" t="str">
        <f>CONCATENATE("          ", "9175", " - ", "EARNED DISCOUNTS")</f>
        <v xml:space="preserve">          9175 - EARNED DISCOUNTS</v>
      </c>
      <c r="C71" s="11"/>
      <c r="D71" s="6">
        <v>0</v>
      </c>
      <c r="E71" s="2"/>
      <c r="F71" s="7">
        <f t="shared" si="28"/>
        <v>0</v>
      </c>
      <c r="G71" s="2"/>
      <c r="H71" s="6"/>
      <c r="I71" s="2"/>
      <c r="J71" s="7">
        <f t="shared" si="29"/>
        <v>0</v>
      </c>
      <c r="K71" s="2"/>
      <c r="L71" s="6">
        <f t="shared" si="30"/>
        <v>0</v>
      </c>
      <c r="M71" s="2"/>
      <c r="N71" s="7">
        <f t="shared" si="31"/>
        <v>0</v>
      </c>
      <c r="O71" s="11"/>
      <c r="P71" s="6">
        <v>0</v>
      </c>
      <c r="Q71" s="2"/>
      <c r="R71" s="7">
        <f t="shared" si="32"/>
        <v>0</v>
      </c>
      <c r="S71" s="2"/>
      <c r="T71" s="6"/>
      <c r="U71" s="2"/>
      <c r="V71" s="7">
        <f t="shared" si="33"/>
        <v>0</v>
      </c>
      <c r="W71" s="2"/>
      <c r="X71" s="6">
        <f t="shared" si="34"/>
        <v>0</v>
      </c>
      <c r="Y71" s="2"/>
      <c r="Z71" s="7">
        <f t="shared" si="35"/>
        <v>0</v>
      </c>
    </row>
    <row r="72" spans="1:26" s="29" customFormat="1" outlineLevel="1" collapsed="1" x14ac:dyDescent="0.3">
      <c r="A72" s="28"/>
      <c r="B72" s="14" t="str">
        <f>CONCATENATE("     ","Employees' Appreciation                           ")</f>
        <v xml:space="preserve">     Employees' Appreciation                           </v>
      </c>
      <c r="C72" s="14"/>
      <c r="D72" s="1">
        <f>SUM(OSRRefD22_6x_0)</f>
        <v>0</v>
      </c>
      <c r="E72" s="1"/>
      <c r="F72" s="5">
        <f t="shared" si="28"/>
        <v>0</v>
      </c>
      <c r="G72" s="1"/>
      <c r="H72" s="1">
        <f>SUM(OSRRefH22_6x_0)</f>
        <v>75</v>
      </c>
      <c r="I72" s="1"/>
      <c r="J72" s="5">
        <f t="shared" si="29"/>
        <v>3.9664701060369677E-4</v>
      </c>
      <c r="K72" s="1"/>
      <c r="L72" s="1">
        <f t="shared" si="30"/>
        <v>-75</v>
      </c>
      <c r="M72" s="1"/>
      <c r="N72" s="5">
        <f t="shared" si="31"/>
        <v>-1</v>
      </c>
      <c r="O72" s="14"/>
      <c r="P72" s="1">
        <f>SUM(OSRRefP22_6x_0)</f>
        <v>216.44</v>
      </c>
      <c r="Q72" s="1"/>
      <c r="R72" s="5">
        <f t="shared" si="32"/>
        <v>1.3215818709741523E-4</v>
      </c>
      <c r="S72" s="1"/>
      <c r="T72" s="1">
        <f>SUM(OSRRefT22_6x_0)</f>
        <v>375</v>
      </c>
      <c r="U72" s="1"/>
      <c r="V72" s="5">
        <f t="shared" si="33"/>
        <v>2.7300186296471286E-4</v>
      </c>
      <c r="W72" s="1"/>
      <c r="X72" s="1">
        <f t="shared" si="34"/>
        <v>-158.56</v>
      </c>
      <c r="Y72" s="1"/>
      <c r="Z72" s="5">
        <f t="shared" si="35"/>
        <v>-0.42282666666666668</v>
      </c>
    </row>
    <row r="73" spans="1:26" s="24" customFormat="1" hidden="1" outlineLevel="2" x14ac:dyDescent="0.3">
      <c r="A73" s="27"/>
      <c r="B73" s="11" t="str">
        <f>CONCATENATE("          ", "6277", " - ", "EMPLOYEE APPRECIATION")</f>
        <v xml:space="preserve">          6277 - EMPLOYEE APPRECIATION</v>
      </c>
      <c r="C73" s="11"/>
      <c r="D73" s="6"/>
      <c r="E73" s="2"/>
      <c r="F73" s="7">
        <f t="shared" si="28"/>
        <v>0</v>
      </c>
      <c r="G73" s="2"/>
      <c r="H73" s="6">
        <v>75</v>
      </c>
      <c r="I73" s="2"/>
      <c r="J73" s="7">
        <f t="shared" si="29"/>
        <v>3.9664701060369677E-4</v>
      </c>
      <c r="K73" s="2"/>
      <c r="L73" s="6">
        <f t="shared" si="30"/>
        <v>-75</v>
      </c>
      <c r="M73" s="2"/>
      <c r="N73" s="7">
        <f t="shared" si="31"/>
        <v>-1</v>
      </c>
      <c r="O73" s="11"/>
      <c r="P73" s="6">
        <v>216.44</v>
      </c>
      <c r="Q73" s="2"/>
      <c r="R73" s="7">
        <f t="shared" si="32"/>
        <v>1.3215818709741523E-4</v>
      </c>
      <c r="S73" s="2"/>
      <c r="T73" s="6">
        <v>375</v>
      </c>
      <c r="U73" s="2"/>
      <c r="V73" s="7">
        <f t="shared" si="33"/>
        <v>2.7300186296471286E-4</v>
      </c>
      <c r="W73" s="2"/>
      <c r="X73" s="6">
        <f t="shared" si="34"/>
        <v>-158.56</v>
      </c>
      <c r="Y73" s="2"/>
      <c r="Z73" s="7">
        <f t="shared" si="35"/>
        <v>-0.42282666666666668</v>
      </c>
    </row>
    <row r="74" spans="1:26" s="29" customFormat="1" outlineLevel="1" collapsed="1" x14ac:dyDescent="0.3">
      <c r="A74" s="28"/>
      <c r="B74" s="14" t="str">
        <f>CONCATENATE("     ","Freight out/Postage                               ")</f>
        <v xml:space="preserve">     Freight out/Postage                               </v>
      </c>
      <c r="C74" s="14"/>
      <c r="D74" s="1">
        <f>SUM(OSRRefD22_7x_0)</f>
        <v>3.52</v>
      </c>
      <c r="E74" s="1"/>
      <c r="F74" s="5">
        <f t="shared" si="28"/>
        <v>1.3268590152361484E-5</v>
      </c>
      <c r="G74" s="1"/>
      <c r="H74" s="1">
        <f>SUM(OSRRefH22_7x_0)</f>
        <v>50</v>
      </c>
      <c r="I74" s="1"/>
      <c r="J74" s="5">
        <f t="shared" si="29"/>
        <v>2.6443134040246449E-4</v>
      </c>
      <c r="K74" s="1"/>
      <c r="L74" s="1">
        <f t="shared" si="30"/>
        <v>-46.48</v>
      </c>
      <c r="M74" s="1"/>
      <c r="N74" s="5">
        <f t="shared" si="31"/>
        <v>-0.92959999999999998</v>
      </c>
      <c r="O74" s="14"/>
      <c r="P74" s="1">
        <f>SUM(OSRRefP22_7x_0)</f>
        <v>929.29</v>
      </c>
      <c r="Q74" s="1"/>
      <c r="R74" s="5">
        <f t="shared" si="32"/>
        <v>5.6742414381702542E-4</v>
      </c>
      <c r="S74" s="1"/>
      <c r="T74" s="1">
        <f>SUM(OSRRefT22_7x_0)</f>
        <v>250</v>
      </c>
      <c r="U74" s="1"/>
      <c r="V74" s="5">
        <f t="shared" si="33"/>
        <v>1.8200124197647526E-4</v>
      </c>
      <c r="W74" s="1"/>
      <c r="X74" s="1">
        <f t="shared" si="34"/>
        <v>679.29</v>
      </c>
      <c r="Y74" s="1"/>
      <c r="Z74" s="5">
        <f t="shared" si="35"/>
        <v>2.7171599999999998</v>
      </c>
    </row>
    <row r="75" spans="1:26" s="24" customFormat="1" hidden="1" outlineLevel="2" x14ac:dyDescent="0.3">
      <c r="A75" s="27"/>
      <c r="B75" s="11" t="str">
        <f>CONCATENATE("          ", "6305", " - ", "FREIGHT OUT")</f>
        <v xml:space="preserve">          6305 - FREIGHT OUT</v>
      </c>
      <c r="C75" s="11"/>
      <c r="D75" s="6">
        <v>3.52</v>
      </c>
      <c r="E75" s="2"/>
      <c r="F75" s="7">
        <f t="shared" si="28"/>
        <v>1.3268590152361484E-5</v>
      </c>
      <c r="G75" s="2"/>
      <c r="H75" s="6">
        <v>50</v>
      </c>
      <c r="I75" s="2"/>
      <c r="J75" s="7">
        <f t="shared" si="29"/>
        <v>2.6443134040246449E-4</v>
      </c>
      <c r="K75" s="2"/>
      <c r="L75" s="6">
        <f t="shared" si="30"/>
        <v>-46.48</v>
      </c>
      <c r="M75" s="2"/>
      <c r="N75" s="7">
        <f t="shared" si="31"/>
        <v>-0.92959999999999998</v>
      </c>
      <c r="O75" s="11"/>
      <c r="P75" s="6">
        <v>893.87</v>
      </c>
      <c r="Q75" s="2"/>
      <c r="R75" s="7">
        <f t="shared" si="32"/>
        <v>5.4579670440198919E-4</v>
      </c>
      <c r="S75" s="2"/>
      <c r="T75" s="6">
        <v>250</v>
      </c>
      <c r="U75" s="2"/>
      <c r="V75" s="7">
        <f t="shared" si="33"/>
        <v>1.8200124197647526E-4</v>
      </c>
      <c r="W75" s="2"/>
      <c r="X75" s="6">
        <f t="shared" si="34"/>
        <v>643.87</v>
      </c>
      <c r="Y75" s="2"/>
      <c r="Z75" s="7">
        <f t="shared" si="35"/>
        <v>2.5754800000000002</v>
      </c>
    </row>
    <row r="76" spans="1:26" s="24" customFormat="1" hidden="1" outlineLevel="2" x14ac:dyDescent="0.3">
      <c r="A76" s="27"/>
      <c r="B76" s="11" t="str">
        <f>CONCATENATE("          ", "6307", " - ", "POSTAGE")</f>
        <v xml:space="preserve">          6307 - POSTAGE</v>
      </c>
      <c r="C76" s="11"/>
      <c r="D76" s="6"/>
      <c r="E76" s="2"/>
      <c r="F76" s="7">
        <f t="shared" si="28"/>
        <v>0</v>
      </c>
      <c r="G76" s="2"/>
      <c r="H76" s="6"/>
      <c r="I76" s="2"/>
      <c r="J76" s="7">
        <f t="shared" si="29"/>
        <v>0</v>
      </c>
      <c r="K76" s="2"/>
      <c r="L76" s="6">
        <f t="shared" si="30"/>
        <v>0</v>
      </c>
      <c r="M76" s="2"/>
      <c r="N76" s="7">
        <f t="shared" si="31"/>
        <v>0</v>
      </c>
      <c r="O76" s="11"/>
      <c r="P76" s="6">
        <v>35.42</v>
      </c>
      <c r="Q76" s="2"/>
      <c r="R76" s="7">
        <f t="shared" si="32"/>
        <v>2.1627439415036257E-5</v>
      </c>
      <c r="S76" s="2"/>
      <c r="T76" s="6"/>
      <c r="U76" s="2"/>
      <c r="V76" s="7">
        <f t="shared" si="33"/>
        <v>0</v>
      </c>
      <c r="W76" s="2"/>
      <c r="X76" s="6">
        <f t="shared" si="34"/>
        <v>35.42</v>
      </c>
      <c r="Y76" s="2"/>
      <c r="Z76" s="7">
        <f t="shared" si="35"/>
        <v>0</v>
      </c>
    </row>
    <row r="77" spans="1:26" s="29" customFormat="1" outlineLevel="1" collapsed="1" x14ac:dyDescent="0.3">
      <c r="A77" s="28"/>
      <c r="B77" s="14" t="str">
        <f>CONCATENATE("     ","General                                           ")</f>
        <v xml:space="preserve">     General                                           </v>
      </c>
      <c r="C77" s="14"/>
      <c r="D77" s="1">
        <f>SUM(OSRRefD22_8x_0)</f>
        <v>1135.0899999999999</v>
      </c>
      <c r="E77" s="1"/>
      <c r="F77" s="5">
        <f t="shared" ref="F77:F79" si="36">IF(D$12=0,0,D77/D$12)</f>
        <v>4.2787056806943176E-3</v>
      </c>
      <c r="G77" s="1"/>
      <c r="H77" s="1">
        <f>SUM(OSRRefH22_8x_0)</f>
        <v>0</v>
      </c>
      <c r="I77" s="1"/>
      <c r="J77" s="5">
        <f t="shared" ref="J77:J79" si="37">IF(H$12=0,0,H77/H$12)</f>
        <v>0</v>
      </c>
      <c r="K77" s="1"/>
      <c r="L77" s="1">
        <f t="shared" ref="L77:L79" si="38">+D77-H77</f>
        <v>1135.0899999999999</v>
      </c>
      <c r="M77" s="1"/>
      <c r="N77" s="5">
        <f t="shared" ref="N77:N79" si="39">IF(H77=0,0,L77/H77)</f>
        <v>0</v>
      </c>
      <c r="O77" s="14"/>
      <c r="P77" s="1">
        <f>SUM(OSRRefP22_8x_0)</f>
        <v>1135.0899999999999</v>
      </c>
      <c r="Q77" s="1"/>
      <c r="R77" s="5">
        <f t="shared" ref="R77:R79" si="40">IF(P$12=0,0,P77/P$12)</f>
        <v>6.9308555069490403E-4</v>
      </c>
      <c r="S77" s="1"/>
      <c r="T77" s="1">
        <f>SUM(OSRRefT22_8x_0)</f>
        <v>125</v>
      </c>
      <c r="U77" s="1"/>
      <c r="V77" s="5">
        <f t="shared" ref="V77:V79" si="41">IF(T$12=0,0,T77/T$12)</f>
        <v>9.1000620988237628E-5</v>
      </c>
      <c r="W77" s="1"/>
      <c r="X77" s="1">
        <f t="shared" ref="X77:X79" si="42">+P77-T77</f>
        <v>1010.0899999999999</v>
      </c>
      <c r="Y77" s="1"/>
      <c r="Z77" s="5">
        <f t="shared" ref="Z77:Z79" si="43">IF(T77=0,0,X77/T77)</f>
        <v>8.0807199999999995</v>
      </c>
    </row>
    <row r="78" spans="1:26" s="24" customFormat="1" hidden="1" outlineLevel="2" x14ac:dyDescent="0.3">
      <c r="A78" s="27"/>
      <c r="B78" s="11" t="str">
        <f>CONCATENATE("          ", "6276", " - ", "PROPERTY TAX")</f>
        <v xml:space="preserve">          6276 - PROPERTY TAX</v>
      </c>
      <c r="C78" s="11"/>
      <c r="D78" s="6"/>
      <c r="E78" s="2"/>
      <c r="F78" s="7">
        <f t="shared" si="36"/>
        <v>0</v>
      </c>
      <c r="G78" s="2"/>
      <c r="H78" s="6"/>
      <c r="I78" s="2"/>
      <c r="J78" s="7">
        <f t="shared" si="37"/>
        <v>0</v>
      </c>
      <c r="K78" s="2"/>
      <c r="L78" s="6">
        <f t="shared" si="38"/>
        <v>0</v>
      </c>
      <c r="M78" s="2"/>
      <c r="N78" s="7">
        <f t="shared" si="39"/>
        <v>0</v>
      </c>
      <c r="O78" s="11"/>
      <c r="P78" s="6"/>
      <c r="Q78" s="2"/>
      <c r="R78" s="7">
        <f t="shared" si="40"/>
        <v>0</v>
      </c>
      <c r="S78" s="2"/>
      <c r="T78" s="6">
        <v>125</v>
      </c>
      <c r="U78" s="2"/>
      <c r="V78" s="7">
        <f t="shared" si="41"/>
        <v>9.1000620988237628E-5</v>
      </c>
      <c r="W78" s="2"/>
      <c r="X78" s="6">
        <f t="shared" si="42"/>
        <v>-125</v>
      </c>
      <c r="Y78" s="2"/>
      <c r="Z78" s="7">
        <f t="shared" si="43"/>
        <v>-1</v>
      </c>
    </row>
    <row r="79" spans="1:26" s="24" customFormat="1" hidden="1" outlineLevel="2" x14ac:dyDescent="0.3">
      <c r="A79" s="27"/>
      <c r="B79" s="11" t="str">
        <f>CONCATENATE("          ", "6279", " - ", "GENERAL EXPENSE")</f>
        <v xml:space="preserve">          6279 - GENERAL EXPENSE</v>
      </c>
      <c r="C79" s="11"/>
      <c r="D79" s="6">
        <v>1135.0899999999999</v>
      </c>
      <c r="E79" s="2"/>
      <c r="F79" s="7">
        <f t="shared" si="36"/>
        <v>4.2787056806943176E-3</v>
      </c>
      <c r="G79" s="2"/>
      <c r="H79" s="6">
        <v>0</v>
      </c>
      <c r="I79" s="2"/>
      <c r="J79" s="7">
        <f t="shared" si="37"/>
        <v>0</v>
      </c>
      <c r="K79" s="2"/>
      <c r="L79" s="6">
        <f t="shared" si="38"/>
        <v>1135.0899999999999</v>
      </c>
      <c r="M79" s="2"/>
      <c r="N79" s="7">
        <f t="shared" si="39"/>
        <v>0</v>
      </c>
      <c r="O79" s="11"/>
      <c r="P79" s="6">
        <v>1135.0899999999999</v>
      </c>
      <c r="Q79" s="2"/>
      <c r="R79" s="7">
        <f t="shared" si="40"/>
        <v>6.9308555069490403E-4</v>
      </c>
      <c r="S79" s="2"/>
      <c r="T79" s="6">
        <v>0</v>
      </c>
      <c r="U79" s="2"/>
      <c r="V79" s="7">
        <f t="shared" si="41"/>
        <v>0</v>
      </c>
      <c r="W79" s="2"/>
      <c r="X79" s="6">
        <f t="shared" si="42"/>
        <v>1135.0899999999999</v>
      </c>
      <c r="Y79" s="2"/>
      <c r="Z79" s="7">
        <f t="shared" si="43"/>
        <v>0</v>
      </c>
    </row>
    <row r="80" spans="1:26" s="29" customFormat="1" outlineLevel="1" collapsed="1" x14ac:dyDescent="0.3">
      <c r="A80" s="28"/>
      <c r="B80" s="14" t="str">
        <f>CONCATENATE("     ","Insurance                                         ")</f>
        <v xml:space="preserve">     Insurance                                         </v>
      </c>
      <c r="C80" s="14"/>
      <c r="D80" s="1">
        <f>SUM(OSRRefD22_9x_0)</f>
        <v>219.08</v>
      </c>
      <c r="E80" s="1"/>
      <c r="F80" s="5">
        <f t="shared" ref="F80:F90" si="44">IF(D$12=0,0,D80/D$12)</f>
        <v>8.2581895755095289E-4</v>
      </c>
      <c r="G80" s="1"/>
      <c r="H80" s="1">
        <f>SUM(OSRRefH22_9x_0)</f>
        <v>175</v>
      </c>
      <c r="I80" s="1"/>
      <c r="J80" s="5">
        <f t="shared" ref="J80:J90" si="45">IF(H$12=0,0,H80/H$12)</f>
        <v>9.255096914086257E-4</v>
      </c>
      <c r="K80" s="1"/>
      <c r="L80" s="1">
        <f t="shared" ref="L80:L90" si="46">+D80-H80</f>
        <v>44.080000000000013</v>
      </c>
      <c r="M80" s="1"/>
      <c r="N80" s="5">
        <f t="shared" ref="N80:N90" si="47">IF(H80=0,0,L80/H80)</f>
        <v>0.25188571428571438</v>
      </c>
      <c r="O80" s="14"/>
      <c r="P80" s="1">
        <f>SUM(OSRRefP22_9x_0)</f>
        <v>1095.4000000000001</v>
      </c>
      <c r="Q80" s="1"/>
      <c r="R80" s="5">
        <f t="shared" ref="R80:R90" si="48">IF(P$12=0,0,P80/P$12)</f>
        <v>6.6885085079702758E-4</v>
      </c>
      <c r="S80" s="1"/>
      <c r="T80" s="1">
        <f>SUM(OSRRefT22_9x_0)</f>
        <v>875</v>
      </c>
      <c r="U80" s="1"/>
      <c r="V80" s="5">
        <f t="shared" ref="V80:V90" si="49">IF(T$12=0,0,T80/T$12)</f>
        <v>6.3700434691766337E-4</v>
      </c>
      <c r="W80" s="1"/>
      <c r="X80" s="1">
        <f t="shared" ref="X80:X90" si="50">+P80-T80</f>
        <v>220.40000000000009</v>
      </c>
      <c r="Y80" s="1"/>
      <c r="Z80" s="5">
        <f t="shared" ref="Z80:Z90" si="51">IF(T80=0,0,X80/T80)</f>
        <v>0.25188571428571438</v>
      </c>
    </row>
    <row r="81" spans="1:26" s="24" customFormat="1" hidden="1" outlineLevel="2" x14ac:dyDescent="0.3">
      <c r="A81" s="27"/>
      <c r="B81" s="11" t="str">
        <f>CONCATENATE("          ", "6314", " - ", "LIABILITY INSURANCE")</f>
        <v xml:space="preserve">          6314 - LIABILITY INSURANCE</v>
      </c>
      <c r="C81" s="11"/>
      <c r="D81" s="6">
        <v>219.08</v>
      </c>
      <c r="E81" s="2"/>
      <c r="F81" s="7">
        <f t="shared" si="44"/>
        <v>8.2581895755095289E-4</v>
      </c>
      <c r="G81" s="2"/>
      <c r="H81" s="6">
        <v>175</v>
      </c>
      <c r="I81" s="2"/>
      <c r="J81" s="7">
        <f t="shared" si="45"/>
        <v>9.255096914086257E-4</v>
      </c>
      <c r="K81" s="2"/>
      <c r="L81" s="6">
        <f t="shared" si="46"/>
        <v>44.080000000000013</v>
      </c>
      <c r="M81" s="2"/>
      <c r="N81" s="7">
        <f t="shared" si="47"/>
        <v>0.25188571428571438</v>
      </c>
      <c r="O81" s="11"/>
      <c r="P81" s="6">
        <v>1095.4000000000001</v>
      </c>
      <c r="Q81" s="2"/>
      <c r="R81" s="7">
        <f t="shared" si="48"/>
        <v>6.6885085079702758E-4</v>
      </c>
      <c r="S81" s="2"/>
      <c r="T81" s="6">
        <v>875</v>
      </c>
      <c r="U81" s="2"/>
      <c r="V81" s="7">
        <f t="shared" si="49"/>
        <v>6.3700434691766337E-4</v>
      </c>
      <c r="W81" s="2"/>
      <c r="X81" s="6">
        <f t="shared" si="50"/>
        <v>220.40000000000009</v>
      </c>
      <c r="Y81" s="2"/>
      <c r="Z81" s="7">
        <f t="shared" si="51"/>
        <v>0.25188571428571438</v>
      </c>
    </row>
    <row r="82" spans="1:26" s="29" customFormat="1" outlineLevel="1" collapsed="1" x14ac:dyDescent="0.3">
      <c r="A82" s="28"/>
      <c r="B82" s="14" t="str">
        <f>CONCATENATE("     ","Inventory Adjustment                              ")</f>
        <v xml:space="preserve">     Inventory Adjustment                              </v>
      </c>
      <c r="C82" s="14"/>
      <c r="D82" s="1">
        <f>SUM(OSRRefD22_10x_0)</f>
        <v>3450</v>
      </c>
      <c r="E82" s="1"/>
      <c r="F82" s="5">
        <f t="shared" si="44"/>
        <v>1.3004726143649751E-2</v>
      </c>
      <c r="G82" s="1"/>
      <c r="H82" s="1">
        <f>SUM(OSRRefH22_10x_0)</f>
        <v>3450</v>
      </c>
      <c r="I82" s="1"/>
      <c r="J82" s="5">
        <f t="shared" si="45"/>
        <v>1.8245762487770052E-2</v>
      </c>
      <c r="K82" s="1"/>
      <c r="L82" s="1">
        <f t="shared" si="46"/>
        <v>0</v>
      </c>
      <c r="M82" s="1"/>
      <c r="N82" s="5">
        <f t="shared" si="47"/>
        <v>0</v>
      </c>
      <c r="O82" s="14"/>
      <c r="P82" s="1">
        <f>SUM(OSRRefP22_10x_0)</f>
        <v>17250</v>
      </c>
      <c r="Q82" s="1"/>
      <c r="R82" s="5">
        <f t="shared" si="48"/>
        <v>1.0532843870959215E-2</v>
      </c>
      <c r="S82" s="1"/>
      <c r="T82" s="1">
        <f>SUM(OSRRefT22_10x_0)</f>
        <v>17250</v>
      </c>
      <c r="U82" s="1"/>
      <c r="V82" s="5">
        <f t="shared" si="49"/>
        <v>1.2558085696376791E-2</v>
      </c>
      <c r="W82" s="1"/>
      <c r="X82" s="1">
        <f t="shared" si="50"/>
        <v>0</v>
      </c>
      <c r="Y82" s="1"/>
      <c r="Z82" s="5">
        <f t="shared" si="51"/>
        <v>0</v>
      </c>
    </row>
    <row r="83" spans="1:26" s="24" customFormat="1" hidden="1" outlineLevel="2" x14ac:dyDescent="0.3">
      <c r="A83" s="27"/>
      <c r="B83" s="11" t="str">
        <f>CONCATENATE("          ", "6408", " - ", "INVENTORY ADJUSTMENT")</f>
        <v xml:space="preserve">          6408 - INVENTORY ADJUSTMENT</v>
      </c>
      <c r="C83" s="11"/>
      <c r="D83" s="6">
        <v>3450</v>
      </c>
      <c r="E83" s="2"/>
      <c r="F83" s="7">
        <f t="shared" si="44"/>
        <v>1.3004726143649751E-2</v>
      </c>
      <c r="G83" s="2"/>
      <c r="H83" s="6">
        <v>3450</v>
      </c>
      <c r="I83" s="2"/>
      <c r="J83" s="7">
        <f t="shared" si="45"/>
        <v>1.8245762487770052E-2</v>
      </c>
      <c r="K83" s="2"/>
      <c r="L83" s="6">
        <f t="shared" si="46"/>
        <v>0</v>
      </c>
      <c r="M83" s="2"/>
      <c r="N83" s="7">
        <f t="shared" si="47"/>
        <v>0</v>
      </c>
      <c r="O83" s="11"/>
      <c r="P83" s="6">
        <v>17250</v>
      </c>
      <c r="Q83" s="2"/>
      <c r="R83" s="7">
        <f t="shared" si="48"/>
        <v>1.0532843870959215E-2</v>
      </c>
      <c r="S83" s="2"/>
      <c r="T83" s="6">
        <v>17250</v>
      </c>
      <c r="U83" s="2"/>
      <c r="V83" s="7">
        <f t="shared" si="49"/>
        <v>1.2558085696376791E-2</v>
      </c>
      <c r="W83" s="2"/>
      <c r="X83" s="6">
        <f t="shared" si="50"/>
        <v>0</v>
      </c>
      <c r="Y83" s="2"/>
      <c r="Z83" s="7">
        <f t="shared" si="51"/>
        <v>0</v>
      </c>
    </row>
    <row r="84" spans="1:26" s="29" customFormat="1" outlineLevel="1" collapsed="1" x14ac:dyDescent="0.3">
      <c r="A84" s="28"/>
      <c r="B84" s="14" t="str">
        <f>CONCATENATE("     ","Professional Services                             ")</f>
        <v xml:space="preserve">     Professional Services                             </v>
      </c>
      <c r="C84" s="14"/>
      <c r="D84" s="1">
        <f>SUM(OSRRefD22_11x_0)</f>
        <v>0</v>
      </c>
      <c r="E84" s="1"/>
      <c r="F84" s="5">
        <f t="shared" si="44"/>
        <v>0</v>
      </c>
      <c r="G84" s="1"/>
      <c r="H84" s="1">
        <f>SUM(OSRRefH22_11x_0)</f>
        <v>0</v>
      </c>
      <c r="I84" s="1"/>
      <c r="J84" s="5">
        <f t="shared" si="45"/>
        <v>0</v>
      </c>
      <c r="K84" s="1"/>
      <c r="L84" s="1">
        <f t="shared" si="46"/>
        <v>0</v>
      </c>
      <c r="M84" s="1"/>
      <c r="N84" s="5">
        <f t="shared" si="47"/>
        <v>0</v>
      </c>
      <c r="O84" s="14"/>
      <c r="P84" s="1">
        <f>SUM(OSRRefP22_11x_0)</f>
        <v>669.1</v>
      </c>
      <c r="Q84" s="1"/>
      <c r="R84" s="5">
        <f t="shared" si="48"/>
        <v>4.0855222226427888E-4</v>
      </c>
      <c r="S84" s="1"/>
      <c r="T84" s="1">
        <f>SUM(OSRRefT22_11x_0)</f>
        <v>1250</v>
      </c>
      <c r="U84" s="1"/>
      <c r="V84" s="5">
        <f t="shared" si="49"/>
        <v>9.1000620988237622E-4</v>
      </c>
      <c r="W84" s="1"/>
      <c r="X84" s="1">
        <f t="shared" si="50"/>
        <v>-580.9</v>
      </c>
      <c r="Y84" s="1"/>
      <c r="Z84" s="5">
        <f t="shared" si="51"/>
        <v>-0.46471999999999997</v>
      </c>
    </row>
    <row r="85" spans="1:26" s="24" customFormat="1" hidden="1" outlineLevel="2" x14ac:dyDescent="0.3">
      <c r="A85" s="27"/>
      <c r="B85" s="11" t="str">
        <f>CONCATENATE("          ", "6336", " - ", "PROFESSIONAL SERVICES")</f>
        <v xml:space="preserve">          6336 - PROFESSIONAL SERVICES</v>
      </c>
      <c r="C85" s="11"/>
      <c r="D85" s="6"/>
      <c r="E85" s="2"/>
      <c r="F85" s="7">
        <f t="shared" si="44"/>
        <v>0</v>
      </c>
      <c r="G85" s="2"/>
      <c r="H85" s="6">
        <v>0</v>
      </c>
      <c r="I85" s="2"/>
      <c r="J85" s="7">
        <f t="shared" si="45"/>
        <v>0</v>
      </c>
      <c r="K85" s="2"/>
      <c r="L85" s="6">
        <f t="shared" si="46"/>
        <v>0</v>
      </c>
      <c r="M85" s="2"/>
      <c r="N85" s="7">
        <f t="shared" si="47"/>
        <v>0</v>
      </c>
      <c r="O85" s="11"/>
      <c r="P85" s="6">
        <v>669.1</v>
      </c>
      <c r="Q85" s="2"/>
      <c r="R85" s="7">
        <f t="shared" si="48"/>
        <v>4.0855222226427888E-4</v>
      </c>
      <c r="S85" s="2"/>
      <c r="T85" s="6">
        <v>1250</v>
      </c>
      <c r="U85" s="2"/>
      <c r="V85" s="7">
        <f t="shared" si="49"/>
        <v>9.1000620988237622E-4</v>
      </c>
      <c r="W85" s="2"/>
      <c r="X85" s="6">
        <f t="shared" si="50"/>
        <v>-580.9</v>
      </c>
      <c r="Y85" s="2"/>
      <c r="Z85" s="7">
        <f t="shared" si="51"/>
        <v>-0.46471999999999997</v>
      </c>
    </row>
    <row r="86" spans="1:26" s="29" customFormat="1" outlineLevel="1" collapsed="1" x14ac:dyDescent="0.3">
      <c r="A86" s="28"/>
      <c r="B86" s="14" t="str">
        <f>CONCATENATE("     ","Rent                                              ")</f>
        <v xml:space="preserve">     Rent                                              </v>
      </c>
      <c r="C86" s="14"/>
      <c r="D86" s="1">
        <f>SUM(OSRRefD22_12x_0)</f>
        <v>6900</v>
      </c>
      <c r="E86" s="1"/>
      <c r="F86" s="5">
        <f t="shared" si="44"/>
        <v>2.6009452287299503E-2</v>
      </c>
      <c r="G86" s="1"/>
      <c r="H86" s="1">
        <f>SUM(OSRRefH22_12x_0)</f>
        <v>6900</v>
      </c>
      <c r="I86" s="1"/>
      <c r="J86" s="5">
        <f t="shared" si="45"/>
        <v>3.6491524975540104E-2</v>
      </c>
      <c r="K86" s="1"/>
      <c r="L86" s="1">
        <f t="shared" si="46"/>
        <v>0</v>
      </c>
      <c r="M86" s="1"/>
      <c r="N86" s="5">
        <f t="shared" si="47"/>
        <v>0</v>
      </c>
      <c r="O86" s="14"/>
      <c r="P86" s="1">
        <f>SUM(OSRRefP22_12x_0)</f>
        <v>34500</v>
      </c>
      <c r="Q86" s="1"/>
      <c r="R86" s="5">
        <f t="shared" si="48"/>
        <v>2.1065687741918429E-2</v>
      </c>
      <c r="S86" s="1"/>
      <c r="T86" s="1">
        <f>SUM(OSRRefT22_12x_0)</f>
        <v>34500</v>
      </c>
      <c r="U86" s="1"/>
      <c r="V86" s="5">
        <f t="shared" si="49"/>
        <v>2.5116171392753583E-2</v>
      </c>
      <c r="W86" s="1"/>
      <c r="X86" s="1">
        <f t="shared" si="50"/>
        <v>0</v>
      </c>
      <c r="Y86" s="1"/>
      <c r="Z86" s="5">
        <f t="shared" si="51"/>
        <v>0</v>
      </c>
    </row>
    <row r="87" spans="1:26" s="24" customFormat="1" hidden="1" outlineLevel="2" x14ac:dyDescent="0.3">
      <c r="A87" s="27"/>
      <c r="B87" s="11" t="str">
        <f>CONCATENATE("          ", "6273", " - ", "RENT")</f>
        <v xml:space="preserve">          6273 - RENT</v>
      </c>
      <c r="C87" s="11"/>
      <c r="D87" s="6">
        <v>6900</v>
      </c>
      <c r="E87" s="2"/>
      <c r="F87" s="7">
        <f t="shared" si="44"/>
        <v>2.6009452287299503E-2</v>
      </c>
      <c r="G87" s="2"/>
      <c r="H87" s="6">
        <v>6900</v>
      </c>
      <c r="I87" s="2"/>
      <c r="J87" s="7">
        <f t="shared" si="45"/>
        <v>3.6491524975540104E-2</v>
      </c>
      <c r="K87" s="2"/>
      <c r="L87" s="6">
        <f t="shared" si="46"/>
        <v>0</v>
      </c>
      <c r="M87" s="2"/>
      <c r="N87" s="7">
        <f t="shared" si="47"/>
        <v>0</v>
      </c>
      <c r="O87" s="11"/>
      <c r="P87" s="6">
        <v>34500</v>
      </c>
      <c r="Q87" s="2"/>
      <c r="R87" s="7">
        <f t="shared" si="48"/>
        <v>2.1065687741918429E-2</v>
      </c>
      <c r="S87" s="2"/>
      <c r="T87" s="6">
        <v>34500</v>
      </c>
      <c r="U87" s="2"/>
      <c r="V87" s="7">
        <f t="shared" si="49"/>
        <v>2.5116171392753583E-2</v>
      </c>
      <c r="W87" s="2"/>
      <c r="X87" s="6">
        <f t="shared" si="50"/>
        <v>0</v>
      </c>
      <c r="Y87" s="2"/>
      <c r="Z87" s="7">
        <f t="shared" si="51"/>
        <v>0</v>
      </c>
    </row>
    <row r="88" spans="1:26" s="29" customFormat="1" outlineLevel="1" collapsed="1" x14ac:dyDescent="0.3">
      <c r="A88" s="28"/>
      <c r="B88" s="14" t="str">
        <f>CONCATENATE("     ","Repair and Maintenance                            ")</f>
        <v xml:space="preserve">     Repair and Maintenance                            </v>
      </c>
      <c r="C88" s="14"/>
      <c r="D88" s="1">
        <f>SUM(OSRRefD22_13x_0)</f>
        <v>0</v>
      </c>
      <c r="E88" s="1"/>
      <c r="F88" s="5">
        <f t="shared" si="44"/>
        <v>0</v>
      </c>
      <c r="G88" s="1"/>
      <c r="H88" s="1">
        <f>SUM(OSRRefH22_13x_0)</f>
        <v>115</v>
      </c>
      <c r="I88" s="1"/>
      <c r="J88" s="5">
        <f t="shared" si="45"/>
        <v>6.0819208292566831E-4</v>
      </c>
      <c r="K88" s="1"/>
      <c r="L88" s="1">
        <f t="shared" si="46"/>
        <v>-115</v>
      </c>
      <c r="M88" s="1"/>
      <c r="N88" s="5">
        <f t="shared" si="47"/>
        <v>-1</v>
      </c>
      <c r="O88" s="14"/>
      <c r="P88" s="1">
        <f>SUM(OSRRefP22_13x_0)</f>
        <v>1012.96</v>
      </c>
      <c r="Q88" s="1"/>
      <c r="R88" s="5">
        <f t="shared" si="48"/>
        <v>6.1851301608851291E-4</v>
      </c>
      <c r="S88" s="1"/>
      <c r="T88" s="1">
        <f>SUM(OSRRefT22_13x_0)</f>
        <v>575</v>
      </c>
      <c r="U88" s="1"/>
      <c r="V88" s="5">
        <f t="shared" si="49"/>
        <v>4.1860285654589309E-4</v>
      </c>
      <c r="W88" s="1"/>
      <c r="X88" s="1">
        <f t="shared" si="50"/>
        <v>437.96000000000004</v>
      </c>
      <c r="Y88" s="1"/>
      <c r="Z88" s="5">
        <f t="shared" si="51"/>
        <v>0.76166956521739138</v>
      </c>
    </row>
    <row r="89" spans="1:26" s="24" customFormat="1" hidden="1" outlineLevel="2" x14ac:dyDescent="0.3">
      <c r="A89" s="27"/>
      <c r="B89" s="11" t="str">
        <f>CONCATENATE("          ", "6373", " - ", "MAINTENANCE CONTRACTS")</f>
        <v xml:space="preserve">          6373 - MAINTENANCE CONTRACTS</v>
      </c>
      <c r="C89" s="11"/>
      <c r="D89" s="6"/>
      <c r="E89" s="2"/>
      <c r="F89" s="7">
        <f t="shared" si="44"/>
        <v>0</v>
      </c>
      <c r="G89" s="2"/>
      <c r="H89" s="6">
        <v>115</v>
      </c>
      <c r="I89" s="2"/>
      <c r="J89" s="7">
        <f t="shared" si="45"/>
        <v>6.0819208292566831E-4</v>
      </c>
      <c r="K89" s="2"/>
      <c r="L89" s="6">
        <f t="shared" si="46"/>
        <v>-115</v>
      </c>
      <c r="M89" s="2"/>
      <c r="N89" s="7">
        <f t="shared" si="47"/>
        <v>-1</v>
      </c>
      <c r="O89" s="11"/>
      <c r="P89" s="6">
        <v>236.6</v>
      </c>
      <c r="Q89" s="2"/>
      <c r="R89" s="7">
        <f t="shared" si="48"/>
        <v>1.4446787593443191E-4</v>
      </c>
      <c r="S89" s="2"/>
      <c r="T89" s="6">
        <v>575</v>
      </c>
      <c r="U89" s="2"/>
      <c r="V89" s="7">
        <f t="shared" si="49"/>
        <v>4.1860285654589309E-4</v>
      </c>
      <c r="W89" s="2"/>
      <c r="X89" s="6">
        <f t="shared" si="50"/>
        <v>-338.4</v>
      </c>
      <c r="Y89" s="2"/>
      <c r="Z89" s="7">
        <f t="shared" si="51"/>
        <v>-0.58852173913043471</v>
      </c>
    </row>
    <row r="90" spans="1:26" s="24" customFormat="1" hidden="1" outlineLevel="2" x14ac:dyDescent="0.3">
      <c r="A90" s="27"/>
      <c r="B90" s="11" t="str">
        <f>CONCATENATE("          ", "6375", " - ", "OUTSIDE REPAIRS &amp; MAINTENANCE")</f>
        <v xml:space="preserve">          6375 - OUTSIDE REPAIRS &amp; MAINTENANCE</v>
      </c>
      <c r="C90" s="11"/>
      <c r="D90" s="6"/>
      <c r="E90" s="2"/>
      <c r="F90" s="7">
        <f t="shared" si="44"/>
        <v>0</v>
      </c>
      <c r="G90" s="2"/>
      <c r="H90" s="6">
        <v>0</v>
      </c>
      <c r="I90" s="2"/>
      <c r="J90" s="7">
        <f t="shared" si="45"/>
        <v>0</v>
      </c>
      <c r="K90" s="2"/>
      <c r="L90" s="6">
        <f t="shared" si="46"/>
        <v>0</v>
      </c>
      <c r="M90" s="2"/>
      <c r="N90" s="7">
        <f t="shared" si="47"/>
        <v>0</v>
      </c>
      <c r="O90" s="11"/>
      <c r="P90" s="6">
        <v>776.36</v>
      </c>
      <c r="Q90" s="2"/>
      <c r="R90" s="7">
        <f t="shared" si="48"/>
        <v>4.7404514015408097E-4</v>
      </c>
      <c r="S90" s="2"/>
      <c r="T90" s="6">
        <v>0</v>
      </c>
      <c r="U90" s="2"/>
      <c r="V90" s="7">
        <f t="shared" si="49"/>
        <v>0</v>
      </c>
      <c r="W90" s="2"/>
      <c r="X90" s="6">
        <f t="shared" si="50"/>
        <v>776.36</v>
      </c>
      <c r="Y90" s="2"/>
      <c r="Z90" s="7">
        <f t="shared" si="51"/>
        <v>0</v>
      </c>
    </row>
    <row r="91" spans="1:26" s="29" customFormat="1" outlineLevel="1" collapsed="1" x14ac:dyDescent="0.3">
      <c r="A91" s="28"/>
      <c r="B91" s="14" t="str">
        <f>CONCATENATE("     ","Royalty &amp; Commissions                             ")</f>
        <v xml:space="preserve">     Royalty &amp; Commissions                             </v>
      </c>
      <c r="C91" s="14"/>
      <c r="D91" s="1">
        <f>SUM(OSRRefD22_14x_0)</f>
        <v>0</v>
      </c>
      <c r="E91" s="1"/>
      <c r="F91" s="5">
        <f t="shared" ref="F91:F94" si="52">IF(D$12=0,0,D91/D$12)</f>
        <v>0</v>
      </c>
      <c r="G91" s="1"/>
      <c r="H91" s="1">
        <f>SUM(OSRRefH22_14x_0)</f>
        <v>3014</v>
      </c>
      <c r="I91" s="1"/>
      <c r="J91" s="5">
        <f t="shared" ref="J91:J94" si="53">IF(H$12=0,0,H91/H$12)</f>
        <v>1.5939921199460558E-2</v>
      </c>
      <c r="K91" s="1"/>
      <c r="L91" s="1">
        <f t="shared" ref="L91:L94" si="54">+D91-H91</f>
        <v>-3014</v>
      </c>
      <c r="M91" s="1"/>
      <c r="N91" s="5">
        <f t="shared" ref="N91:N94" si="55">IF(H91=0,0,L91/H91)</f>
        <v>-1</v>
      </c>
      <c r="O91" s="14"/>
      <c r="P91" s="1">
        <f>SUM(OSRRefP22_14x_0)</f>
        <v>16132.79</v>
      </c>
      <c r="Q91" s="1"/>
      <c r="R91" s="5">
        <f t="shared" ref="R91:R94" si="56">IF(P$12=0,0,P91/P$12)</f>
        <v>9.8506758419114274E-3</v>
      </c>
      <c r="S91" s="1"/>
      <c r="T91" s="1">
        <f>SUM(OSRRefT22_14x_0)</f>
        <v>24486</v>
      </c>
      <c r="U91" s="1"/>
      <c r="V91" s="5">
        <f t="shared" ref="V91:V94" si="57">IF(T$12=0,0,T91/T$12)</f>
        <v>1.7825929644143892E-2</v>
      </c>
      <c r="W91" s="1"/>
      <c r="X91" s="1">
        <f t="shared" ref="X91:X94" si="58">+P91-T91</f>
        <v>-8353.2099999999991</v>
      </c>
      <c r="Y91" s="1"/>
      <c r="Z91" s="5">
        <f t="shared" ref="Z91:Z94" si="59">IF(T91=0,0,X91/T91)</f>
        <v>-0.34114228538756836</v>
      </c>
    </row>
    <row r="92" spans="1:26" s="24" customFormat="1" hidden="1" outlineLevel="2" x14ac:dyDescent="0.3">
      <c r="A92" s="27"/>
      <c r="B92" s="11" t="str">
        <f>CONCATENATE("          ", "6252", " - ", "ROYALTY DUE CSTV")</f>
        <v xml:space="preserve">          6252 - ROYALTY DUE CSTV</v>
      </c>
      <c r="C92" s="11"/>
      <c r="D92" s="6"/>
      <c r="E92" s="2"/>
      <c r="F92" s="7">
        <f t="shared" si="52"/>
        <v>0</v>
      </c>
      <c r="G92" s="2"/>
      <c r="H92" s="6">
        <v>3014</v>
      </c>
      <c r="I92" s="2"/>
      <c r="J92" s="7">
        <f t="shared" si="53"/>
        <v>1.5939921199460558E-2</v>
      </c>
      <c r="K92" s="2"/>
      <c r="L92" s="6">
        <f t="shared" si="54"/>
        <v>-3014</v>
      </c>
      <c r="M92" s="2"/>
      <c r="N92" s="7">
        <f t="shared" si="55"/>
        <v>-1</v>
      </c>
      <c r="O92" s="11"/>
      <c r="P92" s="6"/>
      <c r="Q92" s="2"/>
      <c r="R92" s="7">
        <f t="shared" si="56"/>
        <v>0</v>
      </c>
      <c r="S92" s="2"/>
      <c r="T92" s="6">
        <v>8324</v>
      </c>
      <c r="U92" s="2"/>
      <c r="V92" s="7">
        <f t="shared" si="57"/>
        <v>6.05991335284872E-3</v>
      </c>
      <c r="W92" s="2"/>
      <c r="X92" s="6">
        <f t="shared" si="58"/>
        <v>-8324</v>
      </c>
      <c r="Y92" s="2"/>
      <c r="Z92" s="7">
        <f t="shared" si="59"/>
        <v>-1</v>
      </c>
    </row>
    <row r="93" spans="1:26" s="24" customFormat="1" hidden="1" outlineLevel="2" x14ac:dyDescent="0.3">
      <c r="A93" s="27"/>
      <c r="B93" s="11" t="str">
        <f>CONCATENATE("          ", "6253", " - ", "ROYALTY DUE ATHLETICS-LRG")</f>
        <v xml:space="preserve">          6253 - ROYALTY DUE ATHLETICS-LRG</v>
      </c>
      <c r="C93" s="11"/>
      <c r="D93" s="6"/>
      <c r="E93" s="2"/>
      <c r="F93" s="7">
        <f t="shared" si="52"/>
        <v>0</v>
      </c>
      <c r="G93" s="2"/>
      <c r="H93" s="6">
        <v>0</v>
      </c>
      <c r="I93" s="2"/>
      <c r="J93" s="7">
        <f t="shared" si="53"/>
        <v>0</v>
      </c>
      <c r="K93" s="2"/>
      <c r="L93" s="6">
        <f t="shared" si="54"/>
        <v>0</v>
      </c>
      <c r="M93" s="2"/>
      <c r="N93" s="7">
        <f t="shared" si="55"/>
        <v>0</v>
      </c>
      <c r="O93" s="11"/>
      <c r="P93" s="6">
        <v>23160.29</v>
      </c>
      <c r="Q93" s="2"/>
      <c r="R93" s="7">
        <f t="shared" si="56"/>
        <v>1.4141664844993507E-2</v>
      </c>
      <c r="S93" s="2"/>
      <c r="T93" s="6">
        <v>16162</v>
      </c>
      <c r="U93" s="2"/>
      <c r="V93" s="7">
        <f t="shared" si="57"/>
        <v>1.1766016291295171E-2</v>
      </c>
      <c r="W93" s="2"/>
      <c r="X93" s="6">
        <f t="shared" si="58"/>
        <v>6998.2900000000009</v>
      </c>
      <c r="Y93" s="2"/>
      <c r="Z93" s="7">
        <f t="shared" si="59"/>
        <v>0.43300890978839257</v>
      </c>
    </row>
    <row r="94" spans="1:26" s="24" customFormat="1" hidden="1" outlineLevel="2" x14ac:dyDescent="0.3">
      <c r="A94" s="27"/>
      <c r="B94" s="11" t="str">
        <f>CONCATENATE("          ", "6254", " - ", "ROYALTY &amp; COMMISSIONS")</f>
        <v xml:space="preserve">          6254 - ROYALTY &amp; COMMISSIONS</v>
      </c>
      <c r="C94" s="11"/>
      <c r="D94" s="6"/>
      <c r="E94" s="2"/>
      <c r="F94" s="7">
        <f t="shared" si="52"/>
        <v>0</v>
      </c>
      <c r="G94" s="2"/>
      <c r="H94" s="6">
        <v>0</v>
      </c>
      <c r="I94" s="2"/>
      <c r="J94" s="7">
        <f t="shared" si="53"/>
        <v>0</v>
      </c>
      <c r="K94" s="2"/>
      <c r="L94" s="6">
        <f t="shared" si="54"/>
        <v>0</v>
      </c>
      <c r="M94" s="2"/>
      <c r="N94" s="7">
        <f t="shared" si="55"/>
        <v>0</v>
      </c>
      <c r="O94" s="11"/>
      <c r="P94" s="6">
        <v>-7027.5</v>
      </c>
      <c r="Q94" s="2"/>
      <c r="R94" s="7">
        <f t="shared" si="56"/>
        <v>-4.29098900308208E-3</v>
      </c>
      <c r="S94" s="2"/>
      <c r="T94" s="6">
        <v>0</v>
      </c>
      <c r="U94" s="2"/>
      <c r="V94" s="7">
        <f t="shared" si="57"/>
        <v>0</v>
      </c>
      <c r="W94" s="2"/>
      <c r="X94" s="6">
        <f t="shared" si="58"/>
        <v>-7027.5</v>
      </c>
      <c r="Y94" s="2"/>
      <c r="Z94" s="7">
        <f t="shared" si="59"/>
        <v>0</v>
      </c>
    </row>
    <row r="95" spans="1:26" s="29" customFormat="1" outlineLevel="1" collapsed="1" x14ac:dyDescent="0.3">
      <c r="A95" s="28"/>
      <c r="B95" s="14" t="str">
        <f>CONCATENATE("     ","Services                                          ")</f>
        <v xml:space="preserve">     Services                                          </v>
      </c>
      <c r="C95" s="14"/>
      <c r="D95" s="1">
        <f>SUM(OSRRefD22_15x_0)</f>
        <v>162.72</v>
      </c>
      <c r="E95" s="1"/>
      <c r="F95" s="5">
        <f t="shared" ref="F95:F97" si="60">IF(D$12=0,0,D95/D$12)</f>
        <v>6.1337073567961956E-4</v>
      </c>
      <c r="G95" s="1"/>
      <c r="H95" s="1">
        <f>SUM(OSRRefH22_15x_0)</f>
        <v>60</v>
      </c>
      <c r="I95" s="1"/>
      <c r="J95" s="5">
        <f t="shared" ref="J95:J97" si="61">IF(H$12=0,0,H95/H$12)</f>
        <v>3.1731760848295739E-4</v>
      </c>
      <c r="K95" s="1"/>
      <c r="L95" s="1">
        <f t="shared" ref="L95:L97" si="62">+D95-H95</f>
        <v>102.72</v>
      </c>
      <c r="M95" s="1"/>
      <c r="N95" s="5">
        <f t="shared" ref="N95:N97" si="63">IF(H95=0,0,L95/H95)</f>
        <v>1.712</v>
      </c>
      <c r="O95" s="14"/>
      <c r="P95" s="1">
        <f>SUM(OSRRefP22_15x_0)</f>
        <v>806.47</v>
      </c>
      <c r="Q95" s="1"/>
      <c r="R95" s="5">
        <f t="shared" ref="R95:R97" si="64">IF(P$12=0,0,P95/P$12)</f>
        <v>4.9243029545579587E-4</v>
      </c>
      <c r="S95" s="1"/>
      <c r="T95" s="1">
        <f>SUM(OSRRefT22_15x_0)</f>
        <v>360</v>
      </c>
      <c r="U95" s="1"/>
      <c r="V95" s="5">
        <f t="shared" ref="V95:V97" si="65">IF(T$12=0,0,T95/T$12)</f>
        <v>2.6208178844612436E-4</v>
      </c>
      <c r="W95" s="1"/>
      <c r="X95" s="1">
        <f t="shared" ref="X95:X97" si="66">+P95-T95</f>
        <v>446.47</v>
      </c>
      <c r="Y95" s="1"/>
      <c r="Z95" s="5">
        <f t="shared" ref="Z95:Z97" si="67">IF(T95=0,0,X95/T95)</f>
        <v>1.2401944444444446</v>
      </c>
    </row>
    <row r="96" spans="1:26" s="24" customFormat="1" hidden="1" outlineLevel="2" x14ac:dyDescent="0.3">
      <c r="A96" s="27"/>
      <c r="B96" s="11" t="str">
        <f>CONCATENATE("          ", "6284", " - ", "TRASH REMOVAL EXPENSE")</f>
        <v xml:space="preserve">          6284 - TRASH REMOVAL EXPENSE</v>
      </c>
      <c r="C96" s="11"/>
      <c r="D96" s="6">
        <v>149.69999999999999</v>
      </c>
      <c r="E96" s="2"/>
      <c r="F96" s="7">
        <f t="shared" si="60"/>
        <v>5.6429203005923698E-4</v>
      </c>
      <c r="G96" s="2"/>
      <c r="H96" s="6">
        <v>60</v>
      </c>
      <c r="I96" s="2"/>
      <c r="J96" s="7">
        <f t="shared" si="61"/>
        <v>3.1731760848295739E-4</v>
      </c>
      <c r="K96" s="2"/>
      <c r="L96" s="6">
        <f t="shared" si="62"/>
        <v>89.699999999999989</v>
      </c>
      <c r="M96" s="2"/>
      <c r="N96" s="7">
        <f t="shared" si="63"/>
        <v>1.4949999999999999</v>
      </c>
      <c r="O96" s="11"/>
      <c r="P96" s="6">
        <v>741.37</v>
      </c>
      <c r="Q96" s="2"/>
      <c r="R96" s="7">
        <f t="shared" si="64"/>
        <v>4.5268025858626282E-4</v>
      </c>
      <c r="S96" s="2"/>
      <c r="T96" s="6">
        <v>360</v>
      </c>
      <c r="U96" s="2"/>
      <c r="V96" s="7">
        <f t="shared" si="65"/>
        <v>2.6208178844612436E-4</v>
      </c>
      <c r="W96" s="2"/>
      <c r="X96" s="6">
        <f t="shared" si="66"/>
        <v>381.37</v>
      </c>
      <c r="Y96" s="2"/>
      <c r="Z96" s="7">
        <f t="shared" si="67"/>
        <v>1.0593611111111112</v>
      </c>
    </row>
    <row r="97" spans="1:26" s="24" customFormat="1" hidden="1" outlineLevel="2" x14ac:dyDescent="0.3">
      <c r="A97" s="27"/>
      <c r="B97" s="11" t="str">
        <f>CONCATENATE("          ", "6285", " - ", "JANITORIAL SERVICES")</f>
        <v xml:space="preserve">          6285 - JANITORIAL SERVICES</v>
      </c>
      <c r="C97" s="11"/>
      <c r="D97" s="6">
        <v>13.02</v>
      </c>
      <c r="E97" s="2"/>
      <c r="F97" s="7">
        <f t="shared" si="60"/>
        <v>4.9078705620382538E-5</v>
      </c>
      <c r="G97" s="2"/>
      <c r="H97" s="6"/>
      <c r="I97" s="2"/>
      <c r="J97" s="7">
        <f t="shared" si="61"/>
        <v>0</v>
      </c>
      <c r="K97" s="2"/>
      <c r="L97" s="6">
        <f t="shared" si="62"/>
        <v>13.02</v>
      </c>
      <c r="M97" s="2"/>
      <c r="N97" s="7">
        <f t="shared" si="63"/>
        <v>0</v>
      </c>
      <c r="O97" s="11"/>
      <c r="P97" s="6">
        <v>65.099999999999994</v>
      </c>
      <c r="Q97" s="2"/>
      <c r="R97" s="7">
        <f t="shared" si="64"/>
        <v>3.9750036869533031E-5</v>
      </c>
      <c r="S97" s="2"/>
      <c r="T97" s="6"/>
      <c r="U97" s="2"/>
      <c r="V97" s="7">
        <f t="shared" si="65"/>
        <v>0</v>
      </c>
      <c r="W97" s="2"/>
      <c r="X97" s="6">
        <f t="shared" si="66"/>
        <v>65.099999999999994</v>
      </c>
      <c r="Y97" s="2"/>
      <c r="Z97" s="7">
        <f t="shared" si="67"/>
        <v>0</v>
      </c>
    </row>
    <row r="98" spans="1:26" s="29" customFormat="1" outlineLevel="1" collapsed="1" x14ac:dyDescent="0.3">
      <c r="A98" s="28"/>
      <c r="B98" s="14" t="str">
        <f>CONCATENATE("     ","Subscriptions &amp; Dues                              ")</f>
        <v xml:space="preserve">     Subscriptions &amp; Dues                              </v>
      </c>
      <c r="C98" s="14"/>
      <c r="D98" s="1">
        <f>SUM(OSRRefD22_16x_0)</f>
        <v>0</v>
      </c>
      <c r="E98" s="1"/>
      <c r="F98" s="5">
        <f t="shared" ref="F98:F100" si="68">IF(D$12=0,0,D98/D$12)</f>
        <v>0</v>
      </c>
      <c r="G98" s="1"/>
      <c r="H98" s="1">
        <f>SUM(OSRRefH22_16x_0)</f>
        <v>81</v>
      </c>
      <c r="I98" s="1"/>
      <c r="J98" s="5">
        <f t="shared" ref="J98:J100" si="69">IF(H$12=0,0,H98/H$12)</f>
        <v>4.2837877145199249E-4</v>
      </c>
      <c r="K98" s="1"/>
      <c r="L98" s="1">
        <f t="shared" ref="L98:L100" si="70">+D98-H98</f>
        <v>-81</v>
      </c>
      <c r="M98" s="1"/>
      <c r="N98" s="5">
        <f t="shared" ref="N98:N100" si="71">IF(H98=0,0,L98/H98)</f>
        <v>-1</v>
      </c>
      <c r="O98" s="14"/>
      <c r="P98" s="1">
        <f>SUM(OSRRefP22_16x_0)</f>
        <v>0</v>
      </c>
      <c r="Q98" s="1"/>
      <c r="R98" s="5">
        <f t="shared" ref="R98:R100" si="72">IF(P$12=0,0,P98/P$12)</f>
        <v>0</v>
      </c>
      <c r="S98" s="1"/>
      <c r="T98" s="1">
        <f>SUM(OSRRefT22_16x_0)</f>
        <v>1760</v>
      </c>
      <c r="U98" s="1"/>
      <c r="V98" s="5">
        <f t="shared" ref="V98:V100" si="73">IF(T$12=0,0,T98/T$12)</f>
        <v>1.2812887435143857E-3</v>
      </c>
      <c r="W98" s="1"/>
      <c r="X98" s="1">
        <f t="shared" ref="X98:X100" si="74">+P98-T98</f>
        <v>-1760</v>
      </c>
      <c r="Y98" s="1"/>
      <c r="Z98" s="5">
        <f t="shared" ref="Z98:Z100" si="75">IF(T98=0,0,X98/T98)</f>
        <v>-1</v>
      </c>
    </row>
    <row r="99" spans="1:26" s="24" customFormat="1" hidden="1" outlineLevel="2" x14ac:dyDescent="0.3">
      <c r="A99" s="27"/>
      <c r="B99" s="11" t="str">
        <f>CONCATENATE("          ", "6258", " - ", "MEMBERSHIP DUES")</f>
        <v xml:space="preserve">          6258 - MEMBERSHIP DUES</v>
      </c>
      <c r="C99" s="11"/>
      <c r="D99" s="6"/>
      <c r="E99" s="2"/>
      <c r="F99" s="7">
        <f t="shared" si="68"/>
        <v>0</v>
      </c>
      <c r="G99" s="2"/>
      <c r="H99" s="6">
        <v>0</v>
      </c>
      <c r="I99" s="2"/>
      <c r="J99" s="7">
        <f t="shared" si="69"/>
        <v>0</v>
      </c>
      <c r="K99" s="2"/>
      <c r="L99" s="6">
        <f t="shared" si="70"/>
        <v>0</v>
      </c>
      <c r="M99" s="2"/>
      <c r="N99" s="7">
        <f t="shared" si="71"/>
        <v>0</v>
      </c>
      <c r="O99" s="11"/>
      <c r="P99" s="6"/>
      <c r="Q99" s="2"/>
      <c r="R99" s="7">
        <f t="shared" si="72"/>
        <v>0</v>
      </c>
      <c r="S99" s="2"/>
      <c r="T99" s="6">
        <v>1395</v>
      </c>
      <c r="U99" s="2"/>
      <c r="V99" s="7">
        <f t="shared" si="73"/>
        <v>1.0155669302287318E-3</v>
      </c>
      <c r="W99" s="2"/>
      <c r="X99" s="6">
        <f t="shared" si="74"/>
        <v>-1395</v>
      </c>
      <c r="Y99" s="2"/>
      <c r="Z99" s="7">
        <f t="shared" si="75"/>
        <v>-1</v>
      </c>
    </row>
    <row r="100" spans="1:26" s="24" customFormat="1" hidden="1" outlineLevel="2" x14ac:dyDescent="0.3">
      <c r="A100" s="27"/>
      <c r="B100" s="11" t="str">
        <f>CONCATENATE("          ", "6275", " - ", "SUBSCRIPTIONS")</f>
        <v xml:space="preserve">          6275 - SUBSCRIPTIONS</v>
      </c>
      <c r="C100" s="11"/>
      <c r="D100" s="6"/>
      <c r="E100" s="2"/>
      <c r="F100" s="7">
        <f t="shared" si="68"/>
        <v>0</v>
      </c>
      <c r="G100" s="2"/>
      <c r="H100" s="6">
        <v>81</v>
      </c>
      <c r="I100" s="2"/>
      <c r="J100" s="7">
        <f t="shared" si="69"/>
        <v>4.2837877145199249E-4</v>
      </c>
      <c r="K100" s="2"/>
      <c r="L100" s="6">
        <f t="shared" si="70"/>
        <v>-81</v>
      </c>
      <c r="M100" s="2"/>
      <c r="N100" s="7">
        <f t="shared" si="71"/>
        <v>-1</v>
      </c>
      <c r="O100" s="11"/>
      <c r="P100" s="6"/>
      <c r="Q100" s="2"/>
      <c r="R100" s="7">
        <f t="shared" si="72"/>
        <v>0</v>
      </c>
      <c r="S100" s="2"/>
      <c r="T100" s="6">
        <v>365</v>
      </c>
      <c r="U100" s="2"/>
      <c r="V100" s="7">
        <f t="shared" si="73"/>
        <v>2.6572181328565384E-4</v>
      </c>
      <c r="W100" s="2"/>
      <c r="X100" s="6">
        <f t="shared" si="74"/>
        <v>-365</v>
      </c>
      <c r="Y100" s="2"/>
      <c r="Z100" s="7">
        <f t="shared" si="75"/>
        <v>-1</v>
      </c>
    </row>
    <row r="101" spans="1:26" s="29" customFormat="1" outlineLevel="1" collapsed="1" x14ac:dyDescent="0.3">
      <c r="A101" s="28"/>
      <c r="B101" s="14" t="str">
        <f>CONCATENATE("     ","Supplies                                          ")</f>
        <v xml:space="preserve">     Supplies                                          </v>
      </c>
      <c r="C101" s="14"/>
      <c r="D101" s="1">
        <f>SUM(OSRRefD22_17x_0)</f>
        <v>162.06</v>
      </c>
      <c r="E101" s="1"/>
      <c r="F101" s="5">
        <f t="shared" ref="F101:F105" si="76">IF(D$12=0,0,D101/D$12)</f>
        <v>6.1088287502605182E-4</v>
      </c>
      <c r="G101" s="1"/>
      <c r="H101" s="1">
        <f>SUM(OSRRefH22_17x_0)</f>
        <v>105</v>
      </c>
      <c r="I101" s="1"/>
      <c r="J101" s="5">
        <f t="shared" ref="J101:J105" si="77">IF(H$12=0,0,H101/H$12)</f>
        <v>5.5530581484517546E-4</v>
      </c>
      <c r="K101" s="1"/>
      <c r="L101" s="1">
        <f t="shared" ref="L101:L105" si="78">+D101-H101</f>
        <v>57.06</v>
      </c>
      <c r="M101" s="1"/>
      <c r="N101" s="5">
        <f t="shared" ref="N101:N105" si="79">IF(H101=0,0,L101/H101)</f>
        <v>0.54342857142857148</v>
      </c>
      <c r="O101" s="14"/>
      <c r="P101" s="1">
        <f>SUM(OSRRefP22_17x_0)</f>
        <v>7634.82</v>
      </c>
      <c r="Q101" s="1"/>
      <c r="R101" s="5">
        <f t="shared" ref="R101:R105" si="80">IF(P$12=0,0,P101/P$12)</f>
        <v>4.6618183792972081E-3</v>
      </c>
      <c r="S101" s="1"/>
      <c r="T101" s="1">
        <f>SUM(OSRRefT22_17x_0)</f>
        <v>565</v>
      </c>
      <c r="U101" s="1"/>
      <c r="V101" s="5">
        <f t="shared" ref="V101:V105" si="81">IF(T$12=0,0,T101/T$12)</f>
        <v>4.1132280686683408E-4</v>
      </c>
      <c r="W101" s="1"/>
      <c r="X101" s="1">
        <f t="shared" ref="X101:X105" si="82">+P101-T101</f>
        <v>7069.82</v>
      </c>
      <c r="Y101" s="1"/>
      <c r="Z101" s="5">
        <f t="shared" ref="Z101:Z105" si="83">IF(T101=0,0,X101/T101)</f>
        <v>12.512955752212388</v>
      </c>
    </row>
    <row r="102" spans="1:26" s="24" customFormat="1" hidden="1" outlineLevel="2" x14ac:dyDescent="0.3">
      <c r="A102" s="27"/>
      <c r="B102" s="11" t="str">
        <f>CONCATENATE("          ", "6235", " - ", "COVID-19 EXPENSES")</f>
        <v xml:space="preserve">          6235 - COVID-19 EXPENSES</v>
      </c>
      <c r="C102" s="11"/>
      <c r="D102" s="6"/>
      <c r="E102" s="2"/>
      <c r="F102" s="7">
        <f t="shared" si="76"/>
        <v>0</v>
      </c>
      <c r="G102" s="2"/>
      <c r="H102" s="6">
        <v>0</v>
      </c>
      <c r="I102" s="2"/>
      <c r="J102" s="7">
        <f t="shared" si="77"/>
        <v>0</v>
      </c>
      <c r="K102" s="2"/>
      <c r="L102" s="6">
        <f t="shared" si="78"/>
        <v>0</v>
      </c>
      <c r="M102" s="2"/>
      <c r="N102" s="7">
        <f t="shared" si="79"/>
        <v>0</v>
      </c>
      <c r="O102" s="11"/>
      <c r="P102" s="6"/>
      <c r="Q102" s="2"/>
      <c r="R102" s="7">
        <f t="shared" si="80"/>
        <v>0</v>
      </c>
      <c r="S102" s="2"/>
      <c r="T102" s="6">
        <v>0</v>
      </c>
      <c r="U102" s="2"/>
      <c r="V102" s="7">
        <f t="shared" si="81"/>
        <v>0</v>
      </c>
      <c r="W102" s="2"/>
      <c r="X102" s="6">
        <f t="shared" si="82"/>
        <v>0</v>
      </c>
      <c r="Y102" s="2"/>
      <c r="Z102" s="7">
        <f t="shared" si="83"/>
        <v>0</v>
      </c>
    </row>
    <row r="103" spans="1:26" s="24" customFormat="1" hidden="1" outlineLevel="2" x14ac:dyDescent="0.3">
      <c r="A103" s="27"/>
      <c r="B103" s="11" t="str">
        <f>CONCATENATE("          ", "6237", " - ", "JANITORIAL SUPPLIES")</f>
        <v xml:space="preserve">          6237 - JANITORIAL SUPPLIES</v>
      </c>
      <c r="C103" s="11"/>
      <c r="D103" s="6"/>
      <c r="E103" s="2"/>
      <c r="F103" s="7">
        <f t="shared" si="76"/>
        <v>0</v>
      </c>
      <c r="G103" s="2"/>
      <c r="H103" s="6">
        <v>10</v>
      </c>
      <c r="I103" s="2"/>
      <c r="J103" s="7">
        <f t="shared" si="77"/>
        <v>5.2886268080492899E-5</v>
      </c>
      <c r="K103" s="2"/>
      <c r="L103" s="6">
        <f t="shared" si="78"/>
        <v>-10</v>
      </c>
      <c r="M103" s="2"/>
      <c r="N103" s="7">
        <f t="shared" si="79"/>
        <v>-1</v>
      </c>
      <c r="O103" s="11"/>
      <c r="P103" s="6">
        <v>77.17</v>
      </c>
      <c r="Q103" s="2"/>
      <c r="R103" s="7">
        <f t="shared" si="80"/>
        <v>4.7119974580981022E-5</v>
      </c>
      <c r="S103" s="2"/>
      <c r="T103" s="6">
        <v>90</v>
      </c>
      <c r="U103" s="2"/>
      <c r="V103" s="7">
        <f t="shared" si="81"/>
        <v>6.552044711153109E-5</v>
      </c>
      <c r="W103" s="2"/>
      <c r="X103" s="6">
        <f t="shared" si="82"/>
        <v>-12.829999999999998</v>
      </c>
      <c r="Y103" s="2"/>
      <c r="Z103" s="7">
        <f t="shared" si="83"/>
        <v>-0.14255555555555555</v>
      </c>
    </row>
    <row r="104" spans="1:26" s="24" customFormat="1" hidden="1" outlineLevel="2" x14ac:dyDescent="0.3">
      <c r="A104" s="27"/>
      <c r="B104" s="11" t="str">
        <f>CONCATENATE("          ", "6241", " - ", "OFFICE EXPENSE")</f>
        <v xml:space="preserve">          6241 - OFFICE EXPENSE</v>
      </c>
      <c r="C104" s="11"/>
      <c r="D104" s="6">
        <v>164.36</v>
      </c>
      <c r="E104" s="2"/>
      <c r="F104" s="7">
        <f t="shared" si="76"/>
        <v>6.195526924551517E-4</v>
      </c>
      <c r="G104" s="2"/>
      <c r="H104" s="6">
        <v>45</v>
      </c>
      <c r="I104" s="2"/>
      <c r="J104" s="7">
        <f t="shared" si="77"/>
        <v>2.3798820636221804E-4</v>
      </c>
      <c r="K104" s="2"/>
      <c r="L104" s="6">
        <f t="shared" si="78"/>
        <v>119.36000000000001</v>
      </c>
      <c r="M104" s="2"/>
      <c r="N104" s="7">
        <f t="shared" si="79"/>
        <v>2.6524444444444448</v>
      </c>
      <c r="O104" s="11"/>
      <c r="P104" s="6">
        <v>927.48</v>
      </c>
      <c r="Q104" s="2"/>
      <c r="R104" s="7">
        <f t="shared" si="80"/>
        <v>5.6631895846013061E-4</v>
      </c>
      <c r="S104" s="2"/>
      <c r="T104" s="6">
        <v>225</v>
      </c>
      <c r="U104" s="2"/>
      <c r="V104" s="7">
        <f t="shared" si="81"/>
        <v>1.6380111777882772E-4</v>
      </c>
      <c r="W104" s="2"/>
      <c r="X104" s="6">
        <f t="shared" si="82"/>
        <v>702.48</v>
      </c>
      <c r="Y104" s="2"/>
      <c r="Z104" s="7">
        <f t="shared" si="83"/>
        <v>3.1221333333333332</v>
      </c>
    </row>
    <row r="105" spans="1:26" s="24" customFormat="1" hidden="1" outlineLevel="2" x14ac:dyDescent="0.3">
      <c r="A105" s="27"/>
      <c r="B105" s="11" t="str">
        <f>CONCATENATE("          ", "6247", " - ", "STORE SUPPLIES")</f>
        <v xml:space="preserve">          6247 - STORE SUPPLIES</v>
      </c>
      <c r="C105" s="11"/>
      <c r="D105" s="6">
        <v>-2.2999999999999998</v>
      </c>
      <c r="E105" s="2"/>
      <c r="F105" s="7">
        <f t="shared" si="76"/>
        <v>-8.669817429099833E-6</v>
      </c>
      <c r="G105" s="2"/>
      <c r="H105" s="6">
        <v>50</v>
      </c>
      <c r="I105" s="2"/>
      <c r="J105" s="7">
        <f t="shared" si="77"/>
        <v>2.6443134040246449E-4</v>
      </c>
      <c r="K105" s="2"/>
      <c r="L105" s="6">
        <f t="shared" si="78"/>
        <v>-52.3</v>
      </c>
      <c r="M105" s="2"/>
      <c r="N105" s="7">
        <f t="shared" si="79"/>
        <v>-1.046</v>
      </c>
      <c r="O105" s="11"/>
      <c r="P105" s="6">
        <v>6630.17</v>
      </c>
      <c r="Q105" s="2"/>
      <c r="R105" s="7">
        <f t="shared" si="80"/>
        <v>4.0483794462560967E-3</v>
      </c>
      <c r="S105" s="2"/>
      <c r="T105" s="6">
        <v>250</v>
      </c>
      <c r="U105" s="2"/>
      <c r="V105" s="7">
        <f t="shared" si="81"/>
        <v>1.8200124197647526E-4</v>
      </c>
      <c r="W105" s="2"/>
      <c r="X105" s="6">
        <f t="shared" si="82"/>
        <v>6380.17</v>
      </c>
      <c r="Y105" s="2"/>
      <c r="Z105" s="7">
        <f t="shared" si="83"/>
        <v>25.520679999999999</v>
      </c>
    </row>
    <row r="106" spans="1:26" s="29" customFormat="1" outlineLevel="1" collapsed="1" x14ac:dyDescent="0.3">
      <c r="A106" s="28"/>
      <c r="B106" s="14" t="str">
        <f>CONCATENATE("     ","Telephone/Data Lines                              ")</f>
        <v xml:space="preserve">     Telephone/Data Lines                              </v>
      </c>
      <c r="C106" s="14"/>
      <c r="D106" s="1">
        <f>SUM(OSRRefD22_18x_0)</f>
        <v>546.69000000000005</v>
      </c>
      <c r="E106" s="1"/>
      <c r="F106" s="5">
        <f t="shared" ref="F106:F110" si="84">IF(D$12=0,0,D106/D$12)</f>
        <v>2.0607402131802557E-3</v>
      </c>
      <c r="G106" s="1"/>
      <c r="H106" s="1">
        <f>SUM(OSRRefH22_18x_0)</f>
        <v>550</v>
      </c>
      <c r="I106" s="1"/>
      <c r="J106" s="5">
        <f t="shared" ref="J106:J110" si="85">IF(H$12=0,0,H106/H$12)</f>
        <v>2.9087447444271094E-3</v>
      </c>
      <c r="K106" s="1"/>
      <c r="L106" s="1">
        <f t="shared" ref="L106:L110" si="86">+D106-H106</f>
        <v>-3.3099999999999454</v>
      </c>
      <c r="M106" s="1"/>
      <c r="N106" s="5">
        <f t="shared" ref="N106:N110" si="87">IF(H106=0,0,L106/H106)</f>
        <v>-6.0181818181817186E-3</v>
      </c>
      <c r="O106" s="14"/>
      <c r="P106" s="1">
        <f>SUM(OSRRefP22_18x_0)</f>
        <v>2623.65</v>
      </c>
      <c r="Q106" s="1"/>
      <c r="R106" s="5">
        <f t="shared" ref="R106:R110" si="88">IF(P$12=0,0,P106/P$12)</f>
        <v>1.6019997577995447E-3</v>
      </c>
      <c r="S106" s="1"/>
      <c r="T106" s="1">
        <f>SUM(OSRRefT22_18x_0)</f>
        <v>2750</v>
      </c>
      <c r="U106" s="1"/>
      <c r="V106" s="5">
        <f t="shared" ref="V106:V110" si="89">IF(T$12=0,0,T106/T$12)</f>
        <v>2.0020136617412278E-3</v>
      </c>
      <c r="W106" s="1"/>
      <c r="X106" s="1">
        <f t="shared" ref="X106:X110" si="90">+P106-T106</f>
        <v>-126.34999999999991</v>
      </c>
      <c r="Y106" s="1"/>
      <c r="Z106" s="5">
        <f t="shared" ref="Z106:Z110" si="91">IF(T106=0,0,X106/T106)</f>
        <v>-4.5945454545454512E-2</v>
      </c>
    </row>
    <row r="107" spans="1:26" s="24" customFormat="1" hidden="1" outlineLevel="2" x14ac:dyDescent="0.3">
      <c r="A107" s="27"/>
      <c r="B107" s="11" t="str">
        <f>CONCATENATE("          ", "6309", " - ", "TELEPHONE")</f>
        <v xml:space="preserve">          6309 - TELEPHONE</v>
      </c>
      <c r="C107" s="11"/>
      <c r="D107" s="6">
        <v>546.69000000000005</v>
      </c>
      <c r="E107" s="2"/>
      <c r="F107" s="7">
        <f t="shared" si="84"/>
        <v>2.0607402131802557E-3</v>
      </c>
      <c r="G107" s="2"/>
      <c r="H107" s="6">
        <v>550</v>
      </c>
      <c r="I107" s="2"/>
      <c r="J107" s="7">
        <f t="shared" si="85"/>
        <v>2.9087447444271094E-3</v>
      </c>
      <c r="K107" s="2"/>
      <c r="L107" s="6">
        <f t="shared" si="86"/>
        <v>-3.3099999999999454</v>
      </c>
      <c r="M107" s="2"/>
      <c r="N107" s="7">
        <f t="shared" si="87"/>
        <v>-6.0181818181817186E-3</v>
      </c>
      <c r="O107" s="11"/>
      <c r="P107" s="6">
        <v>2623.65</v>
      </c>
      <c r="Q107" s="2"/>
      <c r="R107" s="7">
        <f t="shared" si="88"/>
        <v>1.6019997577995447E-3</v>
      </c>
      <c r="S107" s="2"/>
      <c r="T107" s="6">
        <v>2750</v>
      </c>
      <c r="U107" s="2"/>
      <c r="V107" s="7">
        <f t="shared" si="89"/>
        <v>2.0020136617412278E-3</v>
      </c>
      <c r="W107" s="2"/>
      <c r="X107" s="6">
        <f t="shared" si="90"/>
        <v>-126.34999999999991</v>
      </c>
      <c r="Y107" s="2"/>
      <c r="Z107" s="7">
        <f t="shared" si="91"/>
        <v>-4.5945454545454512E-2</v>
      </c>
    </row>
    <row r="108" spans="1:26" s="29" customFormat="1" outlineLevel="1" collapsed="1" x14ac:dyDescent="0.3">
      <c r="A108" s="28"/>
      <c r="B108" s="14" t="str">
        <f>CONCATENATE("     ","Travel                                            ")</f>
        <v xml:space="preserve">     Travel                                            </v>
      </c>
      <c r="C108" s="14"/>
      <c r="D108" s="1">
        <f>SUM(OSRRefD22_19x_0)</f>
        <v>0</v>
      </c>
      <c r="E108" s="1"/>
      <c r="F108" s="5">
        <f t="shared" si="84"/>
        <v>0</v>
      </c>
      <c r="G108" s="1"/>
      <c r="H108" s="1">
        <f>SUM(OSRRefH22_19x_0)</f>
        <v>125</v>
      </c>
      <c r="I108" s="1"/>
      <c r="J108" s="5">
        <f t="shared" si="85"/>
        <v>6.6107835100616126E-4</v>
      </c>
      <c r="K108" s="1"/>
      <c r="L108" s="1">
        <f t="shared" si="86"/>
        <v>-125</v>
      </c>
      <c r="M108" s="1"/>
      <c r="N108" s="5">
        <f t="shared" si="87"/>
        <v>-1</v>
      </c>
      <c r="O108" s="14"/>
      <c r="P108" s="1">
        <f>SUM(OSRRefP22_19x_0)</f>
        <v>215.53</v>
      </c>
      <c r="Q108" s="1"/>
      <c r="R108" s="5">
        <f t="shared" si="88"/>
        <v>1.3160254142074432E-4</v>
      </c>
      <c r="S108" s="1"/>
      <c r="T108" s="1">
        <f>SUM(OSRRefT22_19x_0)</f>
        <v>325</v>
      </c>
      <c r="U108" s="1"/>
      <c r="V108" s="5">
        <f t="shared" si="89"/>
        <v>2.3660161456941781E-4</v>
      </c>
      <c r="W108" s="1"/>
      <c r="X108" s="1">
        <f t="shared" si="90"/>
        <v>-109.47</v>
      </c>
      <c r="Y108" s="1"/>
      <c r="Z108" s="5">
        <f t="shared" si="91"/>
        <v>-0.33683076923076921</v>
      </c>
    </row>
    <row r="109" spans="1:26" s="24" customFormat="1" hidden="1" outlineLevel="2" x14ac:dyDescent="0.3">
      <c r="A109" s="27"/>
      <c r="B109" s="11" t="str">
        <f>CONCATENATE("          ", "6294", " - ", "TRAVEL OPERATIONAL")</f>
        <v xml:space="preserve">          6294 - TRAVEL OPERATIONAL</v>
      </c>
      <c r="C109" s="11"/>
      <c r="D109" s="6"/>
      <c r="E109" s="2"/>
      <c r="F109" s="7">
        <f t="shared" si="84"/>
        <v>0</v>
      </c>
      <c r="G109" s="2"/>
      <c r="H109" s="6">
        <v>25</v>
      </c>
      <c r="I109" s="2"/>
      <c r="J109" s="7">
        <f t="shared" si="85"/>
        <v>1.3221567020123225E-4</v>
      </c>
      <c r="K109" s="2"/>
      <c r="L109" s="6">
        <f t="shared" si="86"/>
        <v>-25</v>
      </c>
      <c r="M109" s="2"/>
      <c r="N109" s="7">
        <f t="shared" si="87"/>
        <v>-1</v>
      </c>
      <c r="O109" s="11"/>
      <c r="P109" s="6">
        <v>215.53</v>
      </c>
      <c r="Q109" s="2"/>
      <c r="R109" s="7">
        <f t="shared" si="88"/>
        <v>1.3160254142074432E-4</v>
      </c>
      <c r="S109" s="2"/>
      <c r="T109" s="6">
        <v>125</v>
      </c>
      <c r="U109" s="2"/>
      <c r="V109" s="7">
        <f t="shared" si="89"/>
        <v>9.1000620988237628E-5</v>
      </c>
      <c r="W109" s="2"/>
      <c r="X109" s="6">
        <f t="shared" si="90"/>
        <v>90.53</v>
      </c>
      <c r="Y109" s="2"/>
      <c r="Z109" s="7">
        <f t="shared" si="91"/>
        <v>0.72423999999999999</v>
      </c>
    </row>
    <row r="110" spans="1:26" s="24" customFormat="1" hidden="1" outlineLevel="2" x14ac:dyDescent="0.3">
      <c r="A110" s="27"/>
      <c r="B110" s="11" t="str">
        <f>CONCATENATE("          ", "6298", " - ", "VEHICLE MILEAGE")</f>
        <v xml:space="preserve">          6298 - VEHICLE MILEAGE</v>
      </c>
      <c r="C110" s="11"/>
      <c r="D110" s="6"/>
      <c r="E110" s="2"/>
      <c r="F110" s="7">
        <f t="shared" si="84"/>
        <v>0</v>
      </c>
      <c r="G110" s="2"/>
      <c r="H110" s="6">
        <v>100</v>
      </c>
      <c r="I110" s="2"/>
      <c r="J110" s="7">
        <f t="shared" si="85"/>
        <v>5.2886268080492899E-4</v>
      </c>
      <c r="K110" s="2"/>
      <c r="L110" s="6">
        <f t="shared" si="86"/>
        <v>-100</v>
      </c>
      <c r="M110" s="2"/>
      <c r="N110" s="7">
        <f t="shared" si="87"/>
        <v>-1</v>
      </c>
      <c r="O110" s="11"/>
      <c r="P110" s="6"/>
      <c r="Q110" s="2"/>
      <c r="R110" s="7">
        <f t="shared" si="88"/>
        <v>0</v>
      </c>
      <c r="S110" s="2"/>
      <c r="T110" s="6">
        <v>200</v>
      </c>
      <c r="U110" s="2"/>
      <c r="V110" s="7">
        <f t="shared" si="89"/>
        <v>1.4560099358118021E-4</v>
      </c>
      <c r="W110" s="2"/>
      <c r="X110" s="6">
        <f t="shared" si="90"/>
        <v>-200</v>
      </c>
      <c r="Y110" s="2"/>
      <c r="Z110" s="7">
        <f t="shared" si="91"/>
        <v>-1</v>
      </c>
    </row>
    <row r="111" spans="1:26" s="29" customFormat="1" outlineLevel="1" collapsed="1" x14ac:dyDescent="0.3">
      <c r="A111" s="28"/>
      <c r="B111" s="14" t="str">
        <f>CONCATENATE("     ","Utilities                                         ")</f>
        <v xml:space="preserve">     Utilities                                         </v>
      </c>
      <c r="C111" s="14"/>
      <c r="D111" s="1">
        <f>SUM(OSRRefD22_20x_0)</f>
        <v>33.61</v>
      </c>
      <c r="E111" s="1"/>
      <c r="F111" s="5">
        <f t="shared" ref="F111:F112" si="92">IF(D$12=0,0,D111/D$12)</f>
        <v>1.2669241904001975E-4</v>
      </c>
      <c r="G111" s="1"/>
      <c r="H111" s="1">
        <f>SUM(OSRRefH22_20x_0)</f>
        <v>120</v>
      </c>
      <c r="I111" s="1"/>
      <c r="J111" s="5">
        <f t="shared" ref="J111:J112" si="93">IF(H$12=0,0,H111/H$12)</f>
        <v>6.3463521696591478E-4</v>
      </c>
      <c r="K111" s="1"/>
      <c r="L111" s="1">
        <f t="shared" ref="L111:L112" si="94">+D111-H111</f>
        <v>-86.39</v>
      </c>
      <c r="M111" s="1"/>
      <c r="N111" s="5">
        <f t="shared" ref="N111:N112" si="95">IF(H111=0,0,L111/H111)</f>
        <v>-0.71991666666666665</v>
      </c>
      <c r="O111" s="14"/>
      <c r="P111" s="1">
        <f>SUM(OSRRefP22_20x_0)</f>
        <v>183.59</v>
      </c>
      <c r="Q111" s="1"/>
      <c r="R111" s="5">
        <f t="shared" ref="R111:R112" si="96">IF(P$12=0,0,P111/P$12)</f>
        <v>1.1209998876924072E-4</v>
      </c>
      <c r="S111" s="1"/>
      <c r="T111" s="1">
        <f>SUM(OSRRefT22_20x_0)</f>
        <v>600</v>
      </c>
      <c r="U111" s="1"/>
      <c r="V111" s="5">
        <f t="shared" ref="V111:V112" si="97">IF(T$12=0,0,T111/T$12)</f>
        <v>4.368029807435406E-4</v>
      </c>
      <c r="W111" s="1"/>
      <c r="X111" s="1">
        <f t="shared" ref="X111:X112" si="98">+P111-T111</f>
        <v>-416.40999999999997</v>
      </c>
      <c r="Y111" s="1"/>
      <c r="Z111" s="5">
        <f t="shared" ref="Z111:Z112" si="99">IF(T111=0,0,X111/T111)</f>
        <v>-0.69401666666666662</v>
      </c>
    </row>
    <row r="112" spans="1:26" s="24" customFormat="1" hidden="1" outlineLevel="2" x14ac:dyDescent="0.3">
      <c r="A112" s="27"/>
      <c r="B112" s="11" t="str">
        <f>CONCATENATE("          ", "6274", " - ", "UTILITIES")</f>
        <v xml:space="preserve">          6274 - UTILITIES</v>
      </c>
      <c r="C112" s="11"/>
      <c r="D112" s="6">
        <v>33.61</v>
      </c>
      <c r="E112" s="2"/>
      <c r="F112" s="7">
        <f t="shared" si="92"/>
        <v>1.2669241904001975E-4</v>
      </c>
      <c r="G112" s="2"/>
      <c r="H112" s="6">
        <v>120</v>
      </c>
      <c r="I112" s="2"/>
      <c r="J112" s="7">
        <f t="shared" si="93"/>
        <v>6.3463521696591478E-4</v>
      </c>
      <c r="K112" s="2"/>
      <c r="L112" s="6">
        <f t="shared" si="94"/>
        <v>-86.39</v>
      </c>
      <c r="M112" s="2"/>
      <c r="N112" s="7">
        <f t="shared" si="95"/>
        <v>-0.71991666666666665</v>
      </c>
      <c r="O112" s="11"/>
      <c r="P112" s="6">
        <v>183.59</v>
      </c>
      <c r="Q112" s="2"/>
      <c r="R112" s="7">
        <f t="shared" si="96"/>
        <v>1.1209998876924072E-4</v>
      </c>
      <c r="S112" s="2"/>
      <c r="T112" s="6">
        <v>600</v>
      </c>
      <c r="U112" s="2"/>
      <c r="V112" s="7">
        <f t="shared" si="97"/>
        <v>4.368029807435406E-4</v>
      </c>
      <c r="W112" s="2"/>
      <c r="X112" s="6">
        <f t="shared" si="98"/>
        <v>-416.40999999999997</v>
      </c>
      <c r="Y112" s="2"/>
      <c r="Z112" s="7">
        <f t="shared" si="99"/>
        <v>-0.69401666666666662</v>
      </c>
    </row>
    <row r="113" spans="1:26" s="63" customFormat="1" x14ac:dyDescent="0.3">
      <c r="A113" s="36"/>
      <c r="B113" s="36"/>
      <c r="C113" s="36"/>
      <c r="D113" s="1"/>
      <c r="E113" s="1"/>
      <c r="F113" s="5"/>
      <c r="G113" s="1"/>
      <c r="H113" s="1"/>
      <c r="I113" s="1"/>
      <c r="J113" s="5"/>
      <c r="K113" s="1"/>
      <c r="L113" s="1"/>
      <c r="M113" s="1"/>
      <c r="N113" s="5"/>
      <c r="O113" s="36"/>
      <c r="P113" s="1"/>
      <c r="Q113" s="1"/>
      <c r="R113" s="5"/>
      <c r="S113" s="1"/>
      <c r="T113" s="1"/>
      <c r="U113" s="1"/>
      <c r="V113" s="5"/>
      <c r="W113" s="1"/>
      <c r="X113" s="1"/>
      <c r="Y113" s="1"/>
      <c r="Z113" s="5"/>
    </row>
    <row r="114" spans="1:26" s="23" customFormat="1" collapsed="1" x14ac:dyDescent="0.3">
      <c r="A114" s="10"/>
      <c r="B114" s="25" t="s">
        <v>293</v>
      </c>
      <c r="C114" s="10"/>
      <c r="D114" s="4">
        <f>SUM(OSRRefD25x_0)</f>
        <v>0</v>
      </c>
      <c r="E114" s="4"/>
      <c r="F114" s="12">
        <f t="shared" ref="F114:F117" si="100">IF(D$12=0,0,D114/D$12)</f>
        <v>0</v>
      </c>
      <c r="G114" s="4"/>
      <c r="H114" s="4">
        <f>SUM(OSRRefH25x_0)</f>
        <v>0</v>
      </c>
      <c r="I114" s="4"/>
      <c r="J114" s="12">
        <f t="shared" ref="J114:J117" si="101">IF(H$12=0,0,H114/H$12)</f>
        <v>0</v>
      </c>
      <c r="K114" s="4"/>
      <c r="L114" s="4">
        <f t="shared" ref="L114:L117" si="102">+D114-H114</f>
        <v>0</v>
      </c>
      <c r="M114" s="4"/>
      <c r="N114" s="12">
        <f t="shared" ref="N114:N117" si="103">IF(H114=0,0,L114/H114)</f>
        <v>0</v>
      </c>
      <c r="O114" s="10"/>
      <c r="P114" s="4">
        <f>SUM(OSRRefP25x_0)</f>
        <v>119063.12</v>
      </c>
      <c r="Q114" s="4"/>
      <c r="R114" s="12">
        <f t="shared" ref="R114:R117" si="104">IF(P$12=0,0,P114/P$12)</f>
        <v>7.2699898768074284E-2</v>
      </c>
      <c r="S114" s="4"/>
      <c r="T114" s="4">
        <f>SUM(OSRRefT25x_0)</f>
        <v>32324</v>
      </c>
      <c r="U114" s="4"/>
      <c r="V114" s="12">
        <f t="shared" ref="V114:V117" si="105">IF(T$12=0,0,T114/T$12)</f>
        <v>2.3532032582590342E-2</v>
      </c>
      <c r="W114" s="4"/>
      <c r="X114" s="4">
        <f t="shared" ref="X114:X117" si="106">+P114-T114</f>
        <v>86739.12</v>
      </c>
      <c r="Y114" s="4"/>
      <c r="Z114" s="12">
        <f t="shared" ref="Z114:Z117" si="107">IF(T114=0,0,X114/T114)</f>
        <v>2.6834277935899022</v>
      </c>
    </row>
    <row r="115" spans="1:26" s="24" customFormat="1" hidden="1" outlineLevel="1" x14ac:dyDescent="0.3">
      <c r="A115" s="44"/>
      <c r="B115" s="11" t="str">
        <f>CONCATENATE("          ", "9150", " - ", "MISC. INCOME")</f>
        <v xml:space="preserve">          9150 - MISC. INCOME</v>
      </c>
      <c r="C115" s="11"/>
      <c r="D115" s="2">
        <f t="shared" ref="D115:D117" si="108">0</f>
        <v>0</v>
      </c>
      <c r="E115" s="2"/>
      <c r="F115" s="19">
        <f t="shared" si="100"/>
        <v>0</v>
      </c>
      <c r="G115" s="2"/>
      <c r="H115" s="2">
        <v>0</v>
      </c>
      <c r="I115" s="2"/>
      <c r="J115" s="19">
        <f t="shared" si="101"/>
        <v>0</v>
      </c>
      <c r="K115" s="2"/>
      <c r="L115" s="2">
        <f t="shared" si="102"/>
        <v>0</v>
      </c>
      <c r="M115" s="2"/>
      <c r="N115" s="19">
        <f t="shared" si="103"/>
        <v>0</v>
      </c>
      <c r="O115" s="11"/>
      <c r="P115" s="2">
        <f>--46314.92</f>
        <v>46314.92</v>
      </c>
      <c r="Q115" s="2"/>
      <c r="R115" s="19">
        <f t="shared" si="104"/>
        <v>2.8279873695998051E-2</v>
      </c>
      <c r="S115" s="2"/>
      <c r="T115" s="2">
        <v>32324</v>
      </c>
      <c r="U115" s="2"/>
      <c r="V115" s="19">
        <f t="shared" si="105"/>
        <v>2.3532032582590342E-2</v>
      </c>
      <c r="W115" s="2"/>
      <c r="X115" s="2">
        <f t="shared" si="106"/>
        <v>13990.919999999998</v>
      </c>
      <c r="Y115" s="2"/>
      <c r="Z115" s="19">
        <f t="shared" si="107"/>
        <v>0.43283380769706714</v>
      </c>
    </row>
    <row r="116" spans="1:26" s="24" customFormat="1" hidden="1" outlineLevel="1" x14ac:dyDescent="0.3">
      <c r="A116" s="44"/>
      <c r="B116" s="11" t="str">
        <f>CONCATENATE("          ", "9160", " - ", "MISC. INCOME")</f>
        <v xml:space="preserve">          9160 - MISC. INCOME</v>
      </c>
      <c r="C116" s="11"/>
      <c r="D116" s="2">
        <f t="shared" si="108"/>
        <v>0</v>
      </c>
      <c r="E116" s="2"/>
      <c r="F116" s="19">
        <f t="shared" si="100"/>
        <v>0</v>
      </c>
      <c r="G116" s="2"/>
      <c r="H116" s="2"/>
      <c r="I116" s="2"/>
      <c r="J116" s="19">
        <f t="shared" si="101"/>
        <v>0</v>
      </c>
      <c r="K116" s="2"/>
      <c r="L116" s="2">
        <f t="shared" si="102"/>
        <v>0</v>
      </c>
      <c r="M116" s="2"/>
      <c r="N116" s="19">
        <f t="shared" si="103"/>
        <v>0</v>
      </c>
      <c r="O116" s="11"/>
      <c r="P116" s="2">
        <f>0</f>
        <v>0</v>
      </c>
      <c r="Q116" s="2"/>
      <c r="R116" s="19">
        <f t="shared" si="104"/>
        <v>0</v>
      </c>
      <c r="S116" s="2"/>
      <c r="T116" s="2">
        <v>0</v>
      </c>
      <c r="U116" s="2"/>
      <c r="V116" s="19">
        <f t="shared" si="105"/>
        <v>0</v>
      </c>
      <c r="W116" s="2"/>
      <c r="X116" s="2">
        <f t="shared" si="106"/>
        <v>0</v>
      </c>
      <c r="Y116" s="2"/>
      <c r="Z116" s="19">
        <f t="shared" si="107"/>
        <v>0</v>
      </c>
    </row>
    <row r="117" spans="1:26" s="24" customFormat="1" hidden="1" outlineLevel="1" x14ac:dyDescent="0.3">
      <c r="A117" s="44"/>
      <c r="B117" s="11" t="str">
        <f>CONCATENATE("          ", "9163", " - ", "MISC. INCOME")</f>
        <v xml:space="preserve">          9163 - MISC. INCOME</v>
      </c>
      <c r="C117" s="11"/>
      <c r="D117" s="2">
        <f t="shared" si="108"/>
        <v>0</v>
      </c>
      <c r="E117" s="2"/>
      <c r="F117" s="19">
        <f t="shared" si="100"/>
        <v>0</v>
      </c>
      <c r="G117" s="2"/>
      <c r="H117" s="2"/>
      <c r="I117" s="2"/>
      <c r="J117" s="19">
        <f t="shared" si="101"/>
        <v>0</v>
      </c>
      <c r="K117" s="2"/>
      <c r="L117" s="2">
        <f t="shared" si="102"/>
        <v>0</v>
      </c>
      <c r="M117" s="2"/>
      <c r="N117" s="19">
        <f t="shared" si="103"/>
        <v>0</v>
      </c>
      <c r="O117" s="11"/>
      <c r="P117" s="2">
        <f>--72748.2</f>
        <v>72748.2</v>
      </c>
      <c r="Q117" s="2"/>
      <c r="R117" s="19">
        <f t="shared" si="104"/>
        <v>4.4420025072076243E-2</v>
      </c>
      <c r="S117" s="2"/>
      <c r="T117" s="2"/>
      <c r="U117" s="2"/>
      <c r="V117" s="19">
        <f t="shared" si="105"/>
        <v>0</v>
      </c>
      <c r="W117" s="2"/>
      <c r="X117" s="2">
        <f t="shared" si="106"/>
        <v>72748.2</v>
      </c>
      <c r="Y117" s="2"/>
      <c r="Z117" s="19">
        <f t="shared" si="107"/>
        <v>0</v>
      </c>
    </row>
    <row r="118" spans="1:26" x14ac:dyDescent="0.3">
      <c r="A118" s="9"/>
      <c r="B118" s="10"/>
      <c r="C118" s="10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O118" s="10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x14ac:dyDescent="0.3">
      <c r="A119" s="10"/>
      <c r="B119" s="26" t="s">
        <v>277</v>
      </c>
      <c r="C119" s="26"/>
      <c r="D119" s="20">
        <f>+D40-D42+D114</f>
        <v>59992.430000000051</v>
      </c>
      <c r="E119" s="13"/>
      <c r="F119" s="22">
        <f>IF(D$12=0,0,D119/D$12)</f>
        <v>0.22614061531654442</v>
      </c>
      <c r="G119" s="13"/>
      <c r="H119" s="20">
        <f>+H40-H42+H114</f>
        <v>-4233.4965176923288</v>
      </c>
      <c r="I119" s="13"/>
      <c r="J119" s="22">
        <f>IF(H$12=0,0,H119/H$12)</f>
        <v>-2.2389383175250965E-2</v>
      </c>
      <c r="K119" s="15"/>
      <c r="L119" s="20">
        <f>+D119-H119</f>
        <v>64225.92651769238</v>
      </c>
      <c r="M119" s="15"/>
      <c r="N119" s="22">
        <f>IF(H119=0,0,L119/H119)</f>
        <v>-15.17089390514057</v>
      </c>
      <c r="O119" s="25"/>
      <c r="P119" s="20">
        <f>+P40-P42+P114</f>
        <v>485023.26000000036</v>
      </c>
      <c r="Q119" s="13"/>
      <c r="R119" s="22">
        <f>IF(P$12=0,0,P119/P$12)</f>
        <v>0.29615503022398038</v>
      </c>
      <c r="S119" s="13"/>
      <c r="T119" s="20">
        <f>+T40-T42+T114</f>
        <v>156268.99822519231</v>
      </c>
      <c r="U119" s="13"/>
      <c r="V119" s="22">
        <f>IF(T$12=0,0,T119/T$12)</f>
        <v>0.11376460703761843</v>
      </c>
      <c r="W119" s="15"/>
      <c r="X119" s="20">
        <f>+P119-T119</f>
        <v>328754.26177480805</v>
      </c>
      <c r="Y119" s="15"/>
      <c r="Z119" s="22">
        <f>IF(T119=0,0,X119/T119)</f>
        <v>2.1037714806429801</v>
      </c>
    </row>
    <row r="120" spans="1:26" x14ac:dyDescent="0.3">
      <c r="A120" s="9"/>
      <c r="B120" s="10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x14ac:dyDescent="0.3">
      <c r="A121" s="52"/>
      <c r="B121" s="10" t="s">
        <v>128</v>
      </c>
      <c r="C121" s="10"/>
      <c r="D121" s="4">
        <v>36429.949999999997</v>
      </c>
      <c r="E121" s="4"/>
      <c r="F121" s="12">
        <f>IF(D$12=0,0,D121/D$12)</f>
        <v>0.13732218063097193</v>
      </c>
      <c r="G121" s="4"/>
      <c r="H121" s="4">
        <v>35509</v>
      </c>
      <c r="I121" s="4"/>
      <c r="J121" s="12">
        <f>IF(H$12=0,0,H121/H$12)</f>
        <v>0.18779384932702223</v>
      </c>
      <c r="K121" s="4"/>
      <c r="L121" s="4">
        <f>+D121-H121</f>
        <v>920.94999999999709</v>
      </c>
      <c r="M121" s="4"/>
      <c r="N121" s="12">
        <f>IF(H121=0,0,L121/H121)</f>
        <v>2.5935678278746151E-2</v>
      </c>
      <c r="O121" s="10"/>
      <c r="P121" s="4">
        <v>195073.38</v>
      </c>
      <c r="Q121" s="4"/>
      <c r="R121" s="12">
        <f>IF(P$12=0,0,P121/P$12)</f>
        <v>0.11911173651711872</v>
      </c>
      <c r="S121" s="4"/>
      <c r="T121" s="4">
        <v>171720</v>
      </c>
      <c r="U121" s="4"/>
      <c r="V121" s="12">
        <f>IF(T$12=0,0,T121/T$12)</f>
        <v>0.12501301308880131</v>
      </c>
      <c r="W121" s="4"/>
      <c r="X121" s="4">
        <f>+P121-T121</f>
        <v>23353.380000000005</v>
      </c>
      <c r="Y121" s="4"/>
      <c r="Z121" s="12">
        <f>IF(T121=0,0,X121/T121)</f>
        <v>0.13599685534591197</v>
      </c>
    </row>
    <row r="122" spans="1:26" x14ac:dyDescent="0.3">
      <c r="A122" s="9"/>
      <c r="B122" s="10"/>
      <c r="C122" s="10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O122" s="10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ht="15" thickBot="1" x14ac:dyDescent="0.35">
      <c r="A123" s="10"/>
      <c r="B123" s="26" t="s">
        <v>126</v>
      </c>
      <c r="C123" s="26"/>
      <c r="D123" s="33">
        <f>+D119-D121</f>
        <v>23562.480000000054</v>
      </c>
      <c r="E123" s="13"/>
      <c r="F123" s="34">
        <f>IF(D$12=0,0,D123/D$12)</f>
        <v>8.8818434685572489E-2</v>
      </c>
      <c r="G123" s="13"/>
      <c r="H123" s="33">
        <f>+H119-H121</f>
        <v>-39742.496517692329</v>
      </c>
      <c r="I123" s="13"/>
      <c r="J123" s="34">
        <f>IF(H$12=0,0,H123/H$12)</f>
        <v>-0.21018323250227319</v>
      </c>
      <c r="K123" s="15"/>
      <c r="L123" s="33">
        <f>D123-H123</f>
        <v>63304.976517692383</v>
      </c>
      <c r="M123" s="15"/>
      <c r="N123" s="34">
        <f>IF(H123=0,0,L123/H123)</f>
        <v>-1.5928787082993301</v>
      </c>
      <c r="O123" s="25"/>
      <c r="P123" s="33">
        <f>+P119-P121</f>
        <v>289949.88000000035</v>
      </c>
      <c r="Q123" s="13"/>
      <c r="R123" s="34">
        <f>IF(P$12=0,0,P123/P$12)</f>
        <v>0.17704329370686167</v>
      </c>
      <c r="S123" s="13"/>
      <c r="T123" s="33">
        <f>+T119-T121</f>
        <v>-15451.001774807693</v>
      </c>
      <c r="U123" s="13"/>
      <c r="V123" s="34">
        <f>IF(T$12=0,0,T123/T$12)</f>
        <v>-1.1248406051182894E-2</v>
      </c>
      <c r="W123" s="15"/>
      <c r="X123" s="33">
        <f>P123-T123</f>
        <v>305400.88177480805</v>
      </c>
      <c r="Y123" s="15"/>
      <c r="Z123" s="34">
        <f>IF(T123=0,0,X123/T123)</f>
        <v>-19.765765755897672</v>
      </c>
    </row>
    <row r="124" spans="1:26" ht="15" thickTop="1" x14ac:dyDescent="0.3">
      <c r="A124" s="9"/>
      <c r="B124" s="9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x14ac:dyDescent="0.3">
      <c r="A125" s="9"/>
      <c r="B125" s="9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ht="15" thickBot="1" x14ac:dyDescent="0.35">
      <c r="A126" s="10"/>
      <c r="B126" s="26" t="s">
        <v>294</v>
      </c>
      <c r="C126" s="26"/>
      <c r="D126" s="35">
        <f>SUM(D123:D125)</f>
        <v>23562.480000000054</v>
      </c>
      <c r="E126" s="13"/>
      <c r="F126" s="32">
        <f>IF(D$12=0,0,D126/D$12)</f>
        <v>8.8818434685572489E-2</v>
      </c>
      <c r="G126" s="13"/>
      <c r="H126" s="35">
        <f>SUM(H123:H125)</f>
        <v>-39742.496517692329</v>
      </c>
      <c r="I126" s="13"/>
      <c r="J126" s="32">
        <f>IF(H$12=0,0,H126/H$12)</f>
        <v>-0.21018323250227319</v>
      </c>
      <c r="K126" s="15"/>
      <c r="L126" s="35">
        <f>+D126-H126</f>
        <v>63304.976517692383</v>
      </c>
      <c r="M126" s="15"/>
      <c r="N126" s="32">
        <f>IF(H126=0,0,L126/H126)</f>
        <v>-1.5928787082993301</v>
      </c>
      <c r="O126" s="25"/>
      <c r="P126" s="35">
        <f>SUM(P123:P125)</f>
        <v>289949.88000000035</v>
      </c>
      <c r="Q126" s="13"/>
      <c r="R126" s="32">
        <f>IF(P$12=0,0,P126/P$12)</f>
        <v>0.17704329370686167</v>
      </c>
      <c r="S126" s="13"/>
      <c r="T126" s="35">
        <f>SUM(T123:T125)</f>
        <v>-15451.001774807693</v>
      </c>
      <c r="U126" s="13"/>
      <c r="V126" s="32">
        <f>IF(T$12=0,0,T126/T$12)</f>
        <v>-1.1248406051182894E-2</v>
      </c>
      <c r="W126" s="15"/>
      <c r="X126" s="35">
        <f>+P126-T126</f>
        <v>305400.88177480805</v>
      </c>
      <c r="Y126" s="15"/>
      <c r="Z126" s="32">
        <f>IF(T126=0,0,X126/T126)</f>
        <v>-19.765765755897672</v>
      </c>
    </row>
    <row r="127" spans="1:26" ht="15" thickTop="1" x14ac:dyDescent="0.3">
      <c r="A127" s="9"/>
      <c r="C127" s="9"/>
      <c r="D127" s="17"/>
      <c r="E127" s="17"/>
      <c r="G127" s="17"/>
      <c r="H127" s="17"/>
      <c r="I127" s="17"/>
      <c r="J127" s="42"/>
      <c r="K127" s="17"/>
      <c r="L127" s="17"/>
      <c r="M127" s="17"/>
      <c r="P127" s="17"/>
      <c r="Q127" s="17"/>
      <c r="R127" s="42"/>
      <c r="S127" s="17"/>
      <c r="T127" s="17"/>
      <c r="U127" s="17"/>
      <c r="V127" s="42"/>
      <c r="W127" s="17"/>
      <c r="X127" s="17"/>
    </row>
    <row r="128" spans="1:26" x14ac:dyDescent="0.3">
      <c r="A128" s="9"/>
      <c r="B128" s="60">
        <v>44543.753096064815</v>
      </c>
      <c r="D128" s="17"/>
      <c r="E128" s="17"/>
      <c r="G128" s="17"/>
      <c r="H128" s="17"/>
      <c r="I128" s="17"/>
      <c r="J128" s="42"/>
      <c r="K128" s="17"/>
      <c r="L128" s="17"/>
      <c r="M128" s="17"/>
      <c r="P128" s="17"/>
      <c r="Q128" s="17"/>
      <c r="R128" s="42"/>
      <c r="S128" s="17"/>
      <c r="T128" s="17"/>
      <c r="U128" s="17"/>
      <c r="V128" s="42"/>
      <c r="W128" s="17"/>
      <c r="X128" s="17"/>
    </row>
    <row r="129" spans="1:24" x14ac:dyDescent="0.3">
      <c r="A129" s="9"/>
      <c r="B129" s="58" t="s">
        <v>56</v>
      </c>
      <c r="D129" s="17"/>
      <c r="E129" s="17"/>
      <c r="G129" s="17"/>
      <c r="H129" s="17"/>
      <c r="I129" s="17"/>
      <c r="J129" s="42"/>
      <c r="K129" s="17"/>
      <c r="L129" s="17"/>
      <c r="M129" s="17"/>
      <c r="P129" s="17"/>
      <c r="Q129" s="17"/>
      <c r="R129" s="42"/>
      <c r="S129" s="17"/>
      <c r="T129" s="17"/>
      <c r="U129" s="17"/>
      <c r="V129" s="42"/>
      <c r="W129" s="17"/>
      <c r="X129" s="17"/>
    </row>
    <row r="130" spans="1:24" x14ac:dyDescent="0.3">
      <c r="A130" s="9"/>
      <c r="B130" s="55"/>
      <c r="D130" s="17"/>
      <c r="E130" s="17"/>
      <c r="G130" s="17"/>
      <c r="H130" s="17"/>
      <c r="I130" s="17"/>
      <c r="J130" s="42"/>
      <c r="K130" s="17"/>
      <c r="L130" s="17"/>
      <c r="M130" s="17"/>
      <c r="P130" s="17"/>
      <c r="Q130" s="17"/>
      <c r="R130" s="42"/>
      <c r="S130" s="17"/>
      <c r="T130" s="17"/>
      <c r="U130" s="17"/>
      <c r="V130" s="42"/>
      <c r="W130" s="17"/>
      <c r="X130" s="17"/>
    </row>
    <row r="131" spans="1:24" x14ac:dyDescent="0.3">
      <c r="D131" s="17"/>
      <c r="E131" s="17"/>
      <c r="G131" s="17"/>
      <c r="H131" s="17"/>
      <c r="I131" s="17"/>
      <c r="J131" s="42"/>
      <c r="K131" s="17"/>
      <c r="L131" s="17"/>
      <c r="M131" s="17"/>
      <c r="P131" s="17"/>
      <c r="Q131" s="17"/>
      <c r="R131" s="42"/>
      <c r="S131" s="17"/>
      <c r="T131" s="17"/>
      <c r="U131" s="17"/>
      <c r="V131" s="42"/>
      <c r="W131" s="17"/>
      <c r="X131" s="17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92D050"/>
    <outlinePr summaryBelow="0" summaryRight="0"/>
  </sheetPr>
  <dimension ref="A2:Z11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","315", " - ", "Bookstore Retail")</f>
        <v>Department 315 - Bookstore Retail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235903.39</v>
      </c>
      <c r="E12" s="4"/>
      <c r="F12" s="12"/>
      <c r="G12" s="4"/>
      <c r="H12" s="4">
        <f>SUM(OSRRefH13x_0)</f>
        <v>168287</v>
      </c>
      <c r="I12" s="4"/>
      <c r="J12" s="12"/>
      <c r="K12" s="4"/>
      <c r="L12" s="4">
        <f t="shared" ref="L12:L17" si="0">+D12-H12</f>
        <v>67616.390000000014</v>
      </c>
      <c r="M12" s="4"/>
      <c r="N12" s="12">
        <f t="shared" ref="N12:N17" si="1">IF(H12=0,0,L12/H12)</f>
        <v>0.40179211703815515</v>
      </c>
      <c r="O12" s="10"/>
      <c r="P12" s="4">
        <f>SUM(OSRRefP13x_0)</f>
        <v>1490520.85</v>
      </c>
      <c r="Q12" s="4"/>
      <c r="R12" s="12"/>
      <c r="S12" s="4"/>
      <c r="T12" s="4">
        <f>SUM(OSRRefT13x_0)</f>
        <v>1249572</v>
      </c>
      <c r="U12" s="4"/>
      <c r="V12" s="12"/>
      <c r="W12" s="4"/>
      <c r="X12" s="4">
        <f t="shared" ref="X12:X17" si="2">+P12-T12</f>
        <v>240948.85000000009</v>
      </c>
      <c r="Y12" s="4"/>
      <c r="Z12" s="12">
        <f t="shared" ref="Z12:Z17" si="3">IF(T12=0,0,X12/T12)</f>
        <v>0.19282510331537525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--212367.92</f>
        <v>212367.92</v>
      </c>
      <c r="E13" s="2"/>
      <c r="F13" s="19"/>
      <c r="G13" s="2"/>
      <c r="H13" s="2">
        <v>168287</v>
      </c>
      <c r="I13" s="2"/>
      <c r="J13" s="19"/>
      <c r="K13" s="2"/>
      <c r="L13" s="2">
        <f t="shared" si="0"/>
        <v>44080.920000000013</v>
      </c>
      <c r="M13" s="2"/>
      <c r="N13" s="19">
        <f t="shared" si="1"/>
        <v>0.26193894953264374</v>
      </c>
      <c r="O13" s="11"/>
      <c r="P13" s="2">
        <f>--1357391.43</f>
        <v>1357391.43</v>
      </c>
      <c r="Q13" s="2"/>
      <c r="R13" s="19"/>
      <c r="S13" s="2"/>
      <c r="T13" s="2">
        <v>1249572</v>
      </c>
      <c r="U13" s="2"/>
      <c r="V13" s="19"/>
      <c r="W13" s="2"/>
      <c r="X13" s="2">
        <f t="shared" si="2"/>
        <v>107819.42999999993</v>
      </c>
      <c r="Y13" s="2"/>
      <c r="Z13" s="19">
        <f t="shared" si="3"/>
        <v>8.6285088014135994E-2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--38141.75</f>
        <v>38141.75</v>
      </c>
      <c r="E14" s="2"/>
      <c r="F14" s="19"/>
      <c r="G14" s="2"/>
      <c r="H14" s="2"/>
      <c r="I14" s="2"/>
      <c r="J14" s="19"/>
      <c r="K14" s="2"/>
      <c r="L14" s="2">
        <f t="shared" si="0"/>
        <v>38141.75</v>
      </c>
      <c r="M14" s="2"/>
      <c r="N14" s="19">
        <f t="shared" si="1"/>
        <v>0</v>
      </c>
      <c r="O14" s="11"/>
      <c r="P14" s="2">
        <f>--184400.49</f>
        <v>184400.49</v>
      </c>
      <c r="Q14" s="2"/>
      <c r="R14" s="19"/>
      <c r="S14" s="2"/>
      <c r="T14" s="2"/>
      <c r="U14" s="2"/>
      <c r="V14" s="19"/>
      <c r="W14" s="2"/>
      <c r="X14" s="2">
        <f t="shared" si="2"/>
        <v>184400.49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"4200", " - ", "TAXABLE RETURNS")</f>
        <v xml:space="preserve">          4200 - TAXABLE RETURNS</v>
      </c>
      <c r="C15" s="11"/>
      <c r="D15" s="2">
        <f>-8320.43</f>
        <v>-8320.43</v>
      </c>
      <c r="E15" s="2"/>
      <c r="F15" s="19"/>
      <c r="G15" s="2"/>
      <c r="H15" s="2"/>
      <c r="I15" s="2"/>
      <c r="J15" s="19"/>
      <c r="K15" s="2"/>
      <c r="L15" s="2">
        <f t="shared" si="0"/>
        <v>-8320.43</v>
      </c>
      <c r="M15" s="2"/>
      <c r="N15" s="19">
        <f t="shared" si="1"/>
        <v>0</v>
      </c>
      <c r="O15" s="11"/>
      <c r="P15" s="2">
        <f>-37504.46</f>
        <v>-37504.46</v>
      </c>
      <c r="Q15" s="2"/>
      <c r="R15" s="19"/>
      <c r="S15" s="2"/>
      <c r="T15" s="2"/>
      <c r="U15" s="2"/>
      <c r="V15" s="19"/>
      <c r="W15" s="2"/>
      <c r="X15" s="2">
        <f t="shared" si="2"/>
        <v>-37504.46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"4300", " - ", "NON-TAX RETURNS")</f>
        <v xml:space="preserve">          4300 - NON-TAX RETURNS</v>
      </c>
      <c r="C16" s="11"/>
      <c r="D16" s="2">
        <f>-213.1</f>
        <v>-213.1</v>
      </c>
      <c r="E16" s="2"/>
      <c r="F16" s="19"/>
      <c r="G16" s="2"/>
      <c r="H16" s="2"/>
      <c r="I16" s="2"/>
      <c r="J16" s="19"/>
      <c r="K16" s="2"/>
      <c r="L16" s="2">
        <f t="shared" si="0"/>
        <v>-213.1</v>
      </c>
      <c r="M16" s="2"/>
      <c r="N16" s="19">
        <f t="shared" si="1"/>
        <v>0</v>
      </c>
      <c r="O16" s="11"/>
      <c r="P16" s="2">
        <f>-1107.41</f>
        <v>-1107.4100000000001</v>
      </c>
      <c r="Q16" s="2"/>
      <c r="R16" s="19"/>
      <c r="S16" s="2"/>
      <c r="T16" s="2"/>
      <c r="U16" s="2"/>
      <c r="V16" s="19"/>
      <c r="W16" s="2"/>
      <c r="X16" s="2">
        <f t="shared" si="2"/>
        <v>-1107.4100000000001</v>
      </c>
      <c r="Y16" s="2"/>
      <c r="Z16" s="19">
        <f t="shared" si="3"/>
        <v>0</v>
      </c>
    </row>
    <row r="17" spans="1:26" s="24" customFormat="1" hidden="1" outlineLevel="1" x14ac:dyDescent="0.3">
      <c r="A17" s="44"/>
      <c r="B17" s="11" t="str">
        <f>CONCATENATE("          ", "4500", " - ", "SALES DISCOUNT")</f>
        <v xml:space="preserve">          4500 - SALES DISCOUNT</v>
      </c>
      <c r="C17" s="11"/>
      <c r="D17" s="2">
        <f>-6072.75</f>
        <v>-6072.75</v>
      </c>
      <c r="E17" s="2"/>
      <c r="F17" s="19"/>
      <c r="G17" s="2"/>
      <c r="H17" s="2"/>
      <c r="I17" s="2"/>
      <c r="J17" s="19"/>
      <c r="K17" s="2"/>
      <c r="L17" s="2">
        <f t="shared" si="0"/>
        <v>-6072.75</v>
      </c>
      <c r="M17" s="2"/>
      <c r="N17" s="19">
        <f t="shared" si="1"/>
        <v>0</v>
      </c>
      <c r="O17" s="11"/>
      <c r="P17" s="2">
        <f>-12659.2</f>
        <v>-12659.2</v>
      </c>
      <c r="Q17" s="2"/>
      <c r="R17" s="19"/>
      <c r="S17" s="2"/>
      <c r="T17" s="2"/>
      <c r="U17" s="2"/>
      <c r="V17" s="19"/>
      <c r="W17" s="2"/>
      <c r="X17" s="2">
        <f t="shared" si="2"/>
        <v>-12659.2</v>
      </c>
      <c r="Y17" s="2"/>
      <c r="Z17" s="19">
        <f t="shared" si="3"/>
        <v>0</v>
      </c>
    </row>
    <row r="18" spans="1:26" x14ac:dyDescent="0.3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3">
      <c r="A19" s="10"/>
      <c r="B19" s="25" t="s">
        <v>257</v>
      </c>
      <c r="C19" s="10"/>
      <c r="D19" s="4">
        <f>SUM(OSRRefD16x_0)</f>
        <v>110780</v>
      </c>
      <c r="E19" s="4"/>
      <c r="F19" s="12">
        <f t="shared" ref="F19:F38" si="4">IF(D$12=0,0,D19/D$12)</f>
        <v>0.469599016783947</v>
      </c>
      <c r="G19" s="4"/>
      <c r="H19" s="4">
        <f>SUM(OSRRefH16x_0)</f>
        <v>86455</v>
      </c>
      <c r="I19" s="4"/>
      <c r="J19" s="12">
        <f t="shared" ref="J19:J38" si="5">IF(H$12=0,0,H19/H$12)</f>
        <v>0.51373546382073476</v>
      </c>
      <c r="K19" s="4"/>
      <c r="L19" s="4">
        <f t="shared" ref="L19:L38" si="6">+D19-H19</f>
        <v>24325</v>
      </c>
      <c r="M19" s="4"/>
      <c r="N19" s="12">
        <f t="shared" ref="N19:N38" si="7">IF(H19=0,0,L19/H19)</f>
        <v>0.28136024521427333</v>
      </c>
      <c r="O19" s="10"/>
      <c r="P19" s="4">
        <f>SUM(OSRRefP16x_0)</f>
        <v>734903.6</v>
      </c>
      <c r="Q19" s="4"/>
      <c r="R19" s="12">
        <f t="shared" ref="R19:R38" si="8">IF(P$12=0,0,P19/P$12)</f>
        <v>0.49305153966816362</v>
      </c>
      <c r="S19" s="4"/>
      <c r="T19" s="4">
        <f>SUM(OSRRefT16x_0)</f>
        <v>658965</v>
      </c>
      <c r="U19" s="4"/>
      <c r="V19" s="12">
        <f t="shared" ref="V19:V38" si="9">IF(T$12=0,0,T19/T$12)</f>
        <v>0.52735256551843346</v>
      </c>
      <c r="W19" s="4"/>
      <c r="X19" s="4">
        <f t="shared" ref="X19:X38" si="10">+P19-T19</f>
        <v>75938.599999999977</v>
      </c>
      <c r="Y19" s="4"/>
      <c r="Z19" s="12">
        <f t="shared" ref="Z19:Z38" si="11">IF(T19=0,0,X19/T19)</f>
        <v>0.11523920086802786</v>
      </c>
    </row>
    <row r="20" spans="1:26" s="24" customFormat="1" hidden="1" outlineLevel="1" x14ac:dyDescent="0.3">
      <c r="A20" s="44"/>
      <c r="B20" s="11" t="str">
        <f>CONCATENATE("          ", "5000", " - ", "PURCHASES @ COST")</f>
        <v xml:space="preserve">          5000 - PURCHASES @ COST</v>
      </c>
      <c r="C20" s="11"/>
      <c r="D20" s="2">
        <v>109123.35</v>
      </c>
      <c r="E20" s="2"/>
      <c r="F20" s="19">
        <f t="shared" si="4"/>
        <v>0.46257643860056441</v>
      </c>
      <c r="G20" s="2"/>
      <c r="H20" s="2">
        <v>86455</v>
      </c>
      <c r="I20" s="2"/>
      <c r="J20" s="19">
        <f t="shared" si="5"/>
        <v>0.51373546382073476</v>
      </c>
      <c r="K20" s="2"/>
      <c r="L20" s="2">
        <f t="shared" si="6"/>
        <v>22668.350000000006</v>
      </c>
      <c r="M20" s="2"/>
      <c r="N20" s="19">
        <f t="shared" si="7"/>
        <v>0.26219825342663822</v>
      </c>
      <c r="O20" s="11"/>
      <c r="P20" s="2">
        <v>832885.12</v>
      </c>
      <c r="Q20" s="2"/>
      <c r="R20" s="19">
        <f t="shared" si="8"/>
        <v>0.55878796999049019</v>
      </c>
      <c r="S20" s="2"/>
      <c r="T20" s="2">
        <v>658965</v>
      </c>
      <c r="U20" s="2"/>
      <c r="V20" s="19">
        <f t="shared" si="9"/>
        <v>0.52735256551843346</v>
      </c>
      <c r="W20" s="2"/>
      <c r="X20" s="2">
        <f t="shared" si="10"/>
        <v>173920.12</v>
      </c>
      <c r="Y20" s="2"/>
      <c r="Z20" s="19">
        <f t="shared" si="11"/>
        <v>0.2639292223410955</v>
      </c>
    </row>
    <row r="21" spans="1:26" s="24" customFormat="1" hidden="1" outlineLevel="1" x14ac:dyDescent="0.3">
      <c r="A21" s="44"/>
      <c r="B21" s="11" t="str">
        <f>CONCATENATE("          ", "5027", " - ", "PURCHASES @ COST-SCHOOL SUPPLI")</f>
        <v xml:space="preserve">          5027 - PURCHASES @ COST-SCHOOL SUPPLI</v>
      </c>
      <c r="C21" s="11"/>
      <c r="D21" s="2"/>
      <c r="E21" s="2"/>
      <c r="F21" s="19">
        <f t="shared" si="4"/>
        <v>0</v>
      </c>
      <c r="G21" s="2"/>
      <c r="H21" s="2"/>
      <c r="I21" s="2"/>
      <c r="J21" s="19">
        <f t="shared" si="5"/>
        <v>0</v>
      </c>
      <c r="K21" s="2"/>
      <c r="L21" s="2">
        <f t="shared" si="6"/>
        <v>0</v>
      </c>
      <c r="M21" s="2"/>
      <c r="N21" s="19">
        <f t="shared" si="7"/>
        <v>0</v>
      </c>
      <c r="O21" s="11"/>
      <c r="P21" s="2">
        <v>0</v>
      </c>
      <c r="Q21" s="2"/>
      <c r="R21" s="19">
        <f t="shared" si="8"/>
        <v>0</v>
      </c>
      <c r="S21" s="2"/>
      <c r="T21" s="2"/>
      <c r="U21" s="2"/>
      <c r="V21" s="19">
        <f t="shared" si="9"/>
        <v>0</v>
      </c>
      <c r="W21" s="2"/>
      <c r="X21" s="2">
        <f t="shared" si="10"/>
        <v>0</v>
      </c>
      <c r="Y21" s="2"/>
      <c r="Z21" s="19">
        <f t="shared" si="11"/>
        <v>0</v>
      </c>
    </row>
    <row r="22" spans="1:26" s="24" customFormat="1" hidden="1" outlineLevel="1" x14ac:dyDescent="0.3">
      <c r="A22" s="44"/>
      <c r="B22" s="11" t="str">
        <f>CONCATENATE("          ", "5028", " - ", "PURCHASES @ COST-ART/TECH")</f>
        <v xml:space="preserve">          5028 - PURCHASES @ COST-ART/TECH</v>
      </c>
      <c r="C22" s="11"/>
      <c r="D22" s="2"/>
      <c r="E22" s="2"/>
      <c r="F22" s="19">
        <f t="shared" si="4"/>
        <v>0</v>
      </c>
      <c r="G22" s="2"/>
      <c r="H22" s="2"/>
      <c r="I22" s="2"/>
      <c r="J22" s="19">
        <f t="shared" si="5"/>
        <v>0</v>
      </c>
      <c r="K22" s="2"/>
      <c r="L22" s="2">
        <f t="shared" si="6"/>
        <v>0</v>
      </c>
      <c r="M22" s="2"/>
      <c r="N22" s="19">
        <f t="shared" si="7"/>
        <v>0</v>
      </c>
      <c r="O22" s="11"/>
      <c r="P22" s="2">
        <v>0</v>
      </c>
      <c r="Q22" s="2"/>
      <c r="R22" s="19">
        <f t="shared" si="8"/>
        <v>0</v>
      </c>
      <c r="S22" s="2"/>
      <c r="T22" s="2"/>
      <c r="U22" s="2"/>
      <c r="V22" s="19">
        <f t="shared" si="9"/>
        <v>0</v>
      </c>
      <c r="W22" s="2"/>
      <c r="X22" s="2">
        <f t="shared" si="10"/>
        <v>0</v>
      </c>
      <c r="Y22" s="2"/>
      <c r="Z22" s="19">
        <f t="shared" si="11"/>
        <v>0</v>
      </c>
    </row>
    <row r="23" spans="1:26" s="24" customFormat="1" hidden="1" outlineLevel="1" x14ac:dyDescent="0.3">
      <c r="A23" s="44"/>
      <c r="B23" s="11" t="str">
        <f>CONCATENATE("          ", "5031", " - ", "PURCHASES @ COST-FOOD")</f>
        <v xml:space="preserve">          5031 - PURCHASES @ COST-FOOD</v>
      </c>
      <c r="C23" s="11"/>
      <c r="D23" s="2"/>
      <c r="E23" s="2"/>
      <c r="F23" s="19">
        <f t="shared" si="4"/>
        <v>0</v>
      </c>
      <c r="G23" s="2"/>
      <c r="H23" s="2"/>
      <c r="I23" s="2"/>
      <c r="J23" s="19">
        <f t="shared" si="5"/>
        <v>0</v>
      </c>
      <c r="K23" s="2"/>
      <c r="L23" s="2">
        <f t="shared" si="6"/>
        <v>0</v>
      </c>
      <c r="M23" s="2"/>
      <c r="N23" s="19">
        <f t="shared" si="7"/>
        <v>0</v>
      </c>
      <c r="O23" s="11"/>
      <c r="P23" s="2">
        <v>0</v>
      </c>
      <c r="Q23" s="2"/>
      <c r="R23" s="19">
        <f t="shared" si="8"/>
        <v>0</v>
      </c>
      <c r="S23" s="2"/>
      <c r="T23" s="2"/>
      <c r="U23" s="2"/>
      <c r="V23" s="19">
        <f t="shared" si="9"/>
        <v>0</v>
      </c>
      <c r="W23" s="2"/>
      <c r="X23" s="2">
        <f t="shared" si="10"/>
        <v>0</v>
      </c>
      <c r="Y23" s="2"/>
      <c r="Z23" s="19">
        <f t="shared" si="11"/>
        <v>0</v>
      </c>
    </row>
    <row r="24" spans="1:26" s="24" customFormat="1" hidden="1" outlineLevel="1" x14ac:dyDescent="0.3">
      <c r="A24" s="44"/>
      <c r="B24" s="11" t="str">
        <f>CONCATENATE("          ", "5040", " - ", "PURCHASES @ COST-LOGO CLOTHING")</f>
        <v xml:space="preserve">          5040 - PURCHASES @ COST-LOGO CLOTHING</v>
      </c>
      <c r="C24" s="11"/>
      <c r="D24" s="2"/>
      <c r="E24" s="2"/>
      <c r="F24" s="19">
        <f t="shared" si="4"/>
        <v>0</v>
      </c>
      <c r="G24" s="2"/>
      <c r="H24" s="2"/>
      <c r="I24" s="2"/>
      <c r="J24" s="19">
        <f t="shared" si="5"/>
        <v>0</v>
      </c>
      <c r="K24" s="2"/>
      <c r="L24" s="2">
        <f t="shared" si="6"/>
        <v>0</v>
      </c>
      <c r="M24" s="2"/>
      <c r="N24" s="19">
        <f t="shared" si="7"/>
        <v>0</v>
      </c>
      <c r="O24" s="11"/>
      <c r="P24" s="2">
        <v>0</v>
      </c>
      <c r="Q24" s="2"/>
      <c r="R24" s="19">
        <f t="shared" si="8"/>
        <v>0</v>
      </c>
      <c r="S24" s="2"/>
      <c r="T24" s="2"/>
      <c r="U24" s="2"/>
      <c r="V24" s="19">
        <f t="shared" si="9"/>
        <v>0</v>
      </c>
      <c r="W24" s="2"/>
      <c r="X24" s="2">
        <f t="shared" si="10"/>
        <v>0</v>
      </c>
      <c r="Y24" s="2"/>
      <c r="Z24" s="19">
        <f t="shared" si="11"/>
        <v>0</v>
      </c>
    </row>
    <row r="25" spans="1:26" s="24" customFormat="1" hidden="1" outlineLevel="1" x14ac:dyDescent="0.3">
      <c r="A25" s="44"/>
      <c r="B25" s="11" t="str">
        <f>CONCATENATE("          ", "5041", " - ", "PURCHASES @ COST-LOGO GIFTS")</f>
        <v xml:space="preserve">          5041 - PURCHASES @ COST-LOGO GIFTS</v>
      </c>
      <c r="C25" s="11"/>
      <c r="D25" s="2"/>
      <c r="E25" s="2"/>
      <c r="F25" s="19">
        <f t="shared" si="4"/>
        <v>0</v>
      </c>
      <c r="G25" s="2"/>
      <c r="H25" s="2"/>
      <c r="I25" s="2"/>
      <c r="J25" s="19">
        <f t="shared" si="5"/>
        <v>0</v>
      </c>
      <c r="K25" s="2"/>
      <c r="L25" s="2">
        <f t="shared" si="6"/>
        <v>0</v>
      </c>
      <c r="M25" s="2"/>
      <c r="N25" s="19">
        <f t="shared" si="7"/>
        <v>0</v>
      </c>
      <c r="O25" s="11"/>
      <c r="P25" s="2">
        <v>0</v>
      </c>
      <c r="Q25" s="2"/>
      <c r="R25" s="19">
        <f t="shared" si="8"/>
        <v>0</v>
      </c>
      <c r="S25" s="2"/>
      <c r="T25" s="2"/>
      <c r="U25" s="2"/>
      <c r="V25" s="19">
        <f t="shared" si="9"/>
        <v>0</v>
      </c>
      <c r="W25" s="2"/>
      <c r="X25" s="2">
        <f t="shared" si="10"/>
        <v>0</v>
      </c>
      <c r="Y25" s="2"/>
      <c r="Z25" s="19">
        <f t="shared" si="11"/>
        <v>0</v>
      </c>
    </row>
    <row r="26" spans="1:26" s="24" customFormat="1" hidden="1" outlineLevel="1" x14ac:dyDescent="0.3">
      <c r="A26" s="44"/>
      <c r="B26" s="11" t="str">
        <f>CONCATENATE("          ", "5042", " - ", "PURCHASES @ COST-EVERYDAY GIFT")</f>
        <v xml:space="preserve">          5042 - PURCHASES @ COST-EVERYDAY GIFT</v>
      </c>
      <c r="C26" s="11"/>
      <c r="D26" s="2"/>
      <c r="E26" s="2"/>
      <c r="F26" s="19">
        <f t="shared" si="4"/>
        <v>0</v>
      </c>
      <c r="G26" s="2"/>
      <c r="H26" s="2"/>
      <c r="I26" s="2"/>
      <c r="J26" s="19">
        <f t="shared" si="5"/>
        <v>0</v>
      </c>
      <c r="K26" s="2"/>
      <c r="L26" s="2">
        <f t="shared" si="6"/>
        <v>0</v>
      </c>
      <c r="M26" s="2"/>
      <c r="N26" s="19">
        <f t="shared" si="7"/>
        <v>0</v>
      </c>
      <c r="O26" s="11"/>
      <c r="P26" s="2">
        <v>0</v>
      </c>
      <c r="Q26" s="2"/>
      <c r="R26" s="19">
        <f t="shared" si="8"/>
        <v>0</v>
      </c>
      <c r="S26" s="2"/>
      <c r="T26" s="2"/>
      <c r="U26" s="2"/>
      <c r="V26" s="19">
        <f t="shared" si="9"/>
        <v>0</v>
      </c>
      <c r="W26" s="2"/>
      <c r="X26" s="2">
        <f t="shared" si="10"/>
        <v>0</v>
      </c>
      <c r="Y26" s="2"/>
      <c r="Z26" s="19">
        <f t="shared" si="11"/>
        <v>0</v>
      </c>
    </row>
    <row r="27" spans="1:26" s="24" customFormat="1" hidden="1" outlineLevel="1" x14ac:dyDescent="0.3">
      <c r="A27" s="44"/>
      <c r="B27" s="11" t="str">
        <f>CONCATENATE("          ", "5043", " - ", "PURCHASES @ COST-CARDS")</f>
        <v xml:space="preserve">          5043 - PURCHASES @ COST-CARDS</v>
      </c>
      <c r="C27" s="11"/>
      <c r="D27" s="2"/>
      <c r="E27" s="2"/>
      <c r="F27" s="19">
        <f t="shared" si="4"/>
        <v>0</v>
      </c>
      <c r="G27" s="2"/>
      <c r="H27" s="2"/>
      <c r="I27" s="2"/>
      <c r="J27" s="19">
        <f t="shared" si="5"/>
        <v>0</v>
      </c>
      <c r="K27" s="2"/>
      <c r="L27" s="2">
        <f t="shared" si="6"/>
        <v>0</v>
      </c>
      <c r="M27" s="2"/>
      <c r="N27" s="19">
        <f t="shared" si="7"/>
        <v>0</v>
      </c>
      <c r="O27" s="11"/>
      <c r="P27" s="2">
        <v>0</v>
      </c>
      <c r="Q27" s="2"/>
      <c r="R27" s="19">
        <f t="shared" si="8"/>
        <v>0</v>
      </c>
      <c r="S27" s="2"/>
      <c r="T27" s="2"/>
      <c r="U27" s="2"/>
      <c r="V27" s="19">
        <f t="shared" si="9"/>
        <v>0</v>
      </c>
      <c r="W27" s="2"/>
      <c r="X27" s="2">
        <f t="shared" si="10"/>
        <v>0</v>
      </c>
      <c r="Y27" s="2"/>
      <c r="Z27" s="19">
        <f t="shared" si="11"/>
        <v>0</v>
      </c>
    </row>
    <row r="28" spans="1:26" s="24" customFormat="1" hidden="1" outlineLevel="1" x14ac:dyDescent="0.3">
      <c r="A28" s="44"/>
      <c r="B28" s="11" t="str">
        <f>CONCATENATE("          ", "5044", " - ", "PURCHASES @ COST-ACCESSORIES")</f>
        <v xml:space="preserve">          5044 - PURCHASES @ COST-ACCESSORIES</v>
      </c>
      <c r="C28" s="11"/>
      <c r="D28" s="2"/>
      <c r="E28" s="2"/>
      <c r="F28" s="19">
        <f t="shared" si="4"/>
        <v>0</v>
      </c>
      <c r="G28" s="2"/>
      <c r="H28" s="2"/>
      <c r="I28" s="2"/>
      <c r="J28" s="19">
        <f t="shared" si="5"/>
        <v>0</v>
      </c>
      <c r="K28" s="2"/>
      <c r="L28" s="2">
        <f t="shared" si="6"/>
        <v>0</v>
      </c>
      <c r="M28" s="2"/>
      <c r="N28" s="19">
        <f t="shared" si="7"/>
        <v>0</v>
      </c>
      <c r="O28" s="11"/>
      <c r="P28" s="2">
        <v>0</v>
      </c>
      <c r="Q28" s="2"/>
      <c r="R28" s="19">
        <f t="shared" si="8"/>
        <v>0</v>
      </c>
      <c r="S28" s="2"/>
      <c r="T28" s="2"/>
      <c r="U28" s="2"/>
      <c r="V28" s="19">
        <f t="shared" si="9"/>
        <v>0</v>
      </c>
      <c r="W28" s="2"/>
      <c r="X28" s="2">
        <f t="shared" si="10"/>
        <v>0</v>
      </c>
      <c r="Y28" s="2"/>
      <c r="Z28" s="19">
        <f t="shared" si="11"/>
        <v>0</v>
      </c>
    </row>
    <row r="29" spans="1:26" s="24" customFormat="1" hidden="1" outlineLevel="1" x14ac:dyDescent="0.3">
      <c r="A29" s="44"/>
      <c r="B29" s="11" t="str">
        <f>CONCATENATE("          ", "5045", " - ", "PURCHASES @ COST-SPECIAL ORDER")</f>
        <v xml:space="preserve">          5045 - PURCHASES @ COST-SPECIAL ORDER</v>
      </c>
      <c r="C29" s="11"/>
      <c r="D29" s="2"/>
      <c r="E29" s="2"/>
      <c r="F29" s="19">
        <f t="shared" si="4"/>
        <v>0</v>
      </c>
      <c r="G29" s="2"/>
      <c r="H29" s="2"/>
      <c r="I29" s="2"/>
      <c r="J29" s="19">
        <f t="shared" si="5"/>
        <v>0</v>
      </c>
      <c r="K29" s="2"/>
      <c r="L29" s="2">
        <f t="shared" si="6"/>
        <v>0</v>
      </c>
      <c r="M29" s="2"/>
      <c r="N29" s="19">
        <f t="shared" si="7"/>
        <v>0</v>
      </c>
      <c r="O29" s="11"/>
      <c r="P29" s="2">
        <v>0</v>
      </c>
      <c r="Q29" s="2"/>
      <c r="R29" s="19">
        <f t="shared" si="8"/>
        <v>0</v>
      </c>
      <c r="S29" s="2"/>
      <c r="T29" s="2"/>
      <c r="U29" s="2"/>
      <c r="V29" s="19">
        <f t="shared" si="9"/>
        <v>0</v>
      </c>
      <c r="W29" s="2"/>
      <c r="X29" s="2">
        <f t="shared" si="10"/>
        <v>0</v>
      </c>
      <c r="Y29" s="2"/>
      <c r="Z29" s="19">
        <f t="shared" si="11"/>
        <v>0</v>
      </c>
    </row>
    <row r="30" spans="1:26" s="24" customFormat="1" hidden="1" outlineLevel="1" x14ac:dyDescent="0.3">
      <c r="A30" s="44"/>
      <c r="B30" s="11" t="str">
        <f>CONCATENATE("          ", "5200", " - ", "PURCHASES OFFSET")</f>
        <v xml:space="preserve">          5200 - PURCHASES OFFSET</v>
      </c>
      <c r="C30" s="11"/>
      <c r="D30" s="2">
        <v>-119795.1</v>
      </c>
      <c r="E30" s="2"/>
      <c r="F30" s="19">
        <f t="shared" si="4"/>
        <v>-0.50781423700608963</v>
      </c>
      <c r="G30" s="2"/>
      <c r="H30" s="2"/>
      <c r="I30" s="2"/>
      <c r="J30" s="19">
        <f t="shared" si="5"/>
        <v>0</v>
      </c>
      <c r="K30" s="2"/>
      <c r="L30" s="2">
        <f t="shared" si="6"/>
        <v>-119795.1</v>
      </c>
      <c r="M30" s="2"/>
      <c r="N30" s="19">
        <f t="shared" si="7"/>
        <v>0</v>
      </c>
      <c r="O30" s="11"/>
      <c r="P30" s="2">
        <v>-856250.47</v>
      </c>
      <c r="Q30" s="2"/>
      <c r="R30" s="19">
        <f t="shared" si="8"/>
        <v>-0.57446393319489619</v>
      </c>
      <c r="S30" s="2"/>
      <c r="T30" s="2"/>
      <c r="U30" s="2"/>
      <c r="V30" s="19">
        <f t="shared" si="9"/>
        <v>0</v>
      </c>
      <c r="W30" s="2"/>
      <c r="X30" s="2">
        <f t="shared" si="10"/>
        <v>-856250.47</v>
      </c>
      <c r="Y30" s="2"/>
      <c r="Z30" s="19">
        <f t="shared" si="11"/>
        <v>0</v>
      </c>
    </row>
    <row r="31" spans="1:26" s="24" customFormat="1" hidden="1" outlineLevel="1" x14ac:dyDescent="0.3">
      <c r="A31" s="44"/>
      <c r="B31" s="11" t="str">
        <f>CONCATENATE("          ", "5300", " - ", "COG$ OFFSET")</f>
        <v xml:space="preserve">          5300 - COG$ OFFSET</v>
      </c>
      <c r="C31" s="11"/>
      <c r="D31" s="2">
        <v>110780</v>
      </c>
      <c r="E31" s="2"/>
      <c r="F31" s="19">
        <f t="shared" si="4"/>
        <v>0.469599016783947</v>
      </c>
      <c r="G31" s="2"/>
      <c r="H31" s="2"/>
      <c r="I31" s="2"/>
      <c r="J31" s="19">
        <f t="shared" si="5"/>
        <v>0</v>
      </c>
      <c r="K31" s="2"/>
      <c r="L31" s="2">
        <f t="shared" si="6"/>
        <v>110780</v>
      </c>
      <c r="M31" s="2"/>
      <c r="N31" s="19">
        <f t="shared" si="7"/>
        <v>0</v>
      </c>
      <c r="O31" s="11"/>
      <c r="P31" s="2">
        <v>734903.6</v>
      </c>
      <c r="Q31" s="2"/>
      <c r="R31" s="19">
        <f t="shared" si="8"/>
        <v>0.49305153966816362</v>
      </c>
      <c r="S31" s="2"/>
      <c r="T31" s="2"/>
      <c r="U31" s="2"/>
      <c r="V31" s="19">
        <f t="shared" si="9"/>
        <v>0</v>
      </c>
      <c r="W31" s="2"/>
      <c r="X31" s="2">
        <f t="shared" si="10"/>
        <v>734903.6</v>
      </c>
      <c r="Y31" s="2"/>
      <c r="Z31" s="19">
        <f t="shared" si="11"/>
        <v>0</v>
      </c>
    </row>
    <row r="32" spans="1:26" s="24" customFormat="1" hidden="1" outlineLevel="1" x14ac:dyDescent="0.3">
      <c r="A32" s="44"/>
      <c r="B32" s="11" t="str">
        <f>CONCATENATE("          ", "5500", " - ", "FREIGHT-IN")</f>
        <v xml:space="preserve">          5500 - FREIGHT-IN</v>
      </c>
      <c r="C32" s="11"/>
      <c r="D32" s="2">
        <v>10671.75</v>
      </c>
      <c r="E32" s="2"/>
      <c r="F32" s="19">
        <f t="shared" si="4"/>
        <v>4.5237798405525241E-2</v>
      </c>
      <c r="G32" s="2"/>
      <c r="H32" s="2"/>
      <c r="I32" s="2"/>
      <c r="J32" s="19">
        <f t="shared" si="5"/>
        <v>0</v>
      </c>
      <c r="K32" s="2"/>
      <c r="L32" s="2">
        <f t="shared" si="6"/>
        <v>10671.75</v>
      </c>
      <c r="M32" s="2"/>
      <c r="N32" s="19">
        <f t="shared" si="7"/>
        <v>0</v>
      </c>
      <c r="O32" s="11"/>
      <c r="P32" s="2">
        <v>23365.35</v>
      </c>
      <c r="Q32" s="2"/>
      <c r="R32" s="19">
        <f t="shared" si="8"/>
        <v>1.5675963204406028E-2</v>
      </c>
      <c r="S32" s="2"/>
      <c r="T32" s="2"/>
      <c r="U32" s="2"/>
      <c r="V32" s="19">
        <f t="shared" si="9"/>
        <v>0</v>
      </c>
      <c r="W32" s="2"/>
      <c r="X32" s="2">
        <f t="shared" si="10"/>
        <v>23365.35</v>
      </c>
      <c r="Y32" s="2"/>
      <c r="Z32" s="19">
        <f t="shared" si="11"/>
        <v>0</v>
      </c>
    </row>
    <row r="33" spans="1:26" s="24" customFormat="1" hidden="1" outlineLevel="1" x14ac:dyDescent="0.3">
      <c r="A33" s="44"/>
      <c r="B33" s="11" t="str">
        <f>CONCATENATE("          ", "5527", " - ", "FREIGHT-IN-SCHOOL SUPPLIES")</f>
        <v xml:space="preserve">          5527 - FREIGHT-IN-SCHOOL SUPPLIES</v>
      </c>
      <c r="C33" s="11"/>
      <c r="D33" s="2"/>
      <c r="E33" s="2"/>
      <c r="F33" s="19">
        <f t="shared" si="4"/>
        <v>0</v>
      </c>
      <c r="G33" s="2"/>
      <c r="H33" s="2"/>
      <c r="I33" s="2"/>
      <c r="J33" s="19">
        <f t="shared" si="5"/>
        <v>0</v>
      </c>
      <c r="K33" s="2"/>
      <c r="L33" s="2">
        <f t="shared" si="6"/>
        <v>0</v>
      </c>
      <c r="M33" s="2"/>
      <c r="N33" s="19">
        <f t="shared" si="7"/>
        <v>0</v>
      </c>
      <c r="O33" s="11"/>
      <c r="P33" s="2">
        <v>0</v>
      </c>
      <c r="Q33" s="2"/>
      <c r="R33" s="19">
        <f t="shared" si="8"/>
        <v>0</v>
      </c>
      <c r="S33" s="2"/>
      <c r="T33" s="2"/>
      <c r="U33" s="2"/>
      <c r="V33" s="19">
        <f t="shared" si="9"/>
        <v>0</v>
      </c>
      <c r="W33" s="2"/>
      <c r="X33" s="2">
        <f t="shared" si="10"/>
        <v>0</v>
      </c>
      <c r="Y33" s="2"/>
      <c r="Z33" s="19">
        <f t="shared" si="11"/>
        <v>0</v>
      </c>
    </row>
    <row r="34" spans="1:26" s="24" customFormat="1" hidden="1" outlineLevel="1" x14ac:dyDescent="0.3">
      <c r="A34" s="44"/>
      <c r="B34" s="11" t="str">
        <f>CONCATENATE("          ", "5540", " - ", "FREIGHT-IN-LOGO CLOTHING")</f>
        <v xml:space="preserve">          5540 - FREIGHT-IN-LOGO CLOTHING</v>
      </c>
      <c r="C34" s="11"/>
      <c r="D34" s="2"/>
      <c r="E34" s="2"/>
      <c r="F34" s="19">
        <f t="shared" si="4"/>
        <v>0</v>
      </c>
      <c r="G34" s="2"/>
      <c r="H34" s="2"/>
      <c r="I34" s="2"/>
      <c r="J34" s="19">
        <f t="shared" si="5"/>
        <v>0</v>
      </c>
      <c r="K34" s="2"/>
      <c r="L34" s="2">
        <f t="shared" si="6"/>
        <v>0</v>
      </c>
      <c r="M34" s="2"/>
      <c r="N34" s="19">
        <f t="shared" si="7"/>
        <v>0</v>
      </c>
      <c r="O34" s="11"/>
      <c r="P34" s="2">
        <v>0</v>
      </c>
      <c r="Q34" s="2"/>
      <c r="R34" s="19">
        <f t="shared" si="8"/>
        <v>0</v>
      </c>
      <c r="S34" s="2"/>
      <c r="T34" s="2"/>
      <c r="U34" s="2"/>
      <c r="V34" s="19">
        <f t="shared" si="9"/>
        <v>0</v>
      </c>
      <c r="W34" s="2"/>
      <c r="X34" s="2">
        <f t="shared" si="10"/>
        <v>0</v>
      </c>
      <c r="Y34" s="2"/>
      <c r="Z34" s="19">
        <f t="shared" si="11"/>
        <v>0</v>
      </c>
    </row>
    <row r="35" spans="1:26" s="24" customFormat="1" hidden="1" outlineLevel="1" x14ac:dyDescent="0.3">
      <c r="A35" s="44"/>
      <c r="B35" s="11" t="str">
        <f>CONCATENATE("          ", "5541", " - ", "FREIGHT-IN-LOGO GIFTS")</f>
        <v xml:space="preserve">          5541 - FREIGHT-IN-LOGO GIFTS</v>
      </c>
      <c r="C35" s="11"/>
      <c r="D35" s="2"/>
      <c r="E35" s="2"/>
      <c r="F35" s="19">
        <f t="shared" si="4"/>
        <v>0</v>
      </c>
      <c r="G35" s="2"/>
      <c r="H35" s="2"/>
      <c r="I35" s="2"/>
      <c r="J35" s="19">
        <f t="shared" si="5"/>
        <v>0</v>
      </c>
      <c r="K35" s="2"/>
      <c r="L35" s="2">
        <f t="shared" si="6"/>
        <v>0</v>
      </c>
      <c r="M35" s="2"/>
      <c r="N35" s="19">
        <f t="shared" si="7"/>
        <v>0</v>
      </c>
      <c r="O35" s="11"/>
      <c r="P35" s="2">
        <v>0</v>
      </c>
      <c r="Q35" s="2"/>
      <c r="R35" s="19">
        <f t="shared" si="8"/>
        <v>0</v>
      </c>
      <c r="S35" s="2"/>
      <c r="T35" s="2"/>
      <c r="U35" s="2"/>
      <c r="V35" s="19">
        <f t="shared" si="9"/>
        <v>0</v>
      </c>
      <c r="W35" s="2"/>
      <c r="X35" s="2">
        <f t="shared" si="10"/>
        <v>0</v>
      </c>
      <c r="Y35" s="2"/>
      <c r="Z35" s="19">
        <f t="shared" si="11"/>
        <v>0</v>
      </c>
    </row>
    <row r="36" spans="1:26" s="24" customFormat="1" hidden="1" outlineLevel="1" x14ac:dyDescent="0.3">
      <c r="A36" s="44"/>
      <c r="B36" s="11" t="str">
        <f>CONCATENATE("          ", "5542", " - ", "FREIGHT-IN-EVERYDAY GIFTS")</f>
        <v xml:space="preserve">          5542 - FREIGHT-IN-EVERYDAY GIFTS</v>
      </c>
      <c r="C36" s="11"/>
      <c r="D36" s="2"/>
      <c r="E36" s="2"/>
      <c r="F36" s="19">
        <f t="shared" si="4"/>
        <v>0</v>
      </c>
      <c r="G36" s="2"/>
      <c r="H36" s="2"/>
      <c r="I36" s="2"/>
      <c r="J36" s="19">
        <f t="shared" si="5"/>
        <v>0</v>
      </c>
      <c r="K36" s="2"/>
      <c r="L36" s="2">
        <f t="shared" si="6"/>
        <v>0</v>
      </c>
      <c r="M36" s="2"/>
      <c r="N36" s="19">
        <f t="shared" si="7"/>
        <v>0</v>
      </c>
      <c r="O36" s="11"/>
      <c r="P36" s="2">
        <v>0</v>
      </c>
      <c r="Q36" s="2"/>
      <c r="R36" s="19">
        <f t="shared" si="8"/>
        <v>0</v>
      </c>
      <c r="S36" s="2"/>
      <c r="T36" s="2"/>
      <c r="U36" s="2"/>
      <c r="V36" s="19">
        <f t="shared" si="9"/>
        <v>0</v>
      </c>
      <c r="W36" s="2"/>
      <c r="X36" s="2">
        <f t="shared" si="10"/>
        <v>0</v>
      </c>
      <c r="Y36" s="2"/>
      <c r="Z36" s="19">
        <f t="shared" si="11"/>
        <v>0</v>
      </c>
    </row>
    <row r="37" spans="1:26" s="24" customFormat="1" hidden="1" outlineLevel="1" x14ac:dyDescent="0.3">
      <c r="A37" s="44"/>
      <c r="B37" s="11" t="str">
        <f>CONCATENATE("          ", "5544", " - ", "FREIGHT-IN-ACCESSORIES")</f>
        <v xml:space="preserve">          5544 - FREIGHT-IN-ACCESSORIES</v>
      </c>
      <c r="C37" s="11"/>
      <c r="D37" s="2"/>
      <c r="E37" s="2"/>
      <c r="F37" s="19">
        <f t="shared" si="4"/>
        <v>0</v>
      </c>
      <c r="G37" s="2"/>
      <c r="H37" s="2"/>
      <c r="I37" s="2"/>
      <c r="J37" s="19">
        <f t="shared" si="5"/>
        <v>0</v>
      </c>
      <c r="K37" s="2"/>
      <c r="L37" s="2">
        <f t="shared" si="6"/>
        <v>0</v>
      </c>
      <c r="M37" s="2"/>
      <c r="N37" s="19">
        <f t="shared" si="7"/>
        <v>0</v>
      </c>
      <c r="O37" s="11"/>
      <c r="P37" s="2">
        <v>0</v>
      </c>
      <c r="Q37" s="2"/>
      <c r="R37" s="19">
        <f t="shared" si="8"/>
        <v>0</v>
      </c>
      <c r="S37" s="2"/>
      <c r="T37" s="2"/>
      <c r="U37" s="2"/>
      <c r="V37" s="19">
        <f t="shared" si="9"/>
        <v>0</v>
      </c>
      <c r="W37" s="2"/>
      <c r="X37" s="2">
        <f t="shared" si="10"/>
        <v>0</v>
      </c>
      <c r="Y37" s="2"/>
      <c r="Z37" s="19">
        <f t="shared" si="11"/>
        <v>0</v>
      </c>
    </row>
    <row r="38" spans="1:26" s="24" customFormat="1" hidden="1" outlineLevel="1" x14ac:dyDescent="0.3">
      <c r="A38" s="44"/>
      <c r="B38" s="11" t="str">
        <f>CONCATENATE("          ", "5545", " - ", "FREIGHT-IN-SPECIAL ORDERS")</f>
        <v xml:space="preserve">          5545 - FREIGHT-IN-SPECIAL ORDERS</v>
      </c>
      <c r="C38" s="11"/>
      <c r="D38" s="2"/>
      <c r="E38" s="2"/>
      <c r="F38" s="19">
        <f t="shared" si="4"/>
        <v>0</v>
      </c>
      <c r="G38" s="2"/>
      <c r="H38" s="2"/>
      <c r="I38" s="2"/>
      <c r="J38" s="19">
        <f t="shared" si="5"/>
        <v>0</v>
      </c>
      <c r="K38" s="2"/>
      <c r="L38" s="2">
        <f t="shared" si="6"/>
        <v>0</v>
      </c>
      <c r="M38" s="2"/>
      <c r="N38" s="19">
        <f t="shared" si="7"/>
        <v>0</v>
      </c>
      <c r="O38" s="11"/>
      <c r="P38" s="2">
        <v>0</v>
      </c>
      <c r="Q38" s="2"/>
      <c r="R38" s="19">
        <f t="shared" si="8"/>
        <v>0</v>
      </c>
      <c r="S38" s="2"/>
      <c r="T38" s="2"/>
      <c r="U38" s="2"/>
      <c r="V38" s="19">
        <f t="shared" si="9"/>
        <v>0</v>
      </c>
      <c r="W38" s="2"/>
      <c r="X38" s="2">
        <f t="shared" si="10"/>
        <v>0</v>
      </c>
      <c r="Y38" s="2"/>
      <c r="Z38" s="19">
        <f t="shared" si="11"/>
        <v>0</v>
      </c>
    </row>
    <row r="39" spans="1:26" x14ac:dyDescent="0.3">
      <c r="A39" s="9"/>
      <c r="B39" s="10"/>
      <c r="C39" s="10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O39" s="10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x14ac:dyDescent="0.3">
      <c r="A40" s="10"/>
      <c r="B40" s="26" t="s">
        <v>108</v>
      </c>
      <c r="C40" s="26"/>
      <c r="D40" s="20">
        <f>D12-D19</f>
        <v>125123.39000000001</v>
      </c>
      <c r="E40" s="13"/>
      <c r="F40" s="22">
        <f>IF(D$12=0,0,D40/D$12)</f>
        <v>0.530400983216053</v>
      </c>
      <c r="G40" s="13"/>
      <c r="H40" s="20">
        <f>H12-H19</f>
        <v>81832</v>
      </c>
      <c r="I40" s="13"/>
      <c r="J40" s="22">
        <f>IF(H$12=0,0,H40/H$12)</f>
        <v>0.48626453617926518</v>
      </c>
      <c r="K40" s="15"/>
      <c r="L40" s="20">
        <f>+D40-H40</f>
        <v>43291.390000000014</v>
      </c>
      <c r="M40" s="15"/>
      <c r="N40" s="22">
        <f>IF(H40=0,0,L40/H40)</f>
        <v>0.52902764199824048</v>
      </c>
      <c r="O40" s="25"/>
      <c r="P40" s="20">
        <f>P12-P19</f>
        <v>755617.25000000012</v>
      </c>
      <c r="Q40" s="13"/>
      <c r="R40" s="22">
        <f>IF(P$12=0,0,P40/P$12)</f>
        <v>0.50694846033183638</v>
      </c>
      <c r="S40" s="13"/>
      <c r="T40" s="20">
        <f>T12-T19</f>
        <v>590607</v>
      </c>
      <c r="U40" s="13"/>
      <c r="V40" s="22">
        <f>IF(T$12=0,0,T40/T$12)</f>
        <v>0.47264743448156649</v>
      </c>
      <c r="W40" s="15"/>
      <c r="X40" s="20">
        <f>+P40-T40</f>
        <v>165010.25000000012</v>
      </c>
      <c r="Y40" s="15"/>
      <c r="Z40" s="22">
        <f>IF(T40=0,0,X40/T40)</f>
        <v>0.27939094863420194</v>
      </c>
    </row>
    <row r="41" spans="1:26" x14ac:dyDescent="0.3">
      <c r="A41" s="9"/>
      <c r="B41" s="10"/>
      <c r="C41" s="9"/>
      <c r="D41" s="1"/>
      <c r="E41" s="1"/>
      <c r="F41" s="5"/>
      <c r="G41" s="1"/>
      <c r="H41" s="1"/>
      <c r="I41" s="1"/>
      <c r="J41" s="5"/>
      <c r="K41" s="1"/>
      <c r="L41" s="1"/>
      <c r="M41" s="1"/>
      <c r="N41" s="5"/>
      <c r="O41" s="36"/>
      <c r="P41" s="1"/>
      <c r="Q41" s="1"/>
      <c r="R41" s="5"/>
      <c r="S41" s="1"/>
      <c r="T41" s="1"/>
      <c r="U41" s="1"/>
      <c r="V41" s="5"/>
      <c r="W41" s="1"/>
      <c r="X41" s="1"/>
      <c r="Y41" s="1"/>
      <c r="Z41" s="5"/>
    </row>
    <row r="42" spans="1:26" s="23" customFormat="1" x14ac:dyDescent="0.3">
      <c r="A42" s="10"/>
      <c r="B42" s="25" t="s">
        <v>295</v>
      </c>
      <c r="C42" s="10"/>
      <c r="D42" s="21">
        <f>SUM(OSRRefD22x_0)</f>
        <v>62596.710000000006</v>
      </c>
      <c r="E42" s="21"/>
      <c r="F42" s="30">
        <f t="shared" ref="F42:F52" si="12">IF(D$12=0,0,D42/D$12)</f>
        <v>0.26534892101380997</v>
      </c>
      <c r="G42" s="21"/>
      <c r="H42" s="21">
        <f>SUM(OSRRefH22x_0)</f>
        <v>77488.869701923075</v>
      </c>
      <c r="I42" s="21"/>
      <c r="J42" s="30">
        <f t="shared" ref="J42:J52" si="13">IF(H$12=0,0,H42/H$12)</f>
        <v>0.46045665857685425</v>
      </c>
      <c r="K42" s="4"/>
      <c r="L42" s="21">
        <f t="shared" ref="L42:L52" si="14">+D42-H42</f>
        <v>-14892.159701923068</v>
      </c>
      <c r="M42" s="4"/>
      <c r="N42" s="30">
        <f t="shared" ref="N42:N52" si="15">IF(H42=0,0,L42/H42)</f>
        <v>-0.19218450029286571</v>
      </c>
      <c r="O42" s="10"/>
      <c r="P42" s="21">
        <f>SUM(OSRRefP22x_0)</f>
        <v>382513.70000000007</v>
      </c>
      <c r="Q42" s="21"/>
      <c r="R42" s="30">
        <f t="shared" ref="R42:R52" si="16">IF(P$12=0,0,P42/P$12)</f>
        <v>0.25663089516661242</v>
      </c>
      <c r="S42" s="21"/>
      <c r="T42" s="21">
        <f>SUM(OSRRefT22x_0)</f>
        <v>427684.02036057692</v>
      </c>
      <c r="U42" s="21"/>
      <c r="V42" s="30">
        <f t="shared" ref="V42:V52" si="17">IF(T$12=0,0,T42/T$12)</f>
        <v>0.34226440762163118</v>
      </c>
      <c r="W42" s="4"/>
      <c r="X42" s="21">
        <f t="shared" ref="X42:X52" si="18">+P42-T42</f>
        <v>-45170.32036057685</v>
      </c>
      <c r="Y42" s="4"/>
      <c r="Z42" s="30">
        <f t="shared" ref="Z42:Z52" si="19">IF(T42=0,0,X42/T42)</f>
        <v>-0.10561610490495792</v>
      </c>
    </row>
    <row r="43" spans="1:26" s="29" customFormat="1" outlineLevel="1" collapsed="1" x14ac:dyDescent="0.3">
      <c r="A43" s="28"/>
      <c r="B43" s="14" t="str">
        <f>CONCATENATE("     ","*Benefits                                         ")</f>
        <v xml:space="preserve">     *Benefits                                         </v>
      </c>
      <c r="C43" s="14"/>
      <c r="D43" s="1">
        <f>SUM(OSRRefD22_0x_0)</f>
        <v>12180.270000000002</v>
      </c>
      <c r="E43" s="1"/>
      <c r="F43" s="5">
        <f t="shared" si="12"/>
        <v>5.1632450046605952E-2</v>
      </c>
      <c r="G43" s="1"/>
      <c r="H43" s="1">
        <f>SUM(OSRRefH22_0x_0)</f>
        <v>17453.119701923082</v>
      </c>
      <c r="I43" s="1"/>
      <c r="J43" s="5">
        <f t="shared" si="13"/>
        <v>0.10371044526269457</v>
      </c>
      <c r="K43" s="1"/>
      <c r="L43" s="1">
        <f t="shared" si="14"/>
        <v>-5272.8497019230799</v>
      </c>
      <c r="M43" s="1"/>
      <c r="N43" s="5">
        <f t="shared" si="15"/>
        <v>-0.30211502539239948</v>
      </c>
      <c r="O43" s="14"/>
      <c r="P43" s="1">
        <f>SUM(OSRRefP22_0x_0)</f>
        <v>66344.56</v>
      </c>
      <c r="Q43" s="1"/>
      <c r="R43" s="5">
        <f t="shared" si="16"/>
        <v>4.4510990906299626E-2</v>
      </c>
      <c r="S43" s="1"/>
      <c r="T43" s="1">
        <f>SUM(OSRRefT22_0x_0)</f>
        <v>88628.395360576906</v>
      </c>
      <c r="U43" s="1"/>
      <c r="V43" s="5">
        <f t="shared" si="17"/>
        <v>7.0927001693841502E-2</v>
      </c>
      <c r="W43" s="1"/>
      <c r="X43" s="1">
        <f t="shared" si="18"/>
        <v>-22283.835360576908</v>
      </c>
      <c r="Y43" s="1"/>
      <c r="Z43" s="5">
        <f t="shared" si="19"/>
        <v>-0.25142997647556481</v>
      </c>
    </row>
    <row r="44" spans="1:26" s="24" customFormat="1" hidden="1" outlineLevel="2" x14ac:dyDescent="0.3">
      <c r="A44" s="27"/>
      <c r="B44" s="11" t="str">
        <f>CONCATENATE("          ", "6111", " - ", "F.I.C.A.")</f>
        <v xml:space="preserve">          6111 - F.I.C.A.</v>
      </c>
      <c r="C44" s="11"/>
      <c r="D44" s="6">
        <v>1994.06</v>
      </c>
      <c r="E44" s="2"/>
      <c r="F44" s="7">
        <f t="shared" si="12"/>
        <v>8.4528670825798641E-3</v>
      </c>
      <c r="G44" s="2"/>
      <c r="H44" s="6">
        <v>4257.9378749999996</v>
      </c>
      <c r="I44" s="2"/>
      <c r="J44" s="7">
        <f t="shared" si="13"/>
        <v>2.5301644660609551E-2</v>
      </c>
      <c r="K44" s="2"/>
      <c r="L44" s="6">
        <f t="shared" si="14"/>
        <v>-2263.8778749999997</v>
      </c>
      <c r="M44" s="2"/>
      <c r="N44" s="7">
        <f t="shared" si="15"/>
        <v>-0.53168410189639037</v>
      </c>
      <c r="O44" s="11"/>
      <c r="P44" s="6">
        <v>13693.3</v>
      </c>
      <c r="Q44" s="2"/>
      <c r="R44" s="7">
        <f t="shared" si="16"/>
        <v>9.1869228129214022E-3</v>
      </c>
      <c r="S44" s="2"/>
      <c r="T44" s="6">
        <v>18666.145312500001</v>
      </c>
      <c r="U44" s="2"/>
      <c r="V44" s="7">
        <f t="shared" si="17"/>
        <v>1.4938031031825297E-2</v>
      </c>
      <c r="W44" s="2"/>
      <c r="X44" s="6">
        <f t="shared" si="18"/>
        <v>-4972.8453125000015</v>
      </c>
      <c r="Y44" s="2"/>
      <c r="Z44" s="7">
        <f t="shared" si="19"/>
        <v>-0.26640986819972295</v>
      </c>
    </row>
    <row r="45" spans="1:26" s="24" customFormat="1" hidden="1" outlineLevel="2" x14ac:dyDescent="0.3">
      <c r="A45" s="27"/>
      <c r="B45" s="11" t="str">
        <f>CONCATENATE("          ", "6112", " - ", "COMPENSATION INSURANCE")</f>
        <v xml:space="preserve">          6112 - COMPENSATION INSURANCE</v>
      </c>
      <c r="C45" s="11"/>
      <c r="D45" s="6">
        <v>797.22</v>
      </c>
      <c r="E45" s="2"/>
      <c r="F45" s="7">
        <f t="shared" si="12"/>
        <v>3.3794342675618184E-3</v>
      </c>
      <c r="G45" s="2"/>
      <c r="H45" s="6">
        <v>867.94500000000005</v>
      </c>
      <c r="I45" s="2"/>
      <c r="J45" s="7">
        <f t="shared" si="13"/>
        <v>5.157528507846715E-3</v>
      </c>
      <c r="K45" s="2"/>
      <c r="L45" s="6">
        <f t="shared" si="14"/>
        <v>-70.725000000000023</v>
      </c>
      <c r="M45" s="2"/>
      <c r="N45" s="7">
        <f t="shared" si="15"/>
        <v>-8.1485578003214515E-2</v>
      </c>
      <c r="O45" s="11"/>
      <c r="P45" s="6">
        <v>4375.78</v>
      </c>
      <c r="Q45" s="2"/>
      <c r="R45" s="7">
        <f t="shared" si="16"/>
        <v>2.9357388727571303E-3</v>
      </c>
      <c r="S45" s="2"/>
      <c r="T45" s="6">
        <v>4773.6975000000002</v>
      </c>
      <c r="U45" s="2"/>
      <c r="V45" s="7">
        <f t="shared" si="17"/>
        <v>3.8202660590986354E-3</v>
      </c>
      <c r="W45" s="2"/>
      <c r="X45" s="6">
        <f t="shared" si="18"/>
        <v>-397.91750000000047</v>
      </c>
      <c r="Y45" s="2"/>
      <c r="Z45" s="7">
        <f t="shared" si="19"/>
        <v>-8.3356245342315977E-2</v>
      </c>
    </row>
    <row r="46" spans="1:26" s="24" customFormat="1" hidden="1" outlineLevel="2" x14ac:dyDescent="0.3">
      <c r="A46" s="27"/>
      <c r="B46" s="11" t="str">
        <f>CONCATENATE("          ", "6113", " - ", "GROUP INSURANCE")</f>
        <v xml:space="preserve">          6113 - GROUP INSURANCE</v>
      </c>
      <c r="C46" s="11"/>
      <c r="D46" s="6">
        <v>4284.43</v>
      </c>
      <c r="E46" s="2"/>
      <c r="F46" s="7">
        <f t="shared" si="12"/>
        <v>1.8161799200935604E-2</v>
      </c>
      <c r="G46" s="2"/>
      <c r="H46" s="6">
        <v>6784.4230769230799</v>
      </c>
      <c r="I46" s="2"/>
      <c r="J46" s="7">
        <f t="shared" si="13"/>
        <v>4.031459992110549E-2</v>
      </c>
      <c r="K46" s="2"/>
      <c r="L46" s="6">
        <f t="shared" si="14"/>
        <v>-2499.9930769230796</v>
      </c>
      <c r="M46" s="2"/>
      <c r="N46" s="7">
        <f t="shared" si="15"/>
        <v>-0.36849014994756113</v>
      </c>
      <c r="O46" s="11"/>
      <c r="P46" s="6">
        <v>21444.65</v>
      </c>
      <c r="Q46" s="2"/>
      <c r="R46" s="7">
        <f t="shared" si="16"/>
        <v>1.4387353253059157E-2</v>
      </c>
      <c r="S46" s="2"/>
      <c r="T46" s="6">
        <v>35140.5769230769</v>
      </c>
      <c r="U46" s="2"/>
      <c r="V46" s="7">
        <f t="shared" si="17"/>
        <v>2.8122090542263192E-2</v>
      </c>
      <c r="W46" s="2"/>
      <c r="X46" s="6">
        <f t="shared" si="18"/>
        <v>-13695.926923076899</v>
      </c>
      <c r="Y46" s="2"/>
      <c r="Z46" s="7">
        <f t="shared" si="19"/>
        <v>-0.38974678625958331</v>
      </c>
    </row>
    <row r="47" spans="1:26" s="24" customFormat="1" hidden="1" outlineLevel="2" x14ac:dyDescent="0.3">
      <c r="A47" s="27"/>
      <c r="B47" s="11" t="str">
        <f>CONCATENATE("          ", "6114", " - ", "STATE UNEMPLOYMENT INSURANCE")</f>
        <v xml:space="preserve">          6114 - STATE UNEMPLOYMENT INSURANCE</v>
      </c>
      <c r="C47" s="11"/>
      <c r="D47" s="6">
        <v>140.05000000000001</v>
      </c>
      <c r="E47" s="2"/>
      <c r="F47" s="7">
        <f t="shared" si="12"/>
        <v>5.9367523289936613E-4</v>
      </c>
      <c r="G47" s="2"/>
      <c r="H47" s="6">
        <v>116.83875</v>
      </c>
      <c r="I47" s="2"/>
      <c r="J47" s="7">
        <f t="shared" si="13"/>
        <v>6.9428268374859621E-4</v>
      </c>
      <c r="K47" s="2"/>
      <c r="L47" s="6">
        <f t="shared" si="14"/>
        <v>23.211250000000007</v>
      </c>
      <c r="M47" s="2"/>
      <c r="N47" s="7">
        <f t="shared" si="15"/>
        <v>0.19866054712156717</v>
      </c>
      <c r="O47" s="11"/>
      <c r="P47" s="6">
        <v>768.71</v>
      </c>
      <c r="Q47" s="2"/>
      <c r="R47" s="7">
        <f t="shared" si="16"/>
        <v>5.1573247029721185E-4</v>
      </c>
      <c r="S47" s="2"/>
      <c r="T47" s="6">
        <v>642.61312499999997</v>
      </c>
      <c r="U47" s="2"/>
      <c r="V47" s="7">
        <f t="shared" si="17"/>
        <v>5.1426658487866241E-4</v>
      </c>
      <c r="W47" s="2"/>
      <c r="X47" s="6">
        <f t="shared" si="18"/>
        <v>126.09687500000007</v>
      </c>
      <c r="Y47" s="2"/>
      <c r="Z47" s="7">
        <f t="shared" si="19"/>
        <v>0.19622517825168925</v>
      </c>
    </row>
    <row r="48" spans="1:26" s="24" customFormat="1" hidden="1" outlineLevel="2" x14ac:dyDescent="0.3">
      <c r="A48" s="27"/>
      <c r="B48" s="11" t="str">
        <f>CONCATENATE("          ", "6115", " - ", "P.E.R.S.")</f>
        <v xml:space="preserve">          6115 - P.E.R.S.</v>
      </c>
      <c r="C48" s="11"/>
      <c r="D48" s="6">
        <v>1550.21</v>
      </c>
      <c r="E48" s="2"/>
      <c r="F48" s="7">
        <f t="shared" si="12"/>
        <v>6.5713765283322125E-3</v>
      </c>
      <c r="G48" s="2"/>
      <c r="H48" s="6">
        <v>1207.2249999999999</v>
      </c>
      <c r="I48" s="2"/>
      <c r="J48" s="7">
        <f t="shared" si="13"/>
        <v>7.1736081812617727E-3</v>
      </c>
      <c r="K48" s="2"/>
      <c r="L48" s="6">
        <f t="shared" si="14"/>
        <v>342.98500000000013</v>
      </c>
      <c r="M48" s="2"/>
      <c r="N48" s="7">
        <f t="shared" si="15"/>
        <v>0.28411025285261665</v>
      </c>
      <c r="O48" s="11"/>
      <c r="P48" s="6">
        <v>8257.8700000000008</v>
      </c>
      <c r="Q48" s="2"/>
      <c r="R48" s="7">
        <f t="shared" si="16"/>
        <v>5.540257957478421E-3</v>
      </c>
      <c r="S48" s="2"/>
      <c r="T48" s="6">
        <v>6639.7375000000002</v>
      </c>
      <c r="U48" s="2"/>
      <c r="V48" s="7">
        <f t="shared" si="17"/>
        <v>5.3136093798516609E-3</v>
      </c>
      <c r="W48" s="2"/>
      <c r="X48" s="6">
        <f t="shared" si="18"/>
        <v>1618.1325000000006</v>
      </c>
      <c r="Y48" s="2"/>
      <c r="Z48" s="7">
        <f t="shared" si="19"/>
        <v>0.2437042880083739</v>
      </c>
    </row>
    <row r="49" spans="1:26" s="24" customFormat="1" hidden="1" outlineLevel="2" x14ac:dyDescent="0.3">
      <c r="A49" s="27"/>
      <c r="B49" s="11" t="str">
        <f>CONCATENATE("          ", "6116", " - ", "EDUCATIONAL BENEFITS")</f>
        <v xml:space="preserve">          6116 - EDUCATIONAL BENEFITS</v>
      </c>
      <c r="C49" s="11"/>
      <c r="D49" s="6"/>
      <c r="E49" s="2"/>
      <c r="F49" s="7">
        <f t="shared" si="12"/>
        <v>0</v>
      </c>
      <c r="G49" s="2"/>
      <c r="H49" s="6">
        <v>0</v>
      </c>
      <c r="I49" s="2"/>
      <c r="J49" s="7">
        <f t="shared" si="13"/>
        <v>0</v>
      </c>
      <c r="K49" s="2"/>
      <c r="L49" s="6">
        <f t="shared" si="14"/>
        <v>0</v>
      </c>
      <c r="M49" s="2"/>
      <c r="N49" s="7">
        <f t="shared" si="15"/>
        <v>0</v>
      </c>
      <c r="O49" s="11"/>
      <c r="P49" s="6"/>
      <c r="Q49" s="2"/>
      <c r="R49" s="7">
        <f t="shared" si="16"/>
        <v>0</v>
      </c>
      <c r="S49" s="2"/>
      <c r="T49" s="6">
        <v>0</v>
      </c>
      <c r="U49" s="2"/>
      <c r="V49" s="7">
        <f t="shared" si="17"/>
        <v>0</v>
      </c>
      <c r="W49" s="2"/>
      <c r="X49" s="6">
        <f t="shared" si="18"/>
        <v>0</v>
      </c>
      <c r="Y49" s="2"/>
      <c r="Z49" s="7">
        <f t="shared" si="19"/>
        <v>0</v>
      </c>
    </row>
    <row r="50" spans="1:26" s="24" customFormat="1" hidden="1" outlineLevel="2" x14ac:dyDescent="0.3">
      <c r="A50" s="27"/>
      <c r="B50" s="11" t="str">
        <f>CONCATENATE("          ", "6118", " - ", "VACATION")</f>
        <v xml:space="preserve">          6118 - VACATION</v>
      </c>
      <c r="C50" s="11"/>
      <c r="D50" s="6">
        <v>1690.93</v>
      </c>
      <c r="E50" s="2"/>
      <c r="F50" s="7">
        <f t="shared" si="12"/>
        <v>7.1678919069369882E-3</v>
      </c>
      <c r="G50" s="2"/>
      <c r="H50" s="6">
        <v>1113.875</v>
      </c>
      <c r="I50" s="2"/>
      <c r="J50" s="7">
        <f t="shared" si="13"/>
        <v>6.6189010440497482E-3</v>
      </c>
      <c r="K50" s="2"/>
      <c r="L50" s="6">
        <f t="shared" si="14"/>
        <v>577.05500000000006</v>
      </c>
      <c r="M50" s="2"/>
      <c r="N50" s="7">
        <f t="shared" si="15"/>
        <v>0.51806082370104367</v>
      </c>
      <c r="O50" s="11"/>
      <c r="P50" s="6">
        <v>8876.24</v>
      </c>
      <c r="Q50" s="2"/>
      <c r="R50" s="7">
        <f t="shared" si="16"/>
        <v>5.95512635734012E-3</v>
      </c>
      <c r="S50" s="2"/>
      <c r="T50" s="6">
        <v>6126.3125</v>
      </c>
      <c r="U50" s="2"/>
      <c r="V50" s="7">
        <f t="shared" si="17"/>
        <v>4.9027286943049298E-3</v>
      </c>
      <c r="W50" s="2"/>
      <c r="X50" s="6">
        <f t="shared" si="18"/>
        <v>2749.9274999999998</v>
      </c>
      <c r="Y50" s="2"/>
      <c r="Z50" s="7">
        <f t="shared" si="19"/>
        <v>0.44887156833739705</v>
      </c>
    </row>
    <row r="51" spans="1:26" s="24" customFormat="1" hidden="1" outlineLevel="2" x14ac:dyDescent="0.3">
      <c r="A51" s="27"/>
      <c r="B51" s="11" t="str">
        <f>CONCATENATE("          ", "6119", " - ", "SICK LEAVE")</f>
        <v xml:space="preserve">          6119 - SICK LEAVE</v>
      </c>
      <c r="C51" s="11"/>
      <c r="D51" s="6">
        <v>1109.04</v>
      </c>
      <c r="E51" s="2"/>
      <c r="F51" s="7">
        <f t="shared" si="12"/>
        <v>4.7012465569061974E-3</v>
      </c>
      <c r="G51" s="2"/>
      <c r="H51" s="6">
        <v>2229.875</v>
      </c>
      <c r="I51" s="2"/>
      <c r="J51" s="7">
        <f t="shared" si="13"/>
        <v>1.3250429326091736E-2</v>
      </c>
      <c r="K51" s="2"/>
      <c r="L51" s="6">
        <f t="shared" si="14"/>
        <v>-1120.835</v>
      </c>
      <c r="M51" s="2"/>
      <c r="N51" s="7">
        <f t="shared" si="15"/>
        <v>-0.5026447670833567</v>
      </c>
      <c r="O51" s="11"/>
      <c r="P51" s="6">
        <v>5907.84</v>
      </c>
      <c r="Q51" s="2"/>
      <c r="R51" s="7">
        <f t="shared" si="16"/>
        <v>3.963607754966997E-3</v>
      </c>
      <c r="S51" s="2"/>
      <c r="T51" s="6">
        <v>12264.3125</v>
      </c>
      <c r="U51" s="2"/>
      <c r="V51" s="7">
        <f t="shared" si="17"/>
        <v>9.8148105911464081E-3</v>
      </c>
      <c r="W51" s="2"/>
      <c r="X51" s="6">
        <f t="shared" si="18"/>
        <v>-6356.4724999999999</v>
      </c>
      <c r="Y51" s="2"/>
      <c r="Z51" s="7">
        <f t="shared" si="19"/>
        <v>-0.51829016098537928</v>
      </c>
    </row>
    <row r="52" spans="1:26" s="24" customFormat="1" hidden="1" outlineLevel="2" x14ac:dyDescent="0.3">
      <c r="A52" s="27"/>
      <c r="B52" s="11" t="str">
        <f>CONCATENATE("          ", "6156", " - ", "EMPLOYEE MEALS")</f>
        <v xml:space="preserve">          6156 - EMPLOYEE MEALS</v>
      </c>
      <c r="C52" s="11"/>
      <c r="D52" s="6">
        <v>614.33000000000004</v>
      </c>
      <c r="E52" s="2"/>
      <c r="F52" s="7">
        <f t="shared" si="12"/>
        <v>2.6041592704538923E-3</v>
      </c>
      <c r="G52" s="2"/>
      <c r="H52" s="6">
        <v>875</v>
      </c>
      <c r="I52" s="2"/>
      <c r="J52" s="7">
        <f t="shared" si="13"/>
        <v>5.1994509379809494E-3</v>
      </c>
      <c r="K52" s="2"/>
      <c r="L52" s="6">
        <f t="shared" si="14"/>
        <v>-260.66999999999996</v>
      </c>
      <c r="M52" s="2"/>
      <c r="N52" s="7">
        <f t="shared" si="15"/>
        <v>-0.29790857142857136</v>
      </c>
      <c r="O52" s="11"/>
      <c r="P52" s="6">
        <v>3020.17</v>
      </c>
      <c r="Q52" s="2"/>
      <c r="R52" s="7">
        <f t="shared" si="16"/>
        <v>2.0262514274791928E-3</v>
      </c>
      <c r="S52" s="2"/>
      <c r="T52" s="6">
        <v>4375</v>
      </c>
      <c r="U52" s="2"/>
      <c r="V52" s="7">
        <f t="shared" si="17"/>
        <v>3.5011988104727059E-3</v>
      </c>
      <c r="W52" s="2"/>
      <c r="X52" s="6">
        <f t="shared" si="18"/>
        <v>-1354.83</v>
      </c>
      <c r="Y52" s="2"/>
      <c r="Z52" s="7">
        <f t="shared" si="19"/>
        <v>-0.30967542857142855</v>
      </c>
    </row>
    <row r="53" spans="1:26" s="29" customFormat="1" outlineLevel="1" collapsed="1" x14ac:dyDescent="0.3">
      <c r="A53" s="28"/>
      <c r="B53" s="14" t="str">
        <f>CONCATENATE("     ","*Payroll                                          ")</f>
        <v xml:space="preserve">     *Payroll                                          </v>
      </c>
      <c r="C53" s="14"/>
      <c r="D53" s="1">
        <f>SUM(OSRRefD22_1x_0)</f>
        <v>46301.320000000007</v>
      </c>
      <c r="E53" s="1"/>
      <c r="F53" s="5">
        <f t="shared" ref="F53:F63" si="20">IF(D$12=0,0,D53/D$12)</f>
        <v>0.19627238082504878</v>
      </c>
      <c r="G53" s="1"/>
      <c r="H53" s="1">
        <f>SUM(OSRRefH22_1x_0)</f>
        <v>53121.75</v>
      </c>
      <c r="I53" s="1"/>
      <c r="J53" s="5">
        <f t="shared" ref="J53:J63" si="21">IF(H$12=0,0,H53/H$12)</f>
        <v>0.3156616375596451</v>
      </c>
      <c r="K53" s="1"/>
      <c r="L53" s="1">
        <f t="shared" ref="L53:L63" si="22">+D53-H53</f>
        <v>-6820.429999999993</v>
      </c>
      <c r="M53" s="1"/>
      <c r="N53" s="5">
        <f t="shared" ref="N53:N63" si="23">IF(H53=0,0,L53/H53)</f>
        <v>-0.12839241930094533</v>
      </c>
      <c r="O53" s="14"/>
      <c r="P53" s="1">
        <f>SUM(OSRRefP22_1x_0)</f>
        <v>271467.13</v>
      </c>
      <c r="Q53" s="1"/>
      <c r="R53" s="5">
        <f t="shared" ref="R53:R63" si="24">IF(P$12=0,0,P53/P$12)</f>
        <v>0.1821290389866066</v>
      </c>
      <c r="S53" s="1"/>
      <c r="T53" s="1">
        <f>SUM(OSRRefT22_1x_0)</f>
        <v>292169.625</v>
      </c>
      <c r="U53" s="1"/>
      <c r="V53" s="5">
        <f t="shared" ref="V53:V63" si="25">IF(T$12=0,0,T53/T$12)</f>
        <v>0.23381575851571579</v>
      </c>
      <c r="W53" s="1"/>
      <c r="X53" s="1">
        <f t="shared" ref="X53:X63" si="26">+P53-T53</f>
        <v>-20702.494999999995</v>
      </c>
      <c r="Y53" s="1"/>
      <c r="Z53" s="5">
        <f t="shared" ref="Z53:Z63" si="27">IF(T53=0,0,X53/T53)</f>
        <v>-7.0857793653258769E-2</v>
      </c>
    </row>
    <row r="54" spans="1:26" s="24" customFormat="1" hidden="1" outlineLevel="2" x14ac:dyDescent="0.3">
      <c r="A54" s="27"/>
      <c r="B54" s="11" t="str">
        <f>CONCATENATE("          ", "6001", " - ", "ADMINISTRATIVE SALARIES")</f>
        <v xml:space="preserve">          6001 - ADMINISTRATIVE SALARIES</v>
      </c>
      <c r="C54" s="11"/>
      <c r="D54" s="6"/>
      <c r="E54" s="2"/>
      <c r="F54" s="7">
        <f t="shared" si="20"/>
        <v>0</v>
      </c>
      <c r="G54" s="2"/>
      <c r="H54" s="6">
        <v>0</v>
      </c>
      <c r="I54" s="2"/>
      <c r="J54" s="7">
        <f t="shared" si="21"/>
        <v>0</v>
      </c>
      <c r="K54" s="2"/>
      <c r="L54" s="6">
        <f t="shared" si="22"/>
        <v>0</v>
      </c>
      <c r="M54" s="2"/>
      <c r="N54" s="7">
        <f t="shared" si="23"/>
        <v>0</v>
      </c>
      <c r="O54" s="11"/>
      <c r="P54" s="6"/>
      <c r="Q54" s="2"/>
      <c r="R54" s="7">
        <f t="shared" si="24"/>
        <v>0</v>
      </c>
      <c r="S54" s="2"/>
      <c r="T54" s="6">
        <v>0</v>
      </c>
      <c r="U54" s="2"/>
      <c r="V54" s="7">
        <f t="shared" si="25"/>
        <v>0</v>
      </c>
      <c r="W54" s="2"/>
      <c r="X54" s="6">
        <f t="shared" si="26"/>
        <v>0</v>
      </c>
      <c r="Y54" s="2"/>
      <c r="Z54" s="7">
        <f t="shared" si="27"/>
        <v>0</v>
      </c>
    </row>
    <row r="55" spans="1:26" s="24" customFormat="1" hidden="1" outlineLevel="2" x14ac:dyDescent="0.3">
      <c r="A55" s="27"/>
      <c r="B55" s="11" t="str">
        <f>CONCATENATE("          ", "6002", " - ", "STAFF SALARIES")</f>
        <v xml:space="preserve">          6002 - STAFF SALARIES</v>
      </c>
      <c r="C55" s="11"/>
      <c r="D55" s="6">
        <v>14156.72</v>
      </c>
      <c r="E55" s="2"/>
      <c r="F55" s="7">
        <f t="shared" si="20"/>
        <v>6.0010667926391384E-2</v>
      </c>
      <c r="G55" s="2"/>
      <c r="H55" s="6">
        <v>12633.75</v>
      </c>
      <c r="I55" s="2"/>
      <c r="J55" s="7">
        <f t="shared" si="21"/>
        <v>7.5072643757390645E-2</v>
      </c>
      <c r="K55" s="2"/>
      <c r="L55" s="6">
        <f t="shared" si="22"/>
        <v>1522.9699999999993</v>
      </c>
      <c r="M55" s="2"/>
      <c r="N55" s="7">
        <f t="shared" si="23"/>
        <v>0.12054773919065989</v>
      </c>
      <c r="O55" s="11"/>
      <c r="P55" s="6">
        <v>77145.88</v>
      </c>
      <c r="Q55" s="2"/>
      <c r="R55" s="7">
        <f t="shared" si="24"/>
        <v>5.1757665785084457E-2</v>
      </c>
      <c r="S55" s="2"/>
      <c r="T55" s="6">
        <v>69485.625</v>
      </c>
      <c r="U55" s="2"/>
      <c r="V55" s="7">
        <f t="shared" si="25"/>
        <v>5.5607540021703435E-2</v>
      </c>
      <c r="W55" s="2"/>
      <c r="X55" s="6">
        <f t="shared" si="26"/>
        <v>7660.2550000000047</v>
      </c>
      <c r="Y55" s="2"/>
      <c r="Z55" s="7">
        <f t="shared" si="27"/>
        <v>0.11024229831709803</v>
      </c>
    </row>
    <row r="56" spans="1:26" s="24" customFormat="1" hidden="1" outlineLevel="2" x14ac:dyDescent="0.3">
      <c r="A56" s="27"/>
      <c r="B56" s="11" t="str">
        <f>CONCATENATE("          ", "6003", " - ", "STAFF HOURLY-9 MONTH")</f>
        <v xml:space="preserve">          6003 - STAFF HOURLY-9 MONTH</v>
      </c>
      <c r="C56" s="11"/>
      <c r="D56" s="6"/>
      <c r="E56" s="2"/>
      <c r="F56" s="7">
        <f t="shared" si="20"/>
        <v>0</v>
      </c>
      <c r="G56" s="2"/>
      <c r="H56" s="6">
        <v>0</v>
      </c>
      <c r="I56" s="2"/>
      <c r="J56" s="7">
        <f t="shared" si="21"/>
        <v>0</v>
      </c>
      <c r="K56" s="2"/>
      <c r="L56" s="6">
        <f t="shared" si="22"/>
        <v>0</v>
      </c>
      <c r="M56" s="2"/>
      <c r="N56" s="7">
        <f t="shared" si="23"/>
        <v>0</v>
      </c>
      <c r="O56" s="11"/>
      <c r="P56" s="6"/>
      <c r="Q56" s="2"/>
      <c r="R56" s="7">
        <f t="shared" si="24"/>
        <v>0</v>
      </c>
      <c r="S56" s="2"/>
      <c r="T56" s="6">
        <v>0</v>
      </c>
      <c r="U56" s="2"/>
      <c r="V56" s="7">
        <f t="shared" si="25"/>
        <v>0</v>
      </c>
      <c r="W56" s="2"/>
      <c r="X56" s="6">
        <f t="shared" si="26"/>
        <v>0</v>
      </c>
      <c r="Y56" s="2"/>
      <c r="Z56" s="7">
        <f t="shared" si="27"/>
        <v>0</v>
      </c>
    </row>
    <row r="57" spans="1:26" s="24" customFormat="1" hidden="1" outlineLevel="2" x14ac:dyDescent="0.3">
      <c r="A57" s="27"/>
      <c r="B57" s="11" t="str">
        <f>CONCATENATE("          ", "6004", " - ", "STAFF HOURLY")</f>
        <v xml:space="preserve">          6004 - STAFF HOURLY</v>
      </c>
      <c r="C57" s="11"/>
      <c r="D57" s="6">
        <v>6570.37</v>
      </c>
      <c r="E57" s="2"/>
      <c r="F57" s="7">
        <f t="shared" si="20"/>
        <v>2.7851952445448112E-2</v>
      </c>
      <c r="G57" s="2"/>
      <c r="H57" s="6">
        <v>12888</v>
      </c>
      <c r="I57" s="2"/>
      <c r="J57" s="7">
        <f t="shared" si="21"/>
        <v>7.6583455644226833E-2</v>
      </c>
      <c r="K57" s="2"/>
      <c r="L57" s="6">
        <f t="shared" si="22"/>
        <v>-6317.63</v>
      </c>
      <c r="M57" s="2"/>
      <c r="N57" s="7">
        <f t="shared" si="23"/>
        <v>-0.49019475481067659</v>
      </c>
      <c r="O57" s="11"/>
      <c r="P57" s="6">
        <v>42297.38</v>
      </c>
      <c r="Q57" s="2"/>
      <c r="R57" s="7">
        <f t="shared" si="24"/>
        <v>2.8377583580934139E-2</v>
      </c>
      <c r="S57" s="2"/>
      <c r="T57" s="6">
        <v>70884</v>
      </c>
      <c r="U57" s="2"/>
      <c r="V57" s="7">
        <f t="shared" si="25"/>
        <v>5.6726623195782234E-2</v>
      </c>
      <c r="W57" s="2"/>
      <c r="X57" s="6">
        <f t="shared" si="26"/>
        <v>-28586.620000000003</v>
      </c>
      <c r="Y57" s="2"/>
      <c r="Z57" s="7">
        <f t="shared" si="27"/>
        <v>-0.40328734270075056</v>
      </c>
    </row>
    <row r="58" spans="1:26" s="24" customFormat="1" hidden="1" outlineLevel="2" x14ac:dyDescent="0.3">
      <c r="A58" s="27"/>
      <c r="B58" s="11" t="str">
        <f>CONCATENATE("          ", "6005", " - ", "TEMPORARY WAGES-HOURLY")</f>
        <v xml:space="preserve">          6005 - TEMPORARY WAGES-HOURLY</v>
      </c>
      <c r="C58" s="11"/>
      <c r="D58" s="6">
        <v>2971.48</v>
      </c>
      <c r="E58" s="2"/>
      <c r="F58" s="7">
        <f t="shared" si="20"/>
        <v>1.2596173374193562E-2</v>
      </c>
      <c r="G58" s="2"/>
      <c r="H58" s="6">
        <v>0</v>
      </c>
      <c r="I58" s="2"/>
      <c r="J58" s="7">
        <f t="shared" si="21"/>
        <v>0</v>
      </c>
      <c r="K58" s="2"/>
      <c r="L58" s="6">
        <f t="shared" si="22"/>
        <v>2971.48</v>
      </c>
      <c r="M58" s="2"/>
      <c r="N58" s="7">
        <f t="shared" si="23"/>
        <v>0</v>
      </c>
      <c r="O58" s="11"/>
      <c r="P58" s="6">
        <v>14414.26</v>
      </c>
      <c r="Q58" s="2"/>
      <c r="R58" s="7">
        <f t="shared" si="24"/>
        <v>9.6706195019009619E-3</v>
      </c>
      <c r="S58" s="2"/>
      <c r="T58" s="6">
        <v>0</v>
      </c>
      <c r="U58" s="2"/>
      <c r="V58" s="7">
        <f t="shared" si="25"/>
        <v>0</v>
      </c>
      <c r="W58" s="2"/>
      <c r="X58" s="6">
        <f t="shared" si="26"/>
        <v>14414.26</v>
      </c>
      <c r="Y58" s="2"/>
      <c r="Z58" s="7">
        <f t="shared" si="27"/>
        <v>0</v>
      </c>
    </row>
    <row r="59" spans="1:26" s="24" customFormat="1" hidden="1" outlineLevel="2" x14ac:dyDescent="0.3">
      <c r="A59" s="27"/>
      <c r="B59" s="11" t="str">
        <f>CONCATENATE("          ", "6006", " - ", "TEMPORARY PART TIME")</f>
        <v xml:space="preserve">          6006 - TEMPORARY PART TIME</v>
      </c>
      <c r="C59" s="11"/>
      <c r="D59" s="6"/>
      <c r="E59" s="2"/>
      <c r="F59" s="7">
        <f t="shared" si="20"/>
        <v>0</v>
      </c>
      <c r="G59" s="2"/>
      <c r="H59" s="6">
        <v>0</v>
      </c>
      <c r="I59" s="2"/>
      <c r="J59" s="7">
        <f t="shared" si="21"/>
        <v>0</v>
      </c>
      <c r="K59" s="2"/>
      <c r="L59" s="6">
        <f t="shared" si="22"/>
        <v>0</v>
      </c>
      <c r="M59" s="2"/>
      <c r="N59" s="7">
        <f t="shared" si="23"/>
        <v>0</v>
      </c>
      <c r="O59" s="11"/>
      <c r="P59" s="6"/>
      <c r="Q59" s="2"/>
      <c r="R59" s="7">
        <f t="shared" si="24"/>
        <v>0</v>
      </c>
      <c r="S59" s="2"/>
      <c r="T59" s="6">
        <v>0</v>
      </c>
      <c r="U59" s="2"/>
      <c r="V59" s="7">
        <f t="shared" si="25"/>
        <v>0</v>
      </c>
      <c r="W59" s="2"/>
      <c r="X59" s="6">
        <f t="shared" si="26"/>
        <v>0</v>
      </c>
      <c r="Y59" s="2"/>
      <c r="Z59" s="7">
        <f t="shared" si="27"/>
        <v>0</v>
      </c>
    </row>
    <row r="60" spans="1:26" s="24" customFormat="1" hidden="1" outlineLevel="2" x14ac:dyDescent="0.3">
      <c r="A60" s="27"/>
      <c r="B60" s="11" t="str">
        <f>CONCATENATE("          ", "6007", " - ", "STUDENT HOURLY")</f>
        <v xml:space="preserve">          6007 - STUDENT HOURLY</v>
      </c>
      <c r="C60" s="11"/>
      <c r="D60" s="6">
        <v>17324.09</v>
      </c>
      <c r="E60" s="2"/>
      <c r="F60" s="7">
        <f t="shared" si="20"/>
        <v>7.3437223602424703E-2</v>
      </c>
      <c r="G60" s="2"/>
      <c r="H60" s="6">
        <v>27600</v>
      </c>
      <c r="I60" s="2"/>
      <c r="J60" s="7">
        <f t="shared" si="21"/>
        <v>0.16400553815802765</v>
      </c>
      <c r="K60" s="2"/>
      <c r="L60" s="6">
        <f t="shared" si="22"/>
        <v>-10275.91</v>
      </c>
      <c r="M60" s="2"/>
      <c r="N60" s="7">
        <f t="shared" si="23"/>
        <v>-0.37231557971014489</v>
      </c>
      <c r="O60" s="11"/>
      <c r="P60" s="6">
        <v>103246.08</v>
      </c>
      <c r="Q60" s="2"/>
      <c r="R60" s="7">
        <f t="shared" si="24"/>
        <v>6.9268457398633507E-2</v>
      </c>
      <c r="S60" s="2"/>
      <c r="T60" s="6">
        <v>89700</v>
      </c>
      <c r="U60" s="2"/>
      <c r="V60" s="7">
        <f t="shared" si="25"/>
        <v>7.1784579039863253E-2</v>
      </c>
      <c r="W60" s="2"/>
      <c r="X60" s="6">
        <f t="shared" si="26"/>
        <v>13546.080000000002</v>
      </c>
      <c r="Y60" s="2"/>
      <c r="Z60" s="7">
        <f t="shared" si="27"/>
        <v>0.15101538461538463</v>
      </c>
    </row>
    <row r="61" spans="1:26" s="24" customFormat="1" hidden="1" outlineLevel="2" x14ac:dyDescent="0.3">
      <c r="A61" s="27"/>
      <c r="B61" s="11" t="str">
        <f>CONCATENATE("          ", "6008", " - ", "STUDENT HOURLY-FICA EXEMPT")</f>
        <v xml:space="preserve">          6008 - STUDENT HOURLY-FICA EXEMPT</v>
      </c>
      <c r="C61" s="11"/>
      <c r="D61" s="6">
        <v>5278.66</v>
      </c>
      <c r="E61" s="2"/>
      <c r="F61" s="7">
        <f t="shared" si="20"/>
        <v>2.2376363476590989E-2</v>
      </c>
      <c r="G61" s="2"/>
      <c r="H61" s="6">
        <v>0</v>
      </c>
      <c r="I61" s="2"/>
      <c r="J61" s="7">
        <f t="shared" si="21"/>
        <v>0</v>
      </c>
      <c r="K61" s="2"/>
      <c r="L61" s="6">
        <f t="shared" si="22"/>
        <v>5278.66</v>
      </c>
      <c r="M61" s="2"/>
      <c r="N61" s="7">
        <f t="shared" si="23"/>
        <v>0</v>
      </c>
      <c r="O61" s="11"/>
      <c r="P61" s="6">
        <v>34363.53</v>
      </c>
      <c r="Q61" s="2"/>
      <c r="R61" s="7">
        <f t="shared" si="24"/>
        <v>2.3054712720053529E-2</v>
      </c>
      <c r="S61" s="2"/>
      <c r="T61" s="6">
        <v>62100</v>
      </c>
      <c r="U61" s="2"/>
      <c r="V61" s="7">
        <f t="shared" si="25"/>
        <v>4.9697016258366866E-2</v>
      </c>
      <c r="W61" s="2"/>
      <c r="X61" s="6">
        <f t="shared" si="26"/>
        <v>-27736.47</v>
      </c>
      <c r="Y61" s="2"/>
      <c r="Z61" s="7">
        <f t="shared" si="27"/>
        <v>-0.44664202898550726</v>
      </c>
    </row>
    <row r="62" spans="1:26" s="24" customFormat="1" hidden="1" outlineLevel="2" x14ac:dyDescent="0.3">
      <c r="A62" s="27"/>
      <c r="B62" s="11" t="str">
        <f>CONCATENATE("          ", "6009", " - ", "TEMPORARY-SEASONAL")</f>
        <v xml:space="preserve">          6009 - TEMPORARY-SEASONAL</v>
      </c>
      <c r="C62" s="11"/>
      <c r="D62" s="6"/>
      <c r="E62" s="2"/>
      <c r="F62" s="7">
        <f t="shared" si="20"/>
        <v>0</v>
      </c>
      <c r="G62" s="2"/>
      <c r="H62" s="6">
        <v>0</v>
      </c>
      <c r="I62" s="2"/>
      <c r="J62" s="7">
        <f t="shared" si="21"/>
        <v>0</v>
      </c>
      <c r="K62" s="2"/>
      <c r="L62" s="6">
        <f t="shared" si="22"/>
        <v>0</v>
      </c>
      <c r="M62" s="2"/>
      <c r="N62" s="7">
        <f t="shared" si="23"/>
        <v>0</v>
      </c>
      <c r="O62" s="11"/>
      <c r="P62" s="6"/>
      <c r="Q62" s="2"/>
      <c r="R62" s="7">
        <f t="shared" si="24"/>
        <v>0</v>
      </c>
      <c r="S62" s="2"/>
      <c r="T62" s="6">
        <v>0</v>
      </c>
      <c r="U62" s="2"/>
      <c r="V62" s="7">
        <f t="shared" si="25"/>
        <v>0</v>
      </c>
      <c r="W62" s="2"/>
      <c r="X62" s="6">
        <f t="shared" si="26"/>
        <v>0</v>
      </c>
      <c r="Y62" s="2"/>
      <c r="Z62" s="7">
        <f t="shared" si="27"/>
        <v>0</v>
      </c>
    </row>
    <row r="63" spans="1:26" s="24" customFormat="1" hidden="1" outlineLevel="2" x14ac:dyDescent="0.3">
      <c r="A63" s="27"/>
      <c r="B63" s="11" t="str">
        <f>CONCATENATE("          ", "6010", " - ", "GRATUITY")</f>
        <v xml:space="preserve">          6010 - GRATUITY</v>
      </c>
      <c r="C63" s="11"/>
      <c r="D63" s="6"/>
      <c r="E63" s="2"/>
      <c r="F63" s="7">
        <f t="shared" si="20"/>
        <v>0</v>
      </c>
      <c r="G63" s="2"/>
      <c r="H63" s="6">
        <v>0</v>
      </c>
      <c r="I63" s="2"/>
      <c r="J63" s="7">
        <f t="shared" si="21"/>
        <v>0</v>
      </c>
      <c r="K63" s="2"/>
      <c r="L63" s="6">
        <f t="shared" si="22"/>
        <v>0</v>
      </c>
      <c r="M63" s="2"/>
      <c r="N63" s="7">
        <f t="shared" si="23"/>
        <v>0</v>
      </c>
      <c r="O63" s="11"/>
      <c r="P63" s="6"/>
      <c r="Q63" s="2"/>
      <c r="R63" s="7">
        <f t="shared" si="24"/>
        <v>0</v>
      </c>
      <c r="S63" s="2"/>
      <c r="T63" s="6">
        <v>0</v>
      </c>
      <c r="U63" s="2"/>
      <c r="V63" s="7">
        <f t="shared" si="25"/>
        <v>0</v>
      </c>
      <c r="W63" s="2"/>
      <c r="X63" s="6">
        <f t="shared" si="26"/>
        <v>0</v>
      </c>
      <c r="Y63" s="2"/>
      <c r="Z63" s="7">
        <f t="shared" si="27"/>
        <v>0</v>
      </c>
    </row>
    <row r="64" spans="1:26" s="29" customFormat="1" outlineLevel="1" collapsed="1" x14ac:dyDescent="0.3">
      <c r="A64" s="28"/>
      <c r="B64" s="14" t="str">
        <f>CONCATENATE("     ","Advertising/Promo                                 ")</f>
        <v xml:space="preserve">     Advertising/Promo                                 </v>
      </c>
      <c r="C64" s="14"/>
      <c r="D64" s="1">
        <f>SUM(OSRRefD22_2x_0)</f>
        <v>348.39</v>
      </c>
      <c r="E64" s="1"/>
      <c r="F64" s="5">
        <f t="shared" ref="F64:F76" si="28">IF(D$12=0,0,D64/D$12)</f>
        <v>1.4768333765784374E-3</v>
      </c>
      <c r="G64" s="1"/>
      <c r="H64" s="1">
        <f>SUM(OSRRefH22_2x_0)</f>
        <v>50</v>
      </c>
      <c r="I64" s="1"/>
      <c r="J64" s="5">
        <f t="shared" ref="J64:J76" si="29">IF(H$12=0,0,H64/H$12)</f>
        <v>2.9711148217033997E-4</v>
      </c>
      <c r="K64" s="1"/>
      <c r="L64" s="1">
        <f t="shared" ref="L64:L76" si="30">+D64-H64</f>
        <v>298.39</v>
      </c>
      <c r="M64" s="1"/>
      <c r="N64" s="5">
        <f t="shared" ref="N64:N76" si="31">IF(H64=0,0,L64/H64)</f>
        <v>5.9677999999999995</v>
      </c>
      <c r="O64" s="14"/>
      <c r="P64" s="1">
        <f>SUM(OSRRefP22_2x_0)</f>
        <v>2028.45</v>
      </c>
      <c r="Q64" s="1"/>
      <c r="R64" s="5">
        <f t="shared" ref="R64:R76" si="32">IF(P$12=0,0,P64/P$12)</f>
        <v>1.3609001175662857E-3</v>
      </c>
      <c r="S64" s="1"/>
      <c r="T64" s="1">
        <f>SUM(OSRRefT22_2x_0)</f>
        <v>1650</v>
      </c>
      <c r="U64" s="1"/>
      <c r="V64" s="5">
        <f t="shared" ref="V64:V76" si="33">IF(T$12=0,0,T64/T$12)</f>
        <v>1.3204521228068491E-3</v>
      </c>
      <c r="W64" s="1"/>
      <c r="X64" s="1">
        <f t="shared" ref="X64:X76" si="34">+P64-T64</f>
        <v>378.45000000000005</v>
      </c>
      <c r="Y64" s="1"/>
      <c r="Z64" s="5">
        <f t="shared" ref="Z64:Z76" si="35">IF(T64=0,0,X64/T64)</f>
        <v>0.22936363636363638</v>
      </c>
    </row>
    <row r="65" spans="1:26" s="24" customFormat="1" hidden="1" outlineLevel="2" x14ac:dyDescent="0.3">
      <c r="A65" s="27"/>
      <c r="B65" s="11" t="str">
        <f>CONCATENATE("          ", "6362", " - ", "ADVERTISING EXPENSE")</f>
        <v xml:space="preserve">          6362 - ADVERTISING EXPENSE</v>
      </c>
      <c r="C65" s="11"/>
      <c r="D65" s="6">
        <v>348.39</v>
      </c>
      <c r="E65" s="2"/>
      <c r="F65" s="7">
        <f t="shared" si="28"/>
        <v>1.4768333765784374E-3</v>
      </c>
      <c r="G65" s="2"/>
      <c r="H65" s="6">
        <v>50</v>
      </c>
      <c r="I65" s="2"/>
      <c r="J65" s="7">
        <f t="shared" si="29"/>
        <v>2.9711148217033997E-4</v>
      </c>
      <c r="K65" s="2"/>
      <c r="L65" s="6">
        <f t="shared" si="30"/>
        <v>298.39</v>
      </c>
      <c r="M65" s="2"/>
      <c r="N65" s="7">
        <f t="shared" si="31"/>
        <v>5.9677999999999995</v>
      </c>
      <c r="O65" s="11"/>
      <c r="P65" s="6">
        <v>2028.45</v>
      </c>
      <c r="Q65" s="2"/>
      <c r="R65" s="7">
        <f t="shared" si="32"/>
        <v>1.3609001175662857E-3</v>
      </c>
      <c r="S65" s="2"/>
      <c r="T65" s="6">
        <v>1650</v>
      </c>
      <c r="U65" s="2"/>
      <c r="V65" s="7">
        <f t="shared" si="33"/>
        <v>1.3204521228068491E-3</v>
      </c>
      <c r="W65" s="2"/>
      <c r="X65" s="6">
        <f t="shared" si="34"/>
        <v>378.45000000000005</v>
      </c>
      <c r="Y65" s="2"/>
      <c r="Z65" s="7">
        <f t="shared" si="35"/>
        <v>0.22936363636363638</v>
      </c>
    </row>
    <row r="66" spans="1:26" s="29" customFormat="1" outlineLevel="1" collapsed="1" x14ac:dyDescent="0.3">
      <c r="A66" s="28"/>
      <c r="B66" s="14" t="str">
        <f>CONCATENATE("     ","Bad Debts/Over/Short                              ")</f>
        <v xml:space="preserve">     Bad Debts/Over/Short                              </v>
      </c>
      <c r="C66" s="14"/>
      <c r="D66" s="1">
        <f>SUM(OSRRefD22_3x_0)</f>
        <v>0</v>
      </c>
      <c r="E66" s="1"/>
      <c r="F66" s="5">
        <f t="shared" si="28"/>
        <v>0</v>
      </c>
      <c r="G66" s="1"/>
      <c r="H66" s="1">
        <f>SUM(OSRRefH22_3x_0)</f>
        <v>0</v>
      </c>
      <c r="I66" s="1"/>
      <c r="J66" s="5">
        <f t="shared" si="29"/>
        <v>0</v>
      </c>
      <c r="K66" s="1"/>
      <c r="L66" s="1">
        <f t="shared" si="30"/>
        <v>0</v>
      </c>
      <c r="M66" s="1"/>
      <c r="N66" s="5">
        <f t="shared" si="31"/>
        <v>0</v>
      </c>
      <c r="O66" s="14"/>
      <c r="P66" s="1">
        <f>SUM(OSRRefP22_3x_0)</f>
        <v>0</v>
      </c>
      <c r="Q66" s="1"/>
      <c r="R66" s="5">
        <f t="shared" si="32"/>
        <v>0</v>
      </c>
      <c r="S66" s="1"/>
      <c r="T66" s="1">
        <f>SUM(OSRRefT22_3x_0)</f>
        <v>0</v>
      </c>
      <c r="U66" s="1"/>
      <c r="V66" s="5">
        <f t="shared" si="33"/>
        <v>0</v>
      </c>
      <c r="W66" s="1"/>
      <c r="X66" s="1">
        <f t="shared" si="34"/>
        <v>0</v>
      </c>
      <c r="Y66" s="1"/>
      <c r="Z66" s="5">
        <f t="shared" si="35"/>
        <v>0</v>
      </c>
    </row>
    <row r="67" spans="1:26" s="24" customFormat="1" hidden="1" outlineLevel="2" x14ac:dyDescent="0.3">
      <c r="A67" s="27"/>
      <c r="B67" s="11" t="str">
        <f>CONCATENATE("          ", "6272", " - ", "CASH (OVER/SHORT)")</f>
        <v xml:space="preserve">          6272 - CASH (OVER/SHORT)</v>
      </c>
      <c r="C67" s="11"/>
      <c r="D67" s="6"/>
      <c r="E67" s="2"/>
      <c r="F67" s="7">
        <f t="shared" si="28"/>
        <v>0</v>
      </c>
      <c r="G67" s="2"/>
      <c r="H67" s="6">
        <v>0</v>
      </c>
      <c r="I67" s="2"/>
      <c r="J67" s="7">
        <f t="shared" si="29"/>
        <v>0</v>
      </c>
      <c r="K67" s="2"/>
      <c r="L67" s="6">
        <f t="shared" si="30"/>
        <v>0</v>
      </c>
      <c r="M67" s="2"/>
      <c r="N67" s="7">
        <f t="shared" si="31"/>
        <v>0</v>
      </c>
      <c r="O67" s="11"/>
      <c r="P67" s="6"/>
      <c r="Q67" s="2"/>
      <c r="R67" s="7">
        <f t="shared" si="32"/>
        <v>0</v>
      </c>
      <c r="S67" s="2"/>
      <c r="T67" s="6">
        <v>0</v>
      </c>
      <c r="U67" s="2"/>
      <c r="V67" s="7">
        <f t="shared" si="33"/>
        <v>0</v>
      </c>
      <c r="W67" s="2"/>
      <c r="X67" s="6">
        <f t="shared" si="34"/>
        <v>0</v>
      </c>
      <c r="Y67" s="2"/>
      <c r="Z67" s="7">
        <f t="shared" si="35"/>
        <v>0</v>
      </c>
    </row>
    <row r="68" spans="1:26" s="29" customFormat="1" outlineLevel="1" collapsed="1" x14ac:dyDescent="0.3">
      <c r="A68" s="28"/>
      <c r="B68" s="14" t="str">
        <f>CONCATENATE("     ","Bank/card Fees                                    ")</f>
        <v xml:space="preserve">     Bank/card Fees                                    </v>
      </c>
      <c r="C68" s="14"/>
      <c r="D68" s="1">
        <f>SUM(OSRRefD22_4x_0)</f>
        <v>0</v>
      </c>
      <c r="E68" s="1"/>
      <c r="F68" s="5">
        <f t="shared" si="28"/>
        <v>0</v>
      </c>
      <c r="G68" s="1"/>
      <c r="H68" s="1">
        <f>SUM(OSRRefH22_4x_0)</f>
        <v>0</v>
      </c>
      <c r="I68" s="1"/>
      <c r="J68" s="5">
        <f t="shared" si="29"/>
        <v>0</v>
      </c>
      <c r="K68" s="1"/>
      <c r="L68" s="1">
        <f t="shared" si="30"/>
        <v>0</v>
      </c>
      <c r="M68" s="1"/>
      <c r="N68" s="5">
        <f t="shared" si="31"/>
        <v>0</v>
      </c>
      <c r="O68" s="14"/>
      <c r="P68" s="1">
        <f>SUM(OSRRefP22_4x_0)</f>
        <v>0</v>
      </c>
      <c r="Q68" s="1"/>
      <c r="R68" s="5">
        <f t="shared" si="32"/>
        <v>0</v>
      </c>
      <c r="S68" s="1"/>
      <c r="T68" s="1">
        <f>SUM(OSRRefT22_4x_0)</f>
        <v>0</v>
      </c>
      <c r="U68" s="1"/>
      <c r="V68" s="5">
        <f t="shared" si="33"/>
        <v>0</v>
      </c>
      <c r="W68" s="1"/>
      <c r="X68" s="1">
        <f t="shared" si="34"/>
        <v>0</v>
      </c>
      <c r="Y68" s="1"/>
      <c r="Z68" s="5">
        <f t="shared" si="35"/>
        <v>0</v>
      </c>
    </row>
    <row r="69" spans="1:26" s="24" customFormat="1" hidden="1" outlineLevel="2" x14ac:dyDescent="0.3">
      <c r="A69" s="27"/>
      <c r="B69" s="11" t="str">
        <f>CONCATENATE("          ", "6381", " - ", "BANK/CREDIT CARD FEES")</f>
        <v xml:space="preserve">          6381 - BANK/CREDIT CARD FEES</v>
      </c>
      <c r="C69" s="11"/>
      <c r="D69" s="6"/>
      <c r="E69" s="2"/>
      <c r="F69" s="7">
        <f t="shared" si="28"/>
        <v>0</v>
      </c>
      <c r="G69" s="2"/>
      <c r="H69" s="6">
        <v>0</v>
      </c>
      <c r="I69" s="2"/>
      <c r="J69" s="7">
        <f t="shared" si="29"/>
        <v>0</v>
      </c>
      <c r="K69" s="2"/>
      <c r="L69" s="6">
        <f t="shared" si="30"/>
        <v>0</v>
      </c>
      <c r="M69" s="2"/>
      <c r="N69" s="7">
        <f t="shared" si="31"/>
        <v>0</v>
      </c>
      <c r="O69" s="11"/>
      <c r="P69" s="6"/>
      <c r="Q69" s="2"/>
      <c r="R69" s="7">
        <f t="shared" si="32"/>
        <v>0</v>
      </c>
      <c r="S69" s="2"/>
      <c r="T69" s="6">
        <v>0</v>
      </c>
      <c r="U69" s="2"/>
      <c r="V69" s="7">
        <f t="shared" si="33"/>
        <v>0</v>
      </c>
      <c r="W69" s="2"/>
      <c r="X69" s="6">
        <f t="shared" si="34"/>
        <v>0</v>
      </c>
      <c r="Y69" s="2"/>
      <c r="Z69" s="7">
        <f t="shared" si="35"/>
        <v>0</v>
      </c>
    </row>
    <row r="70" spans="1:26" s="29" customFormat="1" outlineLevel="1" collapsed="1" x14ac:dyDescent="0.3">
      <c r="A70" s="28"/>
      <c r="B70" s="14" t="str">
        <f>CONCATENATE("     ","Discounts and Markdowns                           ")</f>
        <v xml:space="preserve">     Discounts and Markdowns                           </v>
      </c>
      <c r="C70" s="14"/>
      <c r="D70" s="1">
        <f>SUM(OSRRefD22_5x_0)</f>
        <v>0</v>
      </c>
      <c r="E70" s="1"/>
      <c r="F70" s="5">
        <f t="shared" si="28"/>
        <v>0</v>
      </c>
      <c r="G70" s="1"/>
      <c r="H70" s="1">
        <f>SUM(OSRRefH22_5x_0)</f>
        <v>0</v>
      </c>
      <c r="I70" s="1"/>
      <c r="J70" s="5">
        <f t="shared" si="29"/>
        <v>0</v>
      </c>
      <c r="K70" s="1"/>
      <c r="L70" s="1">
        <f t="shared" si="30"/>
        <v>0</v>
      </c>
      <c r="M70" s="1"/>
      <c r="N70" s="5">
        <f t="shared" si="31"/>
        <v>0</v>
      </c>
      <c r="O70" s="14"/>
      <c r="P70" s="1">
        <f>SUM(OSRRefP22_5x_0)</f>
        <v>0</v>
      </c>
      <c r="Q70" s="1"/>
      <c r="R70" s="5">
        <f t="shared" si="32"/>
        <v>0</v>
      </c>
      <c r="S70" s="1"/>
      <c r="T70" s="1">
        <f>SUM(OSRRefT22_5x_0)</f>
        <v>0</v>
      </c>
      <c r="U70" s="1"/>
      <c r="V70" s="5">
        <f t="shared" si="33"/>
        <v>0</v>
      </c>
      <c r="W70" s="1"/>
      <c r="X70" s="1">
        <f t="shared" si="34"/>
        <v>0</v>
      </c>
      <c r="Y70" s="1"/>
      <c r="Z70" s="5">
        <f t="shared" si="35"/>
        <v>0</v>
      </c>
    </row>
    <row r="71" spans="1:26" s="24" customFormat="1" hidden="1" outlineLevel="2" x14ac:dyDescent="0.3">
      <c r="A71" s="27"/>
      <c r="B71" s="11" t="str">
        <f>CONCATENATE("          ", "9175", " - ", "EARNED DISCOUNTS")</f>
        <v xml:space="preserve">          9175 - EARNED DISCOUNTS</v>
      </c>
      <c r="C71" s="11"/>
      <c r="D71" s="6">
        <v>0</v>
      </c>
      <c r="E71" s="2"/>
      <c r="F71" s="7">
        <f t="shared" si="28"/>
        <v>0</v>
      </c>
      <c r="G71" s="2"/>
      <c r="H71" s="6"/>
      <c r="I71" s="2"/>
      <c r="J71" s="7">
        <f t="shared" si="29"/>
        <v>0</v>
      </c>
      <c r="K71" s="2"/>
      <c r="L71" s="6">
        <f t="shared" si="30"/>
        <v>0</v>
      </c>
      <c r="M71" s="2"/>
      <c r="N71" s="7">
        <f t="shared" si="31"/>
        <v>0</v>
      </c>
      <c r="O71" s="11"/>
      <c r="P71" s="6">
        <v>0</v>
      </c>
      <c r="Q71" s="2"/>
      <c r="R71" s="7">
        <f t="shared" si="32"/>
        <v>0</v>
      </c>
      <c r="S71" s="2"/>
      <c r="T71" s="6"/>
      <c r="U71" s="2"/>
      <c r="V71" s="7">
        <f t="shared" si="33"/>
        <v>0</v>
      </c>
      <c r="W71" s="2"/>
      <c r="X71" s="6">
        <f t="shared" si="34"/>
        <v>0</v>
      </c>
      <c r="Y71" s="2"/>
      <c r="Z71" s="7">
        <f t="shared" si="35"/>
        <v>0</v>
      </c>
    </row>
    <row r="72" spans="1:26" s="29" customFormat="1" outlineLevel="1" collapsed="1" x14ac:dyDescent="0.3">
      <c r="A72" s="28"/>
      <c r="B72" s="14" t="str">
        <f>CONCATENATE("     ","Employees' Appreciation                           ")</f>
        <v xml:space="preserve">     Employees' Appreciation                           </v>
      </c>
      <c r="C72" s="14"/>
      <c r="D72" s="1">
        <f>SUM(OSRRefD22_6x_0)</f>
        <v>0</v>
      </c>
      <c r="E72" s="1"/>
      <c r="F72" s="5">
        <f t="shared" si="28"/>
        <v>0</v>
      </c>
      <c r="G72" s="1"/>
      <c r="H72" s="1">
        <f>SUM(OSRRefH22_6x_0)</f>
        <v>50</v>
      </c>
      <c r="I72" s="1"/>
      <c r="J72" s="5">
        <f t="shared" si="29"/>
        <v>2.9711148217033997E-4</v>
      </c>
      <c r="K72" s="1"/>
      <c r="L72" s="1">
        <f t="shared" si="30"/>
        <v>-50</v>
      </c>
      <c r="M72" s="1"/>
      <c r="N72" s="5">
        <f t="shared" si="31"/>
        <v>-1</v>
      </c>
      <c r="O72" s="14"/>
      <c r="P72" s="1">
        <f>SUM(OSRRefP22_6x_0)</f>
        <v>216.44</v>
      </c>
      <c r="Q72" s="1"/>
      <c r="R72" s="5">
        <f t="shared" si="32"/>
        <v>1.4521098446895257E-4</v>
      </c>
      <c r="S72" s="1"/>
      <c r="T72" s="1">
        <f>SUM(OSRRefT22_6x_0)</f>
        <v>250</v>
      </c>
      <c r="U72" s="1"/>
      <c r="V72" s="5">
        <f t="shared" si="33"/>
        <v>2.0006850345558318E-4</v>
      </c>
      <c r="W72" s="1"/>
      <c r="X72" s="1">
        <f t="shared" si="34"/>
        <v>-33.56</v>
      </c>
      <c r="Y72" s="1"/>
      <c r="Z72" s="5">
        <f t="shared" si="35"/>
        <v>-0.13424</v>
      </c>
    </row>
    <row r="73" spans="1:26" s="24" customFormat="1" hidden="1" outlineLevel="2" x14ac:dyDescent="0.3">
      <c r="A73" s="27"/>
      <c r="B73" s="11" t="str">
        <f>CONCATENATE("          ", "6277", " - ", "EMPLOYEE APPRECIATION")</f>
        <v xml:space="preserve">          6277 - EMPLOYEE APPRECIATION</v>
      </c>
      <c r="C73" s="11"/>
      <c r="D73" s="6"/>
      <c r="E73" s="2"/>
      <c r="F73" s="7">
        <f t="shared" si="28"/>
        <v>0</v>
      </c>
      <c r="G73" s="2"/>
      <c r="H73" s="6">
        <v>50</v>
      </c>
      <c r="I73" s="2"/>
      <c r="J73" s="7">
        <f t="shared" si="29"/>
        <v>2.9711148217033997E-4</v>
      </c>
      <c r="K73" s="2"/>
      <c r="L73" s="6">
        <f t="shared" si="30"/>
        <v>-50</v>
      </c>
      <c r="M73" s="2"/>
      <c r="N73" s="7">
        <f t="shared" si="31"/>
        <v>-1</v>
      </c>
      <c r="O73" s="11"/>
      <c r="P73" s="6">
        <v>216.44</v>
      </c>
      <c r="Q73" s="2"/>
      <c r="R73" s="7">
        <f t="shared" si="32"/>
        <v>1.4521098446895257E-4</v>
      </c>
      <c r="S73" s="2"/>
      <c r="T73" s="6">
        <v>250</v>
      </c>
      <c r="U73" s="2"/>
      <c r="V73" s="7">
        <f t="shared" si="33"/>
        <v>2.0006850345558318E-4</v>
      </c>
      <c r="W73" s="2"/>
      <c r="X73" s="6">
        <f t="shared" si="34"/>
        <v>-33.56</v>
      </c>
      <c r="Y73" s="2"/>
      <c r="Z73" s="7">
        <f t="shared" si="35"/>
        <v>-0.13424</v>
      </c>
    </row>
    <row r="74" spans="1:26" s="29" customFormat="1" outlineLevel="1" collapsed="1" x14ac:dyDescent="0.3">
      <c r="A74" s="28"/>
      <c r="B74" s="14" t="str">
        <f>CONCATENATE("     ","Freight out/Postage                               ")</f>
        <v xml:space="preserve">     Freight out/Postage                               </v>
      </c>
      <c r="C74" s="14"/>
      <c r="D74" s="1">
        <f>SUM(OSRRefD22_7x_0)</f>
        <v>3.52</v>
      </c>
      <c r="E74" s="1"/>
      <c r="F74" s="5">
        <f t="shared" si="28"/>
        <v>1.4921362512001205E-5</v>
      </c>
      <c r="G74" s="1"/>
      <c r="H74" s="1">
        <f>SUM(OSRRefH22_7x_0)</f>
        <v>50</v>
      </c>
      <c r="I74" s="1"/>
      <c r="J74" s="5">
        <f t="shared" si="29"/>
        <v>2.9711148217033997E-4</v>
      </c>
      <c r="K74" s="1"/>
      <c r="L74" s="1">
        <f t="shared" si="30"/>
        <v>-46.48</v>
      </c>
      <c r="M74" s="1"/>
      <c r="N74" s="5">
        <f t="shared" si="31"/>
        <v>-0.92959999999999998</v>
      </c>
      <c r="O74" s="14"/>
      <c r="P74" s="1">
        <f>SUM(OSRRefP22_7x_0)</f>
        <v>929.29</v>
      </c>
      <c r="Q74" s="1"/>
      <c r="R74" s="5">
        <f t="shared" si="32"/>
        <v>6.2346662242262487E-4</v>
      </c>
      <c r="S74" s="1"/>
      <c r="T74" s="1">
        <f>SUM(OSRRefT22_7x_0)</f>
        <v>250</v>
      </c>
      <c r="U74" s="1"/>
      <c r="V74" s="5">
        <f t="shared" si="33"/>
        <v>2.0006850345558318E-4</v>
      </c>
      <c r="W74" s="1"/>
      <c r="X74" s="1">
        <f t="shared" si="34"/>
        <v>679.29</v>
      </c>
      <c r="Y74" s="1"/>
      <c r="Z74" s="5">
        <f t="shared" si="35"/>
        <v>2.7171599999999998</v>
      </c>
    </row>
    <row r="75" spans="1:26" s="24" customFormat="1" hidden="1" outlineLevel="2" x14ac:dyDescent="0.3">
      <c r="A75" s="27"/>
      <c r="B75" s="11" t="str">
        <f>CONCATENATE("          ", "6305", " - ", "FREIGHT OUT")</f>
        <v xml:space="preserve">          6305 - FREIGHT OUT</v>
      </c>
      <c r="C75" s="11"/>
      <c r="D75" s="6">
        <v>3.52</v>
      </c>
      <c r="E75" s="2"/>
      <c r="F75" s="7">
        <f t="shared" si="28"/>
        <v>1.4921362512001205E-5</v>
      </c>
      <c r="G75" s="2"/>
      <c r="H75" s="6">
        <v>50</v>
      </c>
      <c r="I75" s="2"/>
      <c r="J75" s="7">
        <f t="shared" si="29"/>
        <v>2.9711148217033997E-4</v>
      </c>
      <c r="K75" s="2"/>
      <c r="L75" s="6">
        <f t="shared" si="30"/>
        <v>-46.48</v>
      </c>
      <c r="M75" s="2"/>
      <c r="N75" s="7">
        <f t="shared" si="31"/>
        <v>-0.92959999999999998</v>
      </c>
      <c r="O75" s="11"/>
      <c r="P75" s="6">
        <v>893.87</v>
      </c>
      <c r="Q75" s="2"/>
      <c r="R75" s="7">
        <f t="shared" si="32"/>
        <v>5.9970311720228535E-4</v>
      </c>
      <c r="S75" s="2"/>
      <c r="T75" s="6">
        <v>250</v>
      </c>
      <c r="U75" s="2"/>
      <c r="V75" s="7">
        <f t="shared" si="33"/>
        <v>2.0006850345558318E-4</v>
      </c>
      <c r="W75" s="2"/>
      <c r="X75" s="6">
        <f t="shared" si="34"/>
        <v>643.87</v>
      </c>
      <c r="Y75" s="2"/>
      <c r="Z75" s="7">
        <f t="shared" si="35"/>
        <v>2.5754800000000002</v>
      </c>
    </row>
    <row r="76" spans="1:26" s="24" customFormat="1" hidden="1" outlineLevel="2" x14ac:dyDescent="0.3">
      <c r="A76" s="27"/>
      <c r="B76" s="11" t="str">
        <f>CONCATENATE("          ", "6307", " - ", "POSTAGE")</f>
        <v xml:space="preserve">          6307 - POSTAGE</v>
      </c>
      <c r="C76" s="11"/>
      <c r="D76" s="6"/>
      <c r="E76" s="2"/>
      <c r="F76" s="7">
        <f t="shared" si="28"/>
        <v>0</v>
      </c>
      <c r="G76" s="2"/>
      <c r="H76" s="6"/>
      <c r="I76" s="2"/>
      <c r="J76" s="7">
        <f t="shared" si="29"/>
        <v>0</v>
      </c>
      <c r="K76" s="2"/>
      <c r="L76" s="6">
        <f t="shared" si="30"/>
        <v>0</v>
      </c>
      <c r="M76" s="2"/>
      <c r="N76" s="7">
        <f t="shared" si="31"/>
        <v>0</v>
      </c>
      <c r="O76" s="11"/>
      <c r="P76" s="6">
        <v>35.42</v>
      </c>
      <c r="Q76" s="2"/>
      <c r="R76" s="7">
        <f t="shared" si="32"/>
        <v>2.3763505220339589E-5</v>
      </c>
      <c r="S76" s="2"/>
      <c r="T76" s="6"/>
      <c r="U76" s="2"/>
      <c r="V76" s="7">
        <f t="shared" si="33"/>
        <v>0</v>
      </c>
      <c r="W76" s="2"/>
      <c r="X76" s="6">
        <f t="shared" si="34"/>
        <v>35.42</v>
      </c>
      <c r="Y76" s="2"/>
      <c r="Z76" s="7">
        <f t="shared" si="35"/>
        <v>0</v>
      </c>
    </row>
    <row r="77" spans="1:26" s="29" customFormat="1" outlineLevel="1" collapsed="1" x14ac:dyDescent="0.3">
      <c r="A77" s="28"/>
      <c r="B77" s="14" t="str">
        <f>CONCATENATE("     ","General                                           ")</f>
        <v xml:space="preserve">     General                                           </v>
      </c>
      <c r="C77" s="14"/>
      <c r="D77" s="1">
        <f>SUM(OSRRefD22_8x_0)</f>
        <v>0</v>
      </c>
      <c r="E77" s="1"/>
      <c r="F77" s="5">
        <f t="shared" ref="F77:F85" si="36">IF(D$12=0,0,D77/D$12)</f>
        <v>0</v>
      </c>
      <c r="G77" s="1"/>
      <c r="H77" s="1">
        <f>SUM(OSRRefH22_8x_0)</f>
        <v>0</v>
      </c>
      <c r="I77" s="1"/>
      <c r="J77" s="5">
        <f t="shared" ref="J77:J85" si="37">IF(H$12=0,0,H77/H$12)</f>
        <v>0</v>
      </c>
      <c r="K77" s="1"/>
      <c r="L77" s="1">
        <f t="shared" ref="L77:L85" si="38">+D77-H77</f>
        <v>0</v>
      </c>
      <c r="M77" s="1"/>
      <c r="N77" s="5">
        <f t="shared" ref="N77:N85" si="39">IF(H77=0,0,L77/H77)</f>
        <v>0</v>
      </c>
      <c r="O77" s="14"/>
      <c r="P77" s="1">
        <f>SUM(OSRRefP22_8x_0)</f>
        <v>0</v>
      </c>
      <c r="Q77" s="1"/>
      <c r="R77" s="5">
        <f t="shared" ref="R77:R85" si="40">IF(P$12=0,0,P77/P$12)</f>
        <v>0</v>
      </c>
      <c r="S77" s="1"/>
      <c r="T77" s="1">
        <f>SUM(OSRRefT22_8x_0)</f>
        <v>0</v>
      </c>
      <c r="U77" s="1"/>
      <c r="V77" s="5">
        <f t="shared" ref="V77:V85" si="41">IF(T$12=0,0,T77/T$12)</f>
        <v>0</v>
      </c>
      <c r="W77" s="1"/>
      <c r="X77" s="1">
        <f t="shared" ref="X77:X85" si="42">+P77-T77</f>
        <v>0</v>
      </c>
      <c r="Y77" s="1"/>
      <c r="Z77" s="5">
        <f t="shared" ref="Z77:Z85" si="43">IF(T77=0,0,X77/T77)</f>
        <v>0</v>
      </c>
    </row>
    <row r="78" spans="1:26" s="24" customFormat="1" hidden="1" outlineLevel="2" x14ac:dyDescent="0.3">
      <c r="A78" s="27"/>
      <c r="B78" s="11" t="str">
        <f>CONCATENATE("          ", "6279", " - ", "GENERAL EXPENSE")</f>
        <v xml:space="preserve">          6279 - GENERAL EXPENSE</v>
      </c>
      <c r="C78" s="11"/>
      <c r="D78" s="6"/>
      <c r="E78" s="2"/>
      <c r="F78" s="7">
        <f t="shared" si="36"/>
        <v>0</v>
      </c>
      <c r="G78" s="2"/>
      <c r="H78" s="6">
        <v>0</v>
      </c>
      <c r="I78" s="2"/>
      <c r="J78" s="7">
        <f t="shared" si="37"/>
        <v>0</v>
      </c>
      <c r="K78" s="2"/>
      <c r="L78" s="6">
        <f t="shared" si="38"/>
        <v>0</v>
      </c>
      <c r="M78" s="2"/>
      <c r="N78" s="7">
        <f t="shared" si="39"/>
        <v>0</v>
      </c>
      <c r="O78" s="11"/>
      <c r="P78" s="6"/>
      <c r="Q78" s="2"/>
      <c r="R78" s="7">
        <f t="shared" si="40"/>
        <v>0</v>
      </c>
      <c r="S78" s="2"/>
      <c r="T78" s="6">
        <v>0</v>
      </c>
      <c r="U78" s="2"/>
      <c r="V78" s="7">
        <f t="shared" si="41"/>
        <v>0</v>
      </c>
      <c r="W78" s="2"/>
      <c r="X78" s="6">
        <f t="shared" si="42"/>
        <v>0</v>
      </c>
      <c r="Y78" s="2"/>
      <c r="Z78" s="7">
        <f t="shared" si="43"/>
        <v>0</v>
      </c>
    </row>
    <row r="79" spans="1:26" s="29" customFormat="1" outlineLevel="1" collapsed="1" x14ac:dyDescent="0.3">
      <c r="A79" s="28"/>
      <c r="B79" s="14" t="str">
        <f>CONCATENATE("     ","Inventory Adjustment                              ")</f>
        <v xml:space="preserve">     Inventory Adjustment                              </v>
      </c>
      <c r="C79" s="14"/>
      <c r="D79" s="1">
        <f>SUM(OSRRefD22_9x_0)</f>
        <v>3350</v>
      </c>
      <c r="E79" s="1"/>
      <c r="F79" s="5">
        <f t="shared" si="36"/>
        <v>1.42007285270466E-2</v>
      </c>
      <c r="G79" s="1"/>
      <c r="H79" s="1">
        <f>SUM(OSRRefH22_9x_0)</f>
        <v>3350</v>
      </c>
      <c r="I79" s="1"/>
      <c r="J79" s="5">
        <f t="shared" si="37"/>
        <v>1.9906469305412778E-2</v>
      </c>
      <c r="K79" s="1"/>
      <c r="L79" s="1">
        <f t="shared" si="38"/>
        <v>0</v>
      </c>
      <c r="M79" s="1"/>
      <c r="N79" s="5">
        <f t="shared" si="39"/>
        <v>0</v>
      </c>
      <c r="O79" s="14"/>
      <c r="P79" s="1">
        <f>SUM(OSRRefP22_9x_0)</f>
        <v>16750</v>
      </c>
      <c r="Q79" s="1"/>
      <c r="R79" s="5">
        <f t="shared" si="40"/>
        <v>1.1237682451741617E-2</v>
      </c>
      <c r="S79" s="1"/>
      <c r="T79" s="1">
        <f>SUM(OSRRefT22_9x_0)</f>
        <v>16750</v>
      </c>
      <c r="U79" s="1"/>
      <c r="V79" s="5">
        <f t="shared" si="41"/>
        <v>1.3404589731524074E-2</v>
      </c>
      <c r="W79" s="1"/>
      <c r="X79" s="1">
        <f t="shared" si="42"/>
        <v>0</v>
      </c>
      <c r="Y79" s="1"/>
      <c r="Z79" s="5">
        <f t="shared" si="43"/>
        <v>0</v>
      </c>
    </row>
    <row r="80" spans="1:26" s="24" customFormat="1" hidden="1" outlineLevel="2" x14ac:dyDescent="0.3">
      <c r="A80" s="27"/>
      <c r="B80" s="11" t="str">
        <f>CONCATENATE("          ", "6408", " - ", "INVENTORY ADJUSTMENT")</f>
        <v xml:space="preserve">          6408 - INVENTORY ADJUSTMENT</v>
      </c>
      <c r="C80" s="11"/>
      <c r="D80" s="6">
        <v>3350</v>
      </c>
      <c r="E80" s="2"/>
      <c r="F80" s="7">
        <f t="shared" si="36"/>
        <v>1.42007285270466E-2</v>
      </c>
      <c r="G80" s="2"/>
      <c r="H80" s="6">
        <v>3350</v>
      </c>
      <c r="I80" s="2"/>
      <c r="J80" s="7">
        <f t="shared" si="37"/>
        <v>1.9906469305412778E-2</v>
      </c>
      <c r="K80" s="2"/>
      <c r="L80" s="6">
        <f t="shared" si="38"/>
        <v>0</v>
      </c>
      <c r="M80" s="2"/>
      <c r="N80" s="7">
        <f t="shared" si="39"/>
        <v>0</v>
      </c>
      <c r="O80" s="11"/>
      <c r="P80" s="6">
        <v>16750</v>
      </c>
      <c r="Q80" s="2"/>
      <c r="R80" s="7">
        <f t="shared" si="40"/>
        <v>1.1237682451741617E-2</v>
      </c>
      <c r="S80" s="2"/>
      <c r="T80" s="6">
        <v>16750</v>
      </c>
      <c r="U80" s="2"/>
      <c r="V80" s="7">
        <f t="shared" si="41"/>
        <v>1.3404589731524074E-2</v>
      </c>
      <c r="W80" s="2"/>
      <c r="X80" s="6">
        <f t="shared" si="42"/>
        <v>0</v>
      </c>
      <c r="Y80" s="2"/>
      <c r="Z80" s="7">
        <f t="shared" si="43"/>
        <v>0</v>
      </c>
    </row>
    <row r="81" spans="1:26" s="29" customFormat="1" outlineLevel="1" collapsed="1" x14ac:dyDescent="0.3">
      <c r="A81" s="28"/>
      <c r="B81" s="14" t="str">
        <f>CONCATENATE("     ","Professional Services                             ")</f>
        <v xml:space="preserve">     Professional Services                             </v>
      </c>
      <c r="C81" s="14"/>
      <c r="D81" s="1">
        <f>SUM(OSRRefD22_10x_0)</f>
        <v>0</v>
      </c>
      <c r="E81" s="1"/>
      <c r="F81" s="5">
        <f t="shared" si="36"/>
        <v>0</v>
      </c>
      <c r="G81" s="1"/>
      <c r="H81" s="1">
        <f>SUM(OSRRefH22_10x_0)</f>
        <v>0</v>
      </c>
      <c r="I81" s="1"/>
      <c r="J81" s="5">
        <f t="shared" si="37"/>
        <v>0</v>
      </c>
      <c r="K81" s="1"/>
      <c r="L81" s="1">
        <f t="shared" si="38"/>
        <v>0</v>
      </c>
      <c r="M81" s="1"/>
      <c r="N81" s="5">
        <f t="shared" si="39"/>
        <v>0</v>
      </c>
      <c r="O81" s="14"/>
      <c r="P81" s="1">
        <f>SUM(OSRRefP22_10x_0)</f>
        <v>507.64</v>
      </c>
      <c r="Q81" s="1"/>
      <c r="R81" s="5">
        <f t="shared" si="40"/>
        <v>3.4057893252549938E-4</v>
      </c>
      <c r="S81" s="1"/>
      <c r="T81" s="1">
        <f>SUM(OSRRefT22_10x_0)</f>
        <v>500</v>
      </c>
      <c r="U81" s="1"/>
      <c r="V81" s="5">
        <f t="shared" si="41"/>
        <v>4.0013700691116636E-4</v>
      </c>
      <c r="W81" s="1"/>
      <c r="X81" s="1">
        <f t="shared" si="42"/>
        <v>7.6399999999999864</v>
      </c>
      <c r="Y81" s="1"/>
      <c r="Z81" s="5">
        <f t="shared" si="43"/>
        <v>1.5279999999999972E-2</v>
      </c>
    </row>
    <row r="82" spans="1:26" s="24" customFormat="1" hidden="1" outlineLevel="2" x14ac:dyDescent="0.3">
      <c r="A82" s="27"/>
      <c r="B82" s="11" t="str">
        <f>CONCATENATE("          ", "6336", " - ", "PROFESSIONAL SERVICES")</f>
        <v xml:space="preserve">          6336 - PROFESSIONAL SERVICES</v>
      </c>
      <c r="C82" s="11"/>
      <c r="D82" s="6"/>
      <c r="E82" s="2"/>
      <c r="F82" s="7">
        <f t="shared" si="36"/>
        <v>0</v>
      </c>
      <c r="G82" s="2"/>
      <c r="H82" s="6">
        <v>0</v>
      </c>
      <c r="I82" s="2"/>
      <c r="J82" s="7">
        <f t="shared" si="37"/>
        <v>0</v>
      </c>
      <c r="K82" s="2"/>
      <c r="L82" s="6">
        <f t="shared" si="38"/>
        <v>0</v>
      </c>
      <c r="M82" s="2"/>
      <c r="N82" s="7">
        <f t="shared" si="39"/>
        <v>0</v>
      </c>
      <c r="O82" s="11"/>
      <c r="P82" s="6">
        <v>507.64</v>
      </c>
      <c r="Q82" s="2"/>
      <c r="R82" s="7">
        <f t="shared" si="40"/>
        <v>3.4057893252549938E-4</v>
      </c>
      <c r="S82" s="2"/>
      <c r="T82" s="6">
        <v>500</v>
      </c>
      <c r="U82" s="2"/>
      <c r="V82" s="7">
        <f t="shared" si="41"/>
        <v>4.0013700691116636E-4</v>
      </c>
      <c r="W82" s="2"/>
      <c r="X82" s="6">
        <f t="shared" si="42"/>
        <v>7.6399999999999864</v>
      </c>
      <c r="Y82" s="2"/>
      <c r="Z82" s="7">
        <f t="shared" si="43"/>
        <v>1.5279999999999972E-2</v>
      </c>
    </row>
    <row r="83" spans="1:26" s="29" customFormat="1" outlineLevel="1" collapsed="1" x14ac:dyDescent="0.3">
      <c r="A83" s="28"/>
      <c r="B83" s="14" t="str">
        <f>CONCATENATE("     ","Repair and Maintenance                            ")</f>
        <v xml:space="preserve">     Repair and Maintenance                            </v>
      </c>
      <c r="C83" s="14"/>
      <c r="D83" s="1">
        <f>SUM(OSRRefD22_11x_0)</f>
        <v>0</v>
      </c>
      <c r="E83" s="1"/>
      <c r="F83" s="5">
        <f t="shared" si="36"/>
        <v>0</v>
      </c>
      <c r="G83" s="1"/>
      <c r="H83" s="1">
        <f>SUM(OSRRefH22_11x_0)</f>
        <v>0</v>
      </c>
      <c r="I83" s="1"/>
      <c r="J83" s="5">
        <f t="shared" si="37"/>
        <v>0</v>
      </c>
      <c r="K83" s="1"/>
      <c r="L83" s="1">
        <f t="shared" si="38"/>
        <v>0</v>
      </c>
      <c r="M83" s="1"/>
      <c r="N83" s="5">
        <f t="shared" si="39"/>
        <v>0</v>
      </c>
      <c r="O83" s="14"/>
      <c r="P83" s="1">
        <f>SUM(OSRRefP22_11x_0)</f>
        <v>9.24</v>
      </c>
      <c r="Q83" s="1"/>
      <c r="R83" s="5">
        <f t="shared" si="40"/>
        <v>6.1991752748711969E-6</v>
      </c>
      <c r="S83" s="1"/>
      <c r="T83" s="1">
        <f>SUM(OSRRefT22_11x_0)</f>
        <v>0</v>
      </c>
      <c r="U83" s="1"/>
      <c r="V83" s="5">
        <f t="shared" si="41"/>
        <v>0</v>
      </c>
      <c r="W83" s="1"/>
      <c r="X83" s="1">
        <f t="shared" si="42"/>
        <v>9.24</v>
      </c>
      <c r="Y83" s="1"/>
      <c r="Z83" s="5">
        <f t="shared" si="43"/>
        <v>0</v>
      </c>
    </row>
    <row r="84" spans="1:26" s="24" customFormat="1" hidden="1" outlineLevel="2" x14ac:dyDescent="0.3">
      <c r="A84" s="27"/>
      <c r="B84" s="11" t="str">
        <f>CONCATENATE("          ", "6373", " - ", "MAINTENANCE CONTRACTS")</f>
        <v xml:space="preserve">          6373 - MAINTENANCE CONTRACTS</v>
      </c>
      <c r="C84" s="11"/>
      <c r="D84" s="6"/>
      <c r="E84" s="2"/>
      <c r="F84" s="7">
        <f t="shared" si="36"/>
        <v>0</v>
      </c>
      <c r="G84" s="2"/>
      <c r="H84" s="6"/>
      <c r="I84" s="2"/>
      <c r="J84" s="7">
        <f t="shared" si="37"/>
        <v>0</v>
      </c>
      <c r="K84" s="2"/>
      <c r="L84" s="6">
        <f t="shared" si="38"/>
        <v>0</v>
      </c>
      <c r="M84" s="2"/>
      <c r="N84" s="7">
        <f t="shared" si="39"/>
        <v>0</v>
      </c>
      <c r="O84" s="11"/>
      <c r="P84" s="6">
        <v>5.7</v>
      </c>
      <c r="Q84" s="2"/>
      <c r="R84" s="7">
        <f t="shared" si="40"/>
        <v>3.8241665656672963E-6</v>
      </c>
      <c r="S84" s="2"/>
      <c r="T84" s="6"/>
      <c r="U84" s="2"/>
      <c r="V84" s="7">
        <f t="shared" si="41"/>
        <v>0</v>
      </c>
      <c r="W84" s="2"/>
      <c r="X84" s="6">
        <f t="shared" si="42"/>
        <v>5.7</v>
      </c>
      <c r="Y84" s="2"/>
      <c r="Z84" s="7">
        <f t="shared" si="43"/>
        <v>0</v>
      </c>
    </row>
    <row r="85" spans="1:26" s="24" customFormat="1" hidden="1" outlineLevel="2" x14ac:dyDescent="0.3">
      <c r="A85" s="27"/>
      <c r="B85" s="11" t="str">
        <f>CONCATENATE("          ", "6375", " - ", "OUTSIDE REPAIRS &amp; MAINTENANCE")</f>
        <v xml:space="preserve">          6375 - OUTSIDE REPAIRS &amp; MAINTENANCE</v>
      </c>
      <c r="C85" s="11"/>
      <c r="D85" s="6"/>
      <c r="E85" s="2"/>
      <c r="F85" s="7">
        <f t="shared" si="36"/>
        <v>0</v>
      </c>
      <c r="G85" s="2"/>
      <c r="H85" s="6">
        <v>0</v>
      </c>
      <c r="I85" s="2"/>
      <c r="J85" s="7">
        <f t="shared" si="37"/>
        <v>0</v>
      </c>
      <c r="K85" s="2"/>
      <c r="L85" s="6">
        <f t="shared" si="38"/>
        <v>0</v>
      </c>
      <c r="M85" s="2"/>
      <c r="N85" s="7">
        <f t="shared" si="39"/>
        <v>0</v>
      </c>
      <c r="O85" s="11"/>
      <c r="P85" s="6">
        <v>3.54</v>
      </c>
      <c r="Q85" s="2"/>
      <c r="R85" s="7">
        <f t="shared" si="40"/>
        <v>2.3750087092039002E-6</v>
      </c>
      <c r="S85" s="2"/>
      <c r="T85" s="6">
        <v>0</v>
      </c>
      <c r="U85" s="2"/>
      <c r="V85" s="7">
        <f t="shared" si="41"/>
        <v>0</v>
      </c>
      <c r="W85" s="2"/>
      <c r="X85" s="6">
        <f t="shared" si="42"/>
        <v>3.54</v>
      </c>
      <c r="Y85" s="2"/>
      <c r="Z85" s="7">
        <f t="shared" si="43"/>
        <v>0</v>
      </c>
    </row>
    <row r="86" spans="1:26" s="29" customFormat="1" outlineLevel="1" collapsed="1" x14ac:dyDescent="0.3">
      <c r="A86" s="28"/>
      <c r="B86" s="14" t="str">
        <f>CONCATENATE("     ","Royalty &amp; Commissions                             ")</f>
        <v xml:space="preserve">     Royalty &amp; Commissions                             </v>
      </c>
      <c r="C86" s="14"/>
      <c r="D86" s="1">
        <f>SUM(OSRRefD22_12x_0)</f>
        <v>0</v>
      </c>
      <c r="E86" s="1"/>
      <c r="F86" s="5">
        <f t="shared" ref="F86:F89" si="44">IF(D$12=0,0,D86/D$12)</f>
        <v>0</v>
      </c>
      <c r="G86" s="1"/>
      <c r="H86" s="1">
        <f>SUM(OSRRefH22_12x_0)</f>
        <v>3014</v>
      </c>
      <c r="I86" s="1"/>
      <c r="J86" s="5">
        <f t="shared" ref="J86:J89" si="45">IF(H$12=0,0,H86/H$12)</f>
        <v>1.7909880145228093E-2</v>
      </c>
      <c r="K86" s="1"/>
      <c r="L86" s="1">
        <f t="shared" ref="L86:L89" si="46">+D86-H86</f>
        <v>-3014</v>
      </c>
      <c r="M86" s="1"/>
      <c r="N86" s="5">
        <f t="shared" ref="N86:N89" si="47">IF(H86=0,0,L86/H86)</f>
        <v>-1</v>
      </c>
      <c r="O86" s="14"/>
      <c r="P86" s="1">
        <f>SUM(OSRRefP22_12x_0)</f>
        <v>16132.79</v>
      </c>
      <c r="Q86" s="1"/>
      <c r="R86" s="5">
        <f t="shared" ref="R86:R89" si="48">IF(P$12=0,0,P86/P$12)</f>
        <v>1.0823592303321352E-2</v>
      </c>
      <c r="S86" s="1"/>
      <c r="T86" s="1">
        <f>SUM(OSRRefT22_12x_0)</f>
        <v>24486</v>
      </c>
      <c r="U86" s="1"/>
      <c r="V86" s="5">
        <f t="shared" ref="V86:V89" si="49">IF(T$12=0,0,T86/T$12)</f>
        <v>1.9595509502453642E-2</v>
      </c>
      <c r="W86" s="1"/>
      <c r="X86" s="1">
        <f t="shared" ref="X86:X89" si="50">+P86-T86</f>
        <v>-8353.2099999999991</v>
      </c>
      <c r="Y86" s="1"/>
      <c r="Z86" s="5">
        <f t="shared" ref="Z86:Z89" si="51">IF(T86=0,0,X86/T86)</f>
        <v>-0.34114228538756836</v>
      </c>
    </row>
    <row r="87" spans="1:26" s="24" customFormat="1" hidden="1" outlineLevel="2" x14ac:dyDescent="0.3">
      <c r="A87" s="27"/>
      <c r="B87" s="11" t="str">
        <f>CONCATENATE("          ", "6252", " - ", "ROYALTY DUE CSTV")</f>
        <v xml:space="preserve">          6252 - ROYALTY DUE CSTV</v>
      </c>
      <c r="C87" s="11"/>
      <c r="D87" s="6"/>
      <c r="E87" s="2"/>
      <c r="F87" s="7">
        <f t="shared" si="44"/>
        <v>0</v>
      </c>
      <c r="G87" s="2"/>
      <c r="H87" s="6">
        <v>3014</v>
      </c>
      <c r="I87" s="2"/>
      <c r="J87" s="7">
        <f t="shared" si="45"/>
        <v>1.7909880145228093E-2</v>
      </c>
      <c r="K87" s="2"/>
      <c r="L87" s="6">
        <f t="shared" si="46"/>
        <v>-3014</v>
      </c>
      <c r="M87" s="2"/>
      <c r="N87" s="7">
        <f t="shared" si="47"/>
        <v>-1</v>
      </c>
      <c r="O87" s="11"/>
      <c r="P87" s="6"/>
      <c r="Q87" s="2"/>
      <c r="R87" s="7">
        <f t="shared" si="48"/>
        <v>0</v>
      </c>
      <c r="S87" s="2"/>
      <c r="T87" s="6">
        <v>8324</v>
      </c>
      <c r="U87" s="2"/>
      <c r="V87" s="7">
        <f t="shared" si="49"/>
        <v>6.6614808910570979E-3</v>
      </c>
      <c r="W87" s="2"/>
      <c r="X87" s="6">
        <f t="shared" si="50"/>
        <v>-8324</v>
      </c>
      <c r="Y87" s="2"/>
      <c r="Z87" s="7">
        <f t="shared" si="51"/>
        <v>-1</v>
      </c>
    </row>
    <row r="88" spans="1:26" s="24" customFormat="1" hidden="1" outlineLevel="2" x14ac:dyDescent="0.3">
      <c r="A88" s="27"/>
      <c r="B88" s="11" t="str">
        <f>CONCATENATE("          ", "6253", " - ", "ROYALTY DUE ATHLETICS-LRG")</f>
        <v xml:space="preserve">          6253 - ROYALTY DUE ATHLETICS-LRG</v>
      </c>
      <c r="C88" s="11"/>
      <c r="D88" s="6"/>
      <c r="E88" s="2"/>
      <c r="F88" s="7">
        <f t="shared" si="44"/>
        <v>0</v>
      </c>
      <c r="G88" s="2"/>
      <c r="H88" s="6">
        <v>0</v>
      </c>
      <c r="I88" s="2"/>
      <c r="J88" s="7">
        <f t="shared" si="45"/>
        <v>0</v>
      </c>
      <c r="K88" s="2"/>
      <c r="L88" s="6">
        <f t="shared" si="46"/>
        <v>0</v>
      </c>
      <c r="M88" s="2"/>
      <c r="N88" s="7">
        <f t="shared" si="47"/>
        <v>0</v>
      </c>
      <c r="O88" s="11"/>
      <c r="P88" s="6">
        <v>23160.29</v>
      </c>
      <c r="Q88" s="2"/>
      <c r="R88" s="7">
        <f t="shared" si="48"/>
        <v>1.5538387134940112E-2</v>
      </c>
      <c r="S88" s="2"/>
      <c r="T88" s="6">
        <v>16162</v>
      </c>
      <c r="U88" s="2"/>
      <c r="V88" s="7">
        <f t="shared" si="49"/>
        <v>1.2934028611396543E-2</v>
      </c>
      <c r="W88" s="2"/>
      <c r="X88" s="6">
        <f t="shared" si="50"/>
        <v>6998.2900000000009</v>
      </c>
      <c r="Y88" s="2"/>
      <c r="Z88" s="7">
        <f t="shared" si="51"/>
        <v>0.43300890978839257</v>
      </c>
    </row>
    <row r="89" spans="1:26" s="24" customFormat="1" hidden="1" outlineLevel="2" x14ac:dyDescent="0.3">
      <c r="A89" s="27"/>
      <c r="B89" s="11" t="str">
        <f>CONCATENATE("          ", "6254", " - ", "ROYALTY &amp; COMMISSIONS")</f>
        <v xml:space="preserve">          6254 - ROYALTY &amp; COMMISSIONS</v>
      </c>
      <c r="C89" s="11"/>
      <c r="D89" s="6"/>
      <c r="E89" s="2"/>
      <c r="F89" s="7">
        <f t="shared" si="44"/>
        <v>0</v>
      </c>
      <c r="G89" s="2"/>
      <c r="H89" s="6">
        <v>0</v>
      </c>
      <c r="I89" s="2"/>
      <c r="J89" s="7">
        <f t="shared" si="45"/>
        <v>0</v>
      </c>
      <c r="K89" s="2"/>
      <c r="L89" s="6">
        <f t="shared" si="46"/>
        <v>0</v>
      </c>
      <c r="M89" s="2"/>
      <c r="N89" s="7">
        <f t="shared" si="47"/>
        <v>0</v>
      </c>
      <c r="O89" s="11"/>
      <c r="P89" s="6">
        <v>-7027.5</v>
      </c>
      <c r="Q89" s="2"/>
      <c r="R89" s="7">
        <f t="shared" si="48"/>
        <v>-4.7147948316187587E-3</v>
      </c>
      <c r="S89" s="2"/>
      <c r="T89" s="6">
        <v>0</v>
      </c>
      <c r="U89" s="2"/>
      <c r="V89" s="7">
        <f t="shared" si="49"/>
        <v>0</v>
      </c>
      <c r="W89" s="2"/>
      <c r="X89" s="6">
        <f t="shared" si="50"/>
        <v>-7027.5</v>
      </c>
      <c r="Y89" s="2"/>
      <c r="Z89" s="7">
        <f t="shared" si="51"/>
        <v>0</v>
      </c>
    </row>
    <row r="90" spans="1:26" s="29" customFormat="1" outlineLevel="1" collapsed="1" x14ac:dyDescent="0.3">
      <c r="A90" s="28"/>
      <c r="B90" s="14" t="str">
        <f>CONCATENATE("     ","Subscriptions &amp; Dues                              ")</f>
        <v xml:space="preserve">     Subscriptions &amp; Dues                              </v>
      </c>
      <c r="C90" s="14"/>
      <c r="D90" s="1">
        <f>SUM(OSRRefD22_13x_0)</f>
        <v>0</v>
      </c>
      <c r="E90" s="1"/>
      <c r="F90" s="5">
        <f t="shared" ref="F90:F92" si="52">IF(D$12=0,0,D90/D$12)</f>
        <v>0</v>
      </c>
      <c r="G90" s="1"/>
      <c r="H90" s="1">
        <f>SUM(OSRRefH22_13x_0)</f>
        <v>0</v>
      </c>
      <c r="I90" s="1"/>
      <c r="J90" s="5">
        <f t="shared" ref="J90:J92" si="53">IF(H$12=0,0,H90/H$12)</f>
        <v>0</v>
      </c>
      <c r="K90" s="1"/>
      <c r="L90" s="1">
        <f t="shared" ref="L90:L92" si="54">+D90-H90</f>
        <v>0</v>
      </c>
      <c r="M90" s="1"/>
      <c r="N90" s="5">
        <f t="shared" ref="N90:N92" si="55">IF(H90=0,0,L90/H90)</f>
        <v>0</v>
      </c>
      <c r="O90" s="14"/>
      <c r="P90" s="1">
        <f>SUM(OSRRefP22_13x_0)</f>
        <v>0</v>
      </c>
      <c r="Q90" s="1"/>
      <c r="R90" s="5">
        <f t="shared" ref="R90:R92" si="56">IF(P$12=0,0,P90/P$12)</f>
        <v>0</v>
      </c>
      <c r="S90" s="1"/>
      <c r="T90" s="1">
        <f>SUM(OSRRefT22_13x_0)</f>
        <v>1000</v>
      </c>
      <c r="U90" s="1"/>
      <c r="V90" s="5">
        <f t="shared" ref="V90:V92" si="57">IF(T$12=0,0,T90/T$12)</f>
        <v>8.0027401382233273E-4</v>
      </c>
      <c r="W90" s="1"/>
      <c r="X90" s="1">
        <f t="shared" ref="X90:X92" si="58">+P90-T90</f>
        <v>-1000</v>
      </c>
      <c r="Y90" s="1"/>
      <c r="Z90" s="5">
        <f t="shared" ref="Z90:Z92" si="59">IF(T90=0,0,X90/T90)</f>
        <v>-1</v>
      </c>
    </row>
    <row r="91" spans="1:26" s="24" customFormat="1" hidden="1" outlineLevel="2" x14ac:dyDescent="0.3">
      <c r="A91" s="27"/>
      <c r="B91" s="11" t="str">
        <f>CONCATENATE("          ", "6258", " - ", "MEMBERSHIP DUES")</f>
        <v xml:space="preserve">          6258 - MEMBERSHIP DUES</v>
      </c>
      <c r="C91" s="11"/>
      <c r="D91" s="6"/>
      <c r="E91" s="2"/>
      <c r="F91" s="7">
        <f t="shared" si="52"/>
        <v>0</v>
      </c>
      <c r="G91" s="2"/>
      <c r="H91" s="6">
        <v>0</v>
      </c>
      <c r="I91" s="2"/>
      <c r="J91" s="7">
        <f t="shared" si="53"/>
        <v>0</v>
      </c>
      <c r="K91" s="2"/>
      <c r="L91" s="6">
        <f t="shared" si="54"/>
        <v>0</v>
      </c>
      <c r="M91" s="2"/>
      <c r="N91" s="7">
        <f t="shared" si="55"/>
        <v>0</v>
      </c>
      <c r="O91" s="11"/>
      <c r="P91" s="6"/>
      <c r="Q91" s="2"/>
      <c r="R91" s="7">
        <f t="shared" si="56"/>
        <v>0</v>
      </c>
      <c r="S91" s="2"/>
      <c r="T91" s="6">
        <v>1000</v>
      </c>
      <c r="U91" s="2"/>
      <c r="V91" s="7">
        <f t="shared" si="57"/>
        <v>8.0027401382233273E-4</v>
      </c>
      <c r="W91" s="2"/>
      <c r="X91" s="6">
        <f t="shared" si="58"/>
        <v>-1000</v>
      </c>
      <c r="Y91" s="2"/>
      <c r="Z91" s="7">
        <f t="shared" si="59"/>
        <v>-1</v>
      </c>
    </row>
    <row r="92" spans="1:26" s="24" customFormat="1" hidden="1" outlineLevel="2" x14ac:dyDescent="0.3">
      <c r="A92" s="27"/>
      <c r="B92" s="11" t="str">
        <f>CONCATENATE("          ", "6275", " - ", "SUBSCRIPTIONS")</f>
        <v xml:space="preserve">          6275 - SUBSCRIPTIONS</v>
      </c>
      <c r="C92" s="11"/>
      <c r="D92" s="6"/>
      <c r="E92" s="2"/>
      <c r="F92" s="7">
        <f t="shared" si="52"/>
        <v>0</v>
      </c>
      <c r="G92" s="2"/>
      <c r="H92" s="6">
        <v>0</v>
      </c>
      <c r="I92" s="2"/>
      <c r="J92" s="7">
        <f t="shared" si="53"/>
        <v>0</v>
      </c>
      <c r="K92" s="2"/>
      <c r="L92" s="6">
        <f t="shared" si="54"/>
        <v>0</v>
      </c>
      <c r="M92" s="2"/>
      <c r="N92" s="7">
        <f t="shared" si="55"/>
        <v>0</v>
      </c>
      <c r="O92" s="11"/>
      <c r="P92" s="6"/>
      <c r="Q92" s="2"/>
      <c r="R92" s="7">
        <f t="shared" si="56"/>
        <v>0</v>
      </c>
      <c r="S92" s="2"/>
      <c r="T92" s="6">
        <v>0</v>
      </c>
      <c r="U92" s="2"/>
      <c r="V92" s="7">
        <f t="shared" si="57"/>
        <v>0</v>
      </c>
      <c r="W92" s="2"/>
      <c r="X92" s="6">
        <f t="shared" si="58"/>
        <v>0</v>
      </c>
      <c r="Y92" s="2"/>
      <c r="Z92" s="7">
        <f t="shared" si="59"/>
        <v>0</v>
      </c>
    </row>
    <row r="93" spans="1:26" s="29" customFormat="1" outlineLevel="1" collapsed="1" x14ac:dyDescent="0.3">
      <c r="A93" s="28"/>
      <c r="B93" s="14" t="str">
        <f>CONCATENATE("     ","Supplies                                          ")</f>
        <v xml:space="preserve">     Supplies                                          </v>
      </c>
      <c r="C93" s="14"/>
      <c r="D93" s="1">
        <f>SUM(OSRRefD22_14x_0)</f>
        <v>164.36</v>
      </c>
      <c r="E93" s="1"/>
      <c r="F93" s="5">
        <f t="shared" ref="F93:F96" si="60">IF(D$12=0,0,D93/D$12)</f>
        <v>6.9672589274787447E-4</v>
      </c>
      <c r="G93" s="1"/>
      <c r="H93" s="1">
        <f>SUM(OSRRefH22_14x_0)</f>
        <v>75</v>
      </c>
      <c r="I93" s="1"/>
      <c r="J93" s="5">
        <f t="shared" ref="J93:J96" si="61">IF(H$12=0,0,H93/H$12)</f>
        <v>4.4566722325550996E-4</v>
      </c>
      <c r="K93" s="1"/>
      <c r="L93" s="1">
        <f t="shared" ref="L93:L96" si="62">+D93-H93</f>
        <v>89.360000000000014</v>
      </c>
      <c r="M93" s="1"/>
      <c r="N93" s="5">
        <f t="shared" ref="N93:N96" si="63">IF(H93=0,0,L93/H93)</f>
        <v>1.1914666666666669</v>
      </c>
      <c r="O93" s="14"/>
      <c r="P93" s="1">
        <f>SUM(OSRRefP22_14x_0)</f>
        <v>7048.3899999999994</v>
      </c>
      <c r="Q93" s="1"/>
      <c r="R93" s="5">
        <f t="shared" ref="R93:R96" si="64">IF(P$12=0,0,P93/P$12)</f>
        <v>4.7288100666287216E-3</v>
      </c>
      <c r="S93" s="1"/>
      <c r="T93" s="1">
        <f>SUM(OSRRefT22_14x_0)</f>
        <v>375</v>
      </c>
      <c r="U93" s="1"/>
      <c r="V93" s="5">
        <f t="shared" ref="V93:V96" si="65">IF(T$12=0,0,T93/T$12)</f>
        <v>3.0010275518337477E-4</v>
      </c>
      <c r="W93" s="1"/>
      <c r="X93" s="1">
        <f t="shared" ref="X93:X96" si="66">+P93-T93</f>
        <v>6673.3899999999994</v>
      </c>
      <c r="Y93" s="1"/>
      <c r="Z93" s="5">
        <f t="shared" ref="Z93:Z96" si="67">IF(T93=0,0,X93/T93)</f>
        <v>17.795706666666664</v>
      </c>
    </row>
    <row r="94" spans="1:26" s="24" customFormat="1" hidden="1" outlineLevel="2" x14ac:dyDescent="0.3">
      <c r="A94" s="27"/>
      <c r="B94" s="11" t="str">
        <f>CONCATENATE("          ", "6235", " - ", "COVID-19 EXPENSES")</f>
        <v xml:space="preserve">          6235 - COVID-19 EXPENSES</v>
      </c>
      <c r="C94" s="11"/>
      <c r="D94" s="6"/>
      <c r="E94" s="2"/>
      <c r="F94" s="7">
        <f t="shared" si="60"/>
        <v>0</v>
      </c>
      <c r="G94" s="2"/>
      <c r="H94" s="6">
        <v>0</v>
      </c>
      <c r="I94" s="2"/>
      <c r="J94" s="7">
        <f t="shared" si="61"/>
        <v>0</v>
      </c>
      <c r="K94" s="2"/>
      <c r="L94" s="6">
        <f t="shared" si="62"/>
        <v>0</v>
      </c>
      <c r="M94" s="2"/>
      <c r="N94" s="7">
        <f t="shared" si="63"/>
        <v>0</v>
      </c>
      <c r="O94" s="11"/>
      <c r="P94" s="6"/>
      <c r="Q94" s="2"/>
      <c r="R94" s="7">
        <f t="shared" si="64"/>
        <v>0</v>
      </c>
      <c r="S94" s="2"/>
      <c r="T94" s="6">
        <v>0</v>
      </c>
      <c r="U94" s="2"/>
      <c r="V94" s="7">
        <f t="shared" si="65"/>
        <v>0</v>
      </c>
      <c r="W94" s="2"/>
      <c r="X94" s="6">
        <f t="shared" si="66"/>
        <v>0</v>
      </c>
      <c r="Y94" s="2"/>
      <c r="Z94" s="7">
        <f t="shared" si="67"/>
        <v>0</v>
      </c>
    </row>
    <row r="95" spans="1:26" s="24" customFormat="1" hidden="1" outlineLevel="2" x14ac:dyDescent="0.3">
      <c r="A95" s="27"/>
      <c r="B95" s="11" t="str">
        <f>CONCATENATE("          ", "6241", " - ", "OFFICE EXPENSE")</f>
        <v xml:space="preserve">          6241 - OFFICE EXPENSE</v>
      </c>
      <c r="C95" s="11"/>
      <c r="D95" s="6">
        <v>164.36</v>
      </c>
      <c r="E95" s="2"/>
      <c r="F95" s="7">
        <f t="shared" si="60"/>
        <v>6.9672589274787447E-4</v>
      </c>
      <c r="G95" s="2"/>
      <c r="H95" s="6">
        <v>25</v>
      </c>
      <c r="I95" s="2"/>
      <c r="J95" s="7">
        <f t="shared" si="61"/>
        <v>1.4855574108516999E-4</v>
      </c>
      <c r="K95" s="2"/>
      <c r="L95" s="6">
        <f t="shared" si="62"/>
        <v>139.36000000000001</v>
      </c>
      <c r="M95" s="2"/>
      <c r="N95" s="7">
        <f t="shared" si="63"/>
        <v>5.5744000000000007</v>
      </c>
      <c r="O95" s="11"/>
      <c r="P95" s="6">
        <v>831.24</v>
      </c>
      <c r="Q95" s="2"/>
      <c r="R95" s="7">
        <f t="shared" si="64"/>
        <v>5.5768424842899712E-4</v>
      </c>
      <c r="S95" s="2"/>
      <c r="T95" s="6">
        <v>125</v>
      </c>
      <c r="U95" s="2"/>
      <c r="V95" s="7">
        <f t="shared" si="65"/>
        <v>1.0003425172779159E-4</v>
      </c>
      <c r="W95" s="2"/>
      <c r="X95" s="6">
        <f t="shared" si="66"/>
        <v>706.24</v>
      </c>
      <c r="Y95" s="2"/>
      <c r="Z95" s="7">
        <f t="shared" si="67"/>
        <v>5.6499199999999998</v>
      </c>
    </row>
    <row r="96" spans="1:26" s="24" customFormat="1" hidden="1" outlineLevel="2" x14ac:dyDescent="0.3">
      <c r="A96" s="27"/>
      <c r="B96" s="11" t="str">
        <f>CONCATENATE("          ", "6247", " - ", "STORE SUPPLIES")</f>
        <v xml:space="preserve">          6247 - STORE SUPPLIES</v>
      </c>
      <c r="C96" s="11"/>
      <c r="D96" s="6"/>
      <c r="E96" s="2"/>
      <c r="F96" s="7">
        <f t="shared" si="60"/>
        <v>0</v>
      </c>
      <c r="G96" s="2"/>
      <c r="H96" s="6">
        <v>50</v>
      </c>
      <c r="I96" s="2"/>
      <c r="J96" s="7">
        <f t="shared" si="61"/>
        <v>2.9711148217033997E-4</v>
      </c>
      <c r="K96" s="2"/>
      <c r="L96" s="6">
        <f t="shared" si="62"/>
        <v>-50</v>
      </c>
      <c r="M96" s="2"/>
      <c r="N96" s="7">
        <f t="shared" si="63"/>
        <v>-1</v>
      </c>
      <c r="O96" s="11"/>
      <c r="P96" s="6">
        <v>6217.15</v>
      </c>
      <c r="Q96" s="2"/>
      <c r="R96" s="7">
        <f t="shared" si="64"/>
        <v>4.1711258181997245E-3</v>
      </c>
      <c r="S96" s="2"/>
      <c r="T96" s="6">
        <v>250</v>
      </c>
      <c r="U96" s="2"/>
      <c r="V96" s="7">
        <f t="shared" si="65"/>
        <v>2.0006850345558318E-4</v>
      </c>
      <c r="W96" s="2"/>
      <c r="X96" s="6">
        <f t="shared" si="66"/>
        <v>5967.15</v>
      </c>
      <c r="Y96" s="2"/>
      <c r="Z96" s="7">
        <f t="shared" si="67"/>
        <v>23.868599999999997</v>
      </c>
    </row>
    <row r="97" spans="1:26" s="29" customFormat="1" outlineLevel="1" collapsed="1" x14ac:dyDescent="0.3">
      <c r="A97" s="28"/>
      <c r="B97" s="14" t="str">
        <f>CONCATENATE("     ","Telephone/Data Lines                              ")</f>
        <v xml:space="preserve">     Telephone/Data Lines                              </v>
      </c>
      <c r="C97" s="14"/>
      <c r="D97" s="1">
        <f>SUM(OSRRefD22_15x_0)</f>
        <v>248.85</v>
      </c>
      <c r="E97" s="1"/>
      <c r="F97" s="5">
        <f t="shared" ref="F97:F100" si="68">IF(D$12=0,0,D97/D$12)</f>
        <v>1.0548809832703124E-3</v>
      </c>
      <c r="G97" s="1"/>
      <c r="H97" s="1">
        <f>SUM(OSRRefH22_15x_0)</f>
        <v>300</v>
      </c>
      <c r="I97" s="1"/>
      <c r="J97" s="5">
        <f t="shared" ref="J97:J100" si="69">IF(H$12=0,0,H97/H$12)</f>
        <v>1.7826688930220398E-3</v>
      </c>
      <c r="K97" s="1"/>
      <c r="L97" s="1">
        <f t="shared" ref="L97:L100" si="70">+D97-H97</f>
        <v>-51.150000000000006</v>
      </c>
      <c r="M97" s="1"/>
      <c r="N97" s="5">
        <f t="shared" ref="N97:N100" si="71">IF(H97=0,0,L97/H97)</f>
        <v>-0.17050000000000001</v>
      </c>
      <c r="O97" s="14"/>
      <c r="P97" s="1">
        <f>SUM(OSRRefP22_15x_0)</f>
        <v>1039.45</v>
      </c>
      <c r="Q97" s="1"/>
      <c r="R97" s="5">
        <f t="shared" ref="R97:R100" si="72">IF(P$12=0,0,P97/P$12)</f>
        <v>6.9737367310225811E-4</v>
      </c>
      <c r="S97" s="1"/>
      <c r="T97" s="1">
        <f>SUM(OSRRefT22_15x_0)</f>
        <v>1500</v>
      </c>
      <c r="U97" s="1"/>
      <c r="V97" s="5">
        <f t="shared" ref="V97:V100" si="73">IF(T$12=0,0,T97/T$12)</f>
        <v>1.2004110207334991E-3</v>
      </c>
      <c r="W97" s="1"/>
      <c r="X97" s="1">
        <f t="shared" ref="X97:X100" si="74">+P97-T97</f>
        <v>-460.54999999999995</v>
      </c>
      <c r="Y97" s="1"/>
      <c r="Z97" s="5">
        <f t="shared" ref="Z97:Z100" si="75">IF(T97=0,0,X97/T97)</f>
        <v>-0.30703333333333332</v>
      </c>
    </row>
    <row r="98" spans="1:26" s="24" customFormat="1" hidden="1" outlineLevel="2" x14ac:dyDescent="0.3">
      <c r="A98" s="27"/>
      <c r="B98" s="11" t="str">
        <f>CONCATENATE("          ", "6309", " - ", "TELEPHONE")</f>
        <v xml:space="preserve">          6309 - TELEPHONE</v>
      </c>
      <c r="C98" s="11"/>
      <c r="D98" s="6">
        <v>248.85</v>
      </c>
      <c r="E98" s="2"/>
      <c r="F98" s="7">
        <f t="shared" si="68"/>
        <v>1.0548809832703124E-3</v>
      </c>
      <c r="G98" s="2"/>
      <c r="H98" s="6">
        <v>300</v>
      </c>
      <c r="I98" s="2"/>
      <c r="J98" s="7">
        <f t="shared" si="69"/>
        <v>1.7826688930220398E-3</v>
      </c>
      <c r="K98" s="2"/>
      <c r="L98" s="6">
        <f t="shared" si="70"/>
        <v>-51.150000000000006</v>
      </c>
      <c r="M98" s="2"/>
      <c r="N98" s="7">
        <f t="shared" si="71"/>
        <v>-0.17050000000000001</v>
      </c>
      <c r="O98" s="11"/>
      <c r="P98" s="6">
        <v>1039.45</v>
      </c>
      <c r="Q98" s="2"/>
      <c r="R98" s="7">
        <f t="shared" si="72"/>
        <v>6.9737367310225811E-4</v>
      </c>
      <c r="S98" s="2"/>
      <c r="T98" s="6">
        <v>1500</v>
      </c>
      <c r="U98" s="2"/>
      <c r="V98" s="7">
        <f t="shared" si="73"/>
        <v>1.2004110207334991E-3</v>
      </c>
      <c r="W98" s="2"/>
      <c r="X98" s="6">
        <f t="shared" si="74"/>
        <v>-460.54999999999995</v>
      </c>
      <c r="Y98" s="2"/>
      <c r="Z98" s="7">
        <f t="shared" si="75"/>
        <v>-0.30703333333333332</v>
      </c>
    </row>
    <row r="99" spans="1:26" s="29" customFormat="1" outlineLevel="1" collapsed="1" x14ac:dyDescent="0.3">
      <c r="A99" s="28"/>
      <c r="B99" s="14" t="str">
        <f>CONCATENATE("     ","Travel                                            ")</f>
        <v xml:space="preserve">     Travel                                            </v>
      </c>
      <c r="C99" s="14"/>
      <c r="D99" s="1">
        <f>SUM(OSRRefD22_16x_0)</f>
        <v>0</v>
      </c>
      <c r="E99" s="1"/>
      <c r="F99" s="5">
        <f t="shared" si="68"/>
        <v>0</v>
      </c>
      <c r="G99" s="1"/>
      <c r="H99" s="1">
        <f>SUM(OSRRefH22_16x_0)</f>
        <v>25</v>
      </c>
      <c r="I99" s="1"/>
      <c r="J99" s="5">
        <f t="shared" si="69"/>
        <v>1.4855574108516999E-4</v>
      </c>
      <c r="K99" s="1"/>
      <c r="L99" s="1">
        <f t="shared" si="70"/>
        <v>-25</v>
      </c>
      <c r="M99" s="1"/>
      <c r="N99" s="5">
        <f t="shared" si="71"/>
        <v>-1</v>
      </c>
      <c r="O99" s="14"/>
      <c r="P99" s="1">
        <f>SUM(OSRRefP22_16x_0)</f>
        <v>40.32</v>
      </c>
      <c r="Q99" s="1"/>
      <c r="R99" s="5">
        <f t="shared" si="72"/>
        <v>2.7050946653983403E-5</v>
      </c>
      <c r="S99" s="1"/>
      <c r="T99" s="1">
        <f>SUM(OSRRefT22_16x_0)</f>
        <v>125</v>
      </c>
      <c r="U99" s="1"/>
      <c r="V99" s="5">
        <f t="shared" si="73"/>
        <v>1.0003425172779159E-4</v>
      </c>
      <c r="W99" s="1"/>
      <c r="X99" s="1">
        <f t="shared" si="74"/>
        <v>-84.68</v>
      </c>
      <c r="Y99" s="1"/>
      <c r="Z99" s="5">
        <f t="shared" si="75"/>
        <v>-0.67744000000000004</v>
      </c>
    </row>
    <row r="100" spans="1:26" s="24" customFormat="1" hidden="1" outlineLevel="2" x14ac:dyDescent="0.3">
      <c r="A100" s="27"/>
      <c r="B100" s="11" t="str">
        <f>CONCATENATE("          ", "6294", " - ", "TRAVEL OPERATIONAL")</f>
        <v xml:space="preserve">          6294 - TRAVEL OPERATIONAL</v>
      </c>
      <c r="C100" s="11"/>
      <c r="D100" s="6"/>
      <c r="E100" s="2"/>
      <c r="F100" s="7">
        <f t="shared" si="68"/>
        <v>0</v>
      </c>
      <c r="G100" s="2"/>
      <c r="H100" s="6">
        <v>25</v>
      </c>
      <c r="I100" s="2"/>
      <c r="J100" s="7">
        <f t="shared" si="69"/>
        <v>1.4855574108516999E-4</v>
      </c>
      <c r="K100" s="2"/>
      <c r="L100" s="6">
        <f t="shared" si="70"/>
        <v>-25</v>
      </c>
      <c r="M100" s="2"/>
      <c r="N100" s="7">
        <f t="shared" si="71"/>
        <v>-1</v>
      </c>
      <c r="O100" s="11"/>
      <c r="P100" s="6">
        <v>40.32</v>
      </c>
      <c r="Q100" s="2"/>
      <c r="R100" s="7">
        <f t="shared" si="72"/>
        <v>2.7050946653983403E-5</v>
      </c>
      <c r="S100" s="2"/>
      <c r="T100" s="6">
        <v>125</v>
      </c>
      <c r="U100" s="2"/>
      <c r="V100" s="7">
        <f t="shared" si="73"/>
        <v>1.0003425172779159E-4</v>
      </c>
      <c r="W100" s="2"/>
      <c r="X100" s="6">
        <f t="shared" si="74"/>
        <v>-84.68</v>
      </c>
      <c r="Y100" s="2"/>
      <c r="Z100" s="7">
        <f t="shared" si="75"/>
        <v>-0.67744000000000004</v>
      </c>
    </row>
    <row r="101" spans="1:26" s="63" customFormat="1" x14ac:dyDescent="0.3">
      <c r="A101" s="36"/>
      <c r="B101" s="36"/>
      <c r="C101" s="36"/>
      <c r="D101" s="1"/>
      <c r="E101" s="1"/>
      <c r="F101" s="5"/>
      <c r="G101" s="1"/>
      <c r="H101" s="1"/>
      <c r="I101" s="1"/>
      <c r="J101" s="5"/>
      <c r="K101" s="1"/>
      <c r="L101" s="1"/>
      <c r="M101" s="1"/>
      <c r="N101" s="5"/>
      <c r="O101" s="36"/>
      <c r="P101" s="1"/>
      <c r="Q101" s="1"/>
      <c r="R101" s="5"/>
      <c r="S101" s="1"/>
      <c r="T101" s="1"/>
      <c r="U101" s="1"/>
      <c r="V101" s="5"/>
      <c r="W101" s="1"/>
      <c r="X101" s="1"/>
      <c r="Y101" s="1"/>
      <c r="Z101" s="5"/>
    </row>
    <row r="102" spans="1:26" s="23" customFormat="1" collapsed="1" x14ac:dyDescent="0.3">
      <c r="A102" s="10"/>
      <c r="B102" s="25" t="s">
        <v>293</v>
      </c>
      <c r="C102" s="10"/>
      <c r="D102" s="4">
        <f>SUM(OSRRefD25x_0)</f>
        <v>0</v>
      </c>
      <c r="E102" s="4"/>
      <c r="F102" s="12">
        <f t="shared" ref="F102:F105" si="76">IF(D$12=0,0,D102/D$12)</f>
        <v>0</v>
      </c>
      <c r="G102" s="4"/>
      <c r="H102" s="4">
        <f>SUM(OSRRefH25x_0)</f>
        <v>0</v>
      </c>
      <c r="I102" s="4"/>
      <c r="J102" s="12">
        <f t="shared" ref="J102:J105" si="77">IF(H$12=0,0,H102/H$12)</f>
        <v>0</v>
      </c>
      <c r="K102" s="4"/>
      <c r="L102" s="4">
        <f t="shared" ref="L102:L105" si="78">+D102-H102</f>
        <v>0</v>
      </c>
      <c r="M102" s="4"/>
      <c r="N102" s="12">
        <f t="shared" ref="N102:N105" si="79">IF(H102=0,0,L102/H102)</f>
        <v>0</v>
      </c>
      <c r="O102" s="10"/>
      <c r="P102" s="4">
        <f>SUM(OSRRefP25x_0)</f>
        <v>119063.12</v>
      </c>
      <c r="Q102" s="4"/>
      <c r="R102" s="12">
        <f t="shared" ref="R102:R105" si="80">IF(P$12=0,0,P102/P$12)</f>
        <v>7.9880211001409338E-2</v>
      </c>
      <c r="S102" s="4"/>
      <c r="T102" s="4">
        <f>SUM(OSRRefT25x_0)</f>
        <v>32324</v>
      </c>
      <c r="U102" s="4"/>
      <c r="V102" s="12">
        <f t="shared" ref="V102:V105" si="81">IF(T$12=0,0,T102/T$12)</f>
        <v>2.5868057222793086E-2</v>
      </c>
      <c r="W102" s="4"/>
      <c r="X102" s="4">
        <f t="shared" ref="X102:X105" si="82">+P102-T102</f>
        <v>86739.12</v>
      </c>
      <c r="Y102" s="4"/>
      <c r="Z102" s="12">
        <f t="shared" ref="Z102:Z105" si="83">IF(T102=0,0,X102/T102)</f>
        <v>2.6834277935899022</v>
      </c>
    </row>
    <row r="103" spans="1:26" s="24" customFormat="1" hidden="1" outlineLevel="1" x14ac:dyDescent="0.3">
      <c r="A103" s="44"/>
      <c r="B103" s="11" t="str">
        <f>CONCATENATE("          ", "9150", " - ", "MISC. INCOME")</f>
        <v xml:space="preserve">          9150 - MISC. INCOME</v>
      </c>
      <c r="C103" s="11"/>
      <c r="D103" s="2">
        <f t="shared" ref="D103:D105" si="84">0</f>
        <v>0</v>
      </c>
      <c r="E103" s="2"/>
      <c r="F103" s="19">
        <f t="shared" si="76"/>
        <v>0</v>
      </c>
      <c r="G103" s="2"/>
      <c r="H103" s="2">
        <v>0</v>
      </c>
      <c r="I103" s="2"/>
      <c r="J103" s="19">
        <f t="shared" si="77"/>
        <v>0</v>
      </c>
      <c r="K103" s="2"/>
      <c r="L103" s="2">
        <f t="shared" si="78"/>
        <v>0</v>
      </c>
      <c r="M103" s="2"/>
      <c r="N103" s="19">
        <f t="shared" si="79"/>
        <v>0</v>
      </c>
      <c r="O103" s="11"/>
      <c r="P103" s="2">
        <f>--46314.92</f>
        <v>46314.92</v>
      </c>
      <c r="Q103" s="2"/>
      <c r="R103" s="19">
        <f t="shared" si="80"/>
        <v>3.1072976939571156E-2</v>
      </c>
      <c r="S103" s="2"/>
      <c r="T103" s="2">
        <v>32324</v>
      </c>
      <c r="U103" s="2"/>
      <c r="V103" s="19">
        <f t="shared" si="81"/>
        <v>2.5868057222793086E-2</v>
      </c>
      <c r="W103" s="2"/>
      <c r="X103" s="2">
        <f t="shared" si="82"/>
        <v>13990.919999999998</v>
      </c>
      <c r="Y103" s="2"/>
      <c r="Z103" s="19">
        <f t="shared" si="83"/>
        <v>0.43283380769706714</v>
      </c>
    </row>
    <row r="104" spans="1:26" s="24" customFormat="1" hidden="1" outlineLevel="1" x14ac:dyDescent="0.3">
      <c r="A104" s="44"/>
      <c r="B104" s="11" t="str">
        <f>CONCATENATE("          ", "9160", " - ", "MISC. INCOME")</f>
        <v xml:space="preserve">          9160 - MISC. INCOME</v>
      </c>
      <c r="C104" s="11"/>
      <c r="D104" s="2">
        <f t="shared" si="84"/>
        <v>0</v>
      </c>
      <c r="E104" s="2"/>
      <c r="F104" s="19">
        <f t="shared" si="76"/>
        <v>0</v>
      </c>
      <c r="G104" s="2"/>
      <c r="H104" s="2"/>
      <c r="I104" s="2"/>
      <c r="J104" s="19">
        <f t="shared" si="77"/>
        <v>0</v>
      </c>
      <c r="K104" s="2"/>
      <c r="L104" s="2">
        <f t="shared" si="78"/>
        <v>0</v>
      </c>
      <c r="M104" s="2"/>
      <c r="N104" s="19">
        <f t="shared" si="79"/>
        <v>0</v>
      </c>
      <c r="O104" s="11"/>
      <c r="P104" s="2">
        <f>0</f>
        <v>0</v>
      </c>
      <c r="Q104" s="2"/>
      <c r="R104" s="19">
        <f t="shared" si="80"/>
        <v>0</v>
      </c>
      <c r="S104" s="2"/>
      <c r="T104" s="2">
        <v>0</v>
      </c>
      <c r="U104" s="2"/>
      <c r="V104" s="19">
        <f t="shared" si="81"/>
        <v>0</v>
      </c>
      <c r="W104" s="2"/>
      <c r="X104" s="2">
        <f t="shared" si="82"/>
        <v>0</v>
      </c>
      <c r="Y104" s="2"/>
      <c r="Z104" s="19">
        <f t="shared" si="83"/>
        <v>0</v>
      </c>
    </row>
    <row r="105" spans="1:26" s="24" customFormat="1" hidden="1" outlineLevel="1" x14ac:dyDescent="0.3">
      <c r="A105" s="44"/>
      <c r="B105" s="11" t="str">
        <f>CONCATENATE("          ", "9163", " - ", "MISC. INCOME")</f>
        <v xml:space="preserve">          9163 - MISC. INCOME</v>
      </c>
      <c r="C105" s="11"/>
      <c r="D105" s="2">
        <f t="shared" si="84"/>
        <v>0</v>
      </c>
      <c r="E105" s="2"/>
      <c r="F105" s="19">
        <f t="shared" si="76"/>
        <v>0</v>
      </c>
      <c r="G105" s="2"/>
      <c r="H105" s="2"/>
      <c r="I105" s="2"/>
      <c r="J105" s="19">
        <f t="shared" si="77"/>
        <v>0</v>
      </c>
      <c r="K105" s="2"/>
      <c r="L105" s="2">
        <f t="shared" si="78"/>
        <v>0</v>
      </c>
      <c r="M105" s="2"/>
      <c r="N105" s="19">
        <f t="shared" si="79"/>
        <v>0</v>
      </c>
      <c r="O105" s="11"/>
      <c r="P105" s="2">
        <f>--72748.2</f>
        <v>72748.2</v>
      </c>
      <c r="Q105" s="2"/>
      <c r="R105" s="19">
        <f t="shared" si="80"/>
        <v>4.8807234061838178E-2</v>
      </c>
      <c r="S105" s="2"/>
      <c r="T105" s="2"/>
      <c r="U105" s="2"/>
      <c r="V105" s="19">
        <f t="shared" si="81"/>
        <v>0</v>
      </c>
      <c r="W105" s="2"/>
      <c r="X105" s="2">
        <f t="shared" si="82"/>
        <v>72748.2</v>
      </c>
      <c r="Y105" s="2"/>
      <c r="Z105" s="19">
        <f t="shared" si="83"/>
        <v>0</v>
      </c>
    </row>
    <row r="106" spans="1:26" x14ac:dyDescent="0.3">
      <c r="A106" s="9"/>
      <c r="B106" s="10"/>
      <c r="C106" s="10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0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x14ac:dyDescent="0.3">
      <c r="A107" s="10"/>
      <c r="B107" s="26" t="s">
        <v>277</v>
      </c>
      <c r="C107" s="26"/>
      <c r="D107" s="20">
        <f>+D40-D42+D102</f>
        <v>62526.680000000008</v>
      </c>
      <c r="E107" s="13"/>
      <c r="F107" s="22">
        <f>IF(D$12=0,0,D107/D$12)</f>
        <v>0.26505206220224309</v>
      </c>
      <c r="G107" s="13"/>
      <c r="H107" s="20">
        <f>+H40-H42+H102</f>
        <v>4343.1302980769251</v>
      </c>
      <c r="I107" s="13"/>
      <c r="J107" s="22">
        <f>IF(H$12=0,0,H107/H$12)</f>
        <v>2.5807877602410913E-2</v>
      </c>
      <c r="K107" s="15"/>
      <c r="L107" s="20">
        <f>+D107-H107</f>
        <v>58183.549701923082</v>
      </c>
      <c r="M107" s="15"/>
      <c r="N107" s="22">
        <f>IF(H107=0,0,L107/H107)</f>
        <v>13.396685272759584</v>
      </c>
      <c r="O107" s="25"/>
      <c r="P107" s="20">
        <f>+P40-P42+P102</f>
        <v>492166.67000000004</v>
      </c>
      <c r="Q107" s="13"/>
      <c r="R107" s="22">
        <f>IF(P$12=0,0,P107/P$12)</f>
        <v>0.33019777616663332</v>
      </c>
      <c r="S107" s="13"/>
      <c r="T107" s="20">
        <f>+T40-T42+T102</f>
        <v>195246.97963942308</v>
      </c>
      <c r="U107" s="13"/>
      <c r="V107" s="22">
        <f>IF(T$12=0,0,T107/T$12)</f>
        <v>0.15625108408272839</v>
      </c>
      <c r="W107" s="15"/>
      <c r="X107" s="20">
        <f>+P107-T107</f>
        <v>296919.69036057696</v>
      </c>
      <c r="Y107" s="15"/>
      <c r="Z107" s="22">
        <f>IF(T107=0,0,X107/T107)</f>
        <v>1.5207389681977173</v>
      </c>
    </row>
    <row r="108" spans="1:26" x14ac:dyDescent="0.3">
      <c r="A108" s="9"/>
      <c r="B108" s="10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x14ac:dyDescent="0.3">
      <c r="A109" s="52"/>
      <c r="B109" s="10" t="s">
        <v>128</v>
      </c>
      <c r="C109" s="10"/>
      <c r="D109" s="4">
        <v>32515.119999999999</v>
      </c>
      <c r="E109" s="4"/>
      <c r="F109" s="12">
        <f>IF(D$12=0,0,D109/D$12)</f>
        <v>0.13783235586398312</v>
      </c>
      <c r="G109" s="4"/>
      <c r="H109" s="4">
        <v>31874</v>
      </c>
      <c r="I109" s="4"/>
      <c r="J109" s="12">
        <f>IF(H$12=0,0,H109/H$12)</f>
        <v>0.1894026276539483</v>
      </c>
      <c r="K109" s="4"/>
      <c r="L109" s="4">
        <f>+D109-H109</f>
        <v>641.11999999999898</v>
      </c>
      <c r="M109" s="4"/>
      <c r="N109" s="12">
        <f>IF(H109=0,0,L109/H109)</f>
        <v>2.0114199661165809E-2</v>
      </c>
      <c r="O109" s="10"/>
      <c r="P109" s="4">
        <v>177538.53</v>
      </c>
      <c r="Q109" s="4"/>
      <c r="R109" s="12">
        <f>IF(P$12=0,0,P109/P$12)</f>
        <v>0.11911173869188076</v>
      </c>
      <c r="S109" s="4"/>
      <c r="T109" s="4">
        <v>156212</v>
      </c>
      <c r="U109" s="4"/>
      <c r="V109" s="12">
        <f>IF(T$12=0,0,T109/T$12)</f>
        <v>0.12501240424721424</v>
      </c>
      <c r="W109" s="4"/>
      <c r="X109" s="4">
        <f>+P109-T109</f>
        <v>21326.53</v>
      </c>
      <c r="Y109" s="4"/>
      <c r="Z109" s="12">
        <f>IF(T109=0,0,X109/T109)</f>
        <v>0.1365229943922362</v>
      </c>
    </row>
    <row r="110" spans="1:26" x14ac:dyDescent="0.3">
      <c r="A110" s="9"/>
      <c r="B110" s="10"/>
      <c r="C110" s="10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O110" s="10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ht="15" thickBot="1" x14ac:dyDescent="0.35">
      <c r="A111" s="10"/>
      <c r="B111" s="26" t="s">
        <v>126</v>
      </c>
      <c r="C111" s="26"/>
      <c r="D111" s="33">
        <f>+D107-D109</f>
        <v>30011.560000000009</v>
      </c>
      <c r="E111" s="13"/>
      <c r="F111" s="34">
        <f>IF(D$12=0,0,D111/D$12)</f>
        <v>0.12721970633825994</v>
      </c>
      <c r="G111" s="13"/>
      <c r="H111" s="33">
        <f>+H107-H109</f>
        <v>-27530.869701923075</v>
      </c>
      <c r="I111" s="13"/>
      <c r="J111" s="34">
        <f>IF(H$12=0,0,H111/H$12)</f>
        <v>-0.1635947500515374</v>
      </c>
      <c r="K111" s="15"/>
      <c r="L111" s="33">
        <f>D111-H111</f>
        <v>57542.429701923087</v>
      </c>
      <c r="M111" s="15"/>
      <c r="N111" s="34">
        <f>IF(H111=0,0,L111/H111)</f>
        <v>-2.0901057730807415</v>
      </c>
      <c r="O111" s="25"/>
      <c r="P111" s="33">
        <f>+P107-P109</f>
        <v>314628.14</v>
      </c>
      <c r="Q111" s="13"/>
      <c r="R111" s="34">
        <f>IF(P$12=0,0,P111/P$12)</f>
        <v>0.21108603747475252</v>
      </c>
      <c r="S111" s="13"/>
      <c r="T111" s="33">
        <f>+T107-T109</f>
        <v>39034.97963942308</v>
      </c>
      <c r="U111" s="13"/>
      <c r="V111" s="34">
        <f>IF(T$12=0,0,T111/T$12)</f>
        <v>3.1238679835514142E-2</v>
      </c>
      <c r="W111" s="15"/>
      <c r="X111" s="33">
        <f>P111-T111</f>
        <v>275593.16036057693</v>
      </c>
      <c r="Y111" s="15"/>
      <c r="Z111" s="34">
        <f>IF(T111=0,0,X111/T111)</f>
        <v>7.060158937094557</v>
      </c>
    </row>
    <row r="112" spans="1:26" ht="15" thickTop="1" x14ac:dyDescent="0.3">
      <c r="A112" s="9"/>
      <c r="B112" s="9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x14ac:dyDescent="0.3">
      <c r="A113" s="9"/>
      <c r="B113" s="9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ht="15" thickBot="1" x14ac:dyDescent="0.35">
      <c r="A114" s="10"/>
      <c r="B114" s="26" t="s">
        <v>294</v>
      </c>
      <c r="C114" s="26"/>
      <c r="D114" s="35">
        <f>SUM(D111:D113)</f>
        <v>30011.560000000009</v>
      </c>
      <c r="E114" s="13"/>
      <c r="F114" s="32">
        <f>IF(D$12=0,0,D114/D$12)</f>
        <v>0.12721970633825994</v>
      </c>
      <c r="G114" s="13"/>
      <c r="H114" s="35">
        <f>SUM(H111:H113)</f>
        <v>-27530.869701923075</v>
      </c>
      <c r="I114" s="13"/>
      <c r="J114" s="32">
        <f>IF(H$12=0,0,H114/H$12)</f>
        <v>-0.1635947500515374</v>
      </c>
      <c r="K114" s="15"/>
      <c r="L114" s="35">
        <f>+D114-H114</f>
        <v>57542.429701923087</v>
      </c>
      <c r="M114" s="15"/>
      <c r="N114" s="32">
        <f>IF(H114=0,0,L114/H114)</f>
        <v>-2.0901057730807415</v>
      </c>
      <c r="O114" s="25"/>
      <c r="P114" s="35">
        <f>SUM(P111:P113)</f>
        <v>314628.14</v>
      </c>
      <c r="Q114" s="13"/>
      <c r="R114" s="32">
        <f>IF(P$12=0,0,P114/P$12)</f>
        <v>0.21108603747475252</v>
      </c>
      <c r="S114" s="13"/>
      <c r="T114" s="35">
        <f>SUM(T111:T113)</f>
        <v>39034.97963942308</v>
      </c>
      <c r="U114" s="13"/>
      <c r="V114" s="32">
        <f>IF(T$12=0,0,T114/T$12)</f>
        <v>3.1238679835514142E-2</v>
      </c>
      <c r="W114" s="15"/>
      <c r="X114" s="35">
        <f>+P114-T114</f>
        <v>275593.16036057693</v>
      </c>
      <c r="Y114" s="15"/>
      <c r="Z114" s="32">
        <f>IF(T114=0,0,X114/T114)</f>
        <v>7.060158937094557</v>
      </c>
    </row>
    <row r="115" spans="1:26" ht="15" thickTop="1" x14ac:dyDescent="0.3">
      <c r="A115" s="9"/>
      <c r="C115" s="9"/>
      <c r="D115" s="17"/>
      <c r="E115" s="17"/>
      <c r="G115" s="17"/>
      <c r="H115" s="17"/>
      <c r="I115" s="17"/>
      <c r="J115" s="42"/>
      <c r="K115" s="17"/>
      <c r="L115" s="17"/>
      <c r="M115" s="17"/>
      <c r="P115" s="17"/>
      <c r="Q115" s="17"/>
      <c r="R115" s="42"/>
      <c r="S115" s="17"/>
      <c r="T115" s="17"/>
      <c r="U115" s="17"/>
      <c r="V115" s="42"/>
      <c r="W115" s="17"/>
      <c r="X115" s="17"/>
    </row>
    <row r="116" spans="1:26" x14ac:dyDescent="0.3">
      <c r="A116" s="9"/>
      <c r="B116" s="60">
        <v>44543.753113078703</v>
      </c>
      <c r="D116" s="17"/>
      <c r="E116" s="17"/>
      <c r="G116" s="17"/>
      <c r="H116" s="17"/>
      <c r="I116" s="17"/>
      <c r="J116" s="42"/>
      <c r="K116" s="17"/>
      <c r="L116" s="17"/>
      <c r="M116" s="17"/>
      <c r="P116" s="17"/>
      <c r="Q116" s="17"/>
      <c r="R116" s="42"/>
      <c r="S116" s="17"/>
      <c r="T116" s="17"/>
      <c r="U116" s="17"/>
      <c r="V116" s="42"/>
      <c r="W116" s="17"/>
      <c r="X116" s="17"/>
    </row>
    <row r="117" spans="1:26" x14ac:dyDescent="0.3">
      <c r="A117" s="9"/>
      <c r="B117" s="58" t="s">
        <v>56</v>
      </c>
      <c r="D117" s="17"/>
      <c r="E117" s="17"/>
      <c r="G117" s="17"/>
      <c r="H117" s="17"/>
      <c r="I117" s="17"/>
      <c r="J117" s="42"/>
      <c r="K117" s="17"/>
      <c r="L117" s="17"/>
      <c r="M117" s="17"/>
      <c r="P117" s="17"/>
      <c r="Q117" s="17"/>
      <c r="R117" s="42"/>
      <c r="S117" s="17"/>
      <c r="T117" s="17"/>
      <c r="U117" s="17"/>
      <c r="V117" s="42"/>
      <c r="W117" s="17"/>
      <c r="X117" s="17"/>
    </row>
    <row r="118" spans="1:26" x14ac:dyDescent="0.3">
      <c r="A118" s="9"/>
      <c r="B118" s="55"/>
      <c r="D118" s="17"/>
      <c r="E118" s="17"/>
      <c r="G118" s="17"/>
      <c r="H118" s="17"/>
      <c r="I118" s="17"/>
      <c r="J118" s="42"/>
      <c r="K118" s="17"/>
      <c r="L118" s="17"/>
      <c r="M118" s="17"/>
      <c r="P118" s="17"/>
      <c r="Q118" s="17"/>
      <c r="R118" s="42"/>
      <c r="S118" s="17"/>
      <c r="T118" s="17"/>
      <c r="U118" s="17"/>
      <c r="V118" s="42"/>
      <c r="W118" s="17"/>
      <c r="X118" s="17"/>
    </row>
    <row r="119" spans="1:26" x14ac:dyDescent="0.3">
      <c r="D119" s="17"/>
      <c r="E119" s="17"/>
      <c r="G119" s="17"/>
      <c r="H119" s="17"/>
      <c r="I119" s="17"/>
      <c r="J119" s="42"/>
      <c r="K119" s="17"/>
      <c r="L119" s="17"/>
      <c r="M119" s="17"/>
      <c r="P119" s="17"/>
      <c r="Q119" s="17"/>
      <c r="R119" s="42"/>
      <c r="S119" s="17"/>
      <c r="T119" s="17"/>
      <c r="U119" s="17"/>
      <c r="V119" s="42"/>
      <c r="W119" s="17"/>
      <c r="X119" s="17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92D050"/>
    <outlinePr summaryBelow="0" summaryRight="0"/>
  </sheetPr>
  <dimension ref="A2:Z10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","326", " - ", "2nd Street Store")</f>
        <v>Department 326 - 2nd Street Store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29384.78</v>
      </c>
      <c r="E12" s="4"/>
      <c r="F12" s="12"/>
      <c r="G12" s="4"/>
      <c r="H12" s="4">
        <f>SUM(OSRRefH13x_0)</f>
        <v>20798</v>
      </c>
      <c r="I12" s="4"/>
      <c r="J12" s="12"/>
      <c r="K12" s="4"/>
      <c r="L12" s="4">
        <f t="shared" ref="L12:L16" si="0">+D12-H12</f>
        <v>8586.7799999999988</v>
      </c>
      <c r="M12" s="4"/>
      <c r="N12" s="12">
        <f t="shared" ref="N12:N16" si="1">IF(H12=0,0,L12/H12)</f>
        <v>0.41286566015963067</v>
      </c>
      <c r="O12" s="10"/>
      <c r="P12" s="4">
        <f>SUM(OSRRefP13x_0)</f>
        <v>147213.48000000001</v>
      </c>
      <c r="Q12" s="4"/>
      <c r="R12" s="12"/>
      <c r="S12" s="4"/>
      <c r="T12" s="4">
        <f>SUM(OSRRefT13x_0)</f>
        <v>124045</v>
      </c>
      <c r="U12" s="4"/>
      <c r="V12" s="12"/>
      <c r="W12" s="4"/>
      <c r="X12" s="4">
        <f t="shared" ref="X12:X16" si="2">+P12-T12</f>
        <v>23168.48000000001</v>
      </c>
      <c r="Y12" s="4"/>
      <c r="Z12" s="12">
        <f t="shared" ref="Z12:Z16" si="3">IF(T12=0,0,X12/T12)</f>
        <v>0.1867747994679351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--30610.98</f>
        <v>30610.98</v>
      </c>
      <c r="E13" s="2"/>
      <c r="F13" s="19"/>
      <c r="G13" s="2"/>
      <c r="H13" s="2">
        <v>20798</v>
      </c>
      <c r="I13" s="2"/>
      <c r="J13" s="19"/>
      <c r="K13" s="2"/>
      <c r="L13" s="2">
        <f t="shared" si="0"/>
        <v>9812.98</v>
      </c>
      <c r="M13" s="2"/>
      <c r="N13" s="19">
        <f t="shared" si="1"/>
        <v>0.47182325223579186</v>
      </c>
      <c r="O13" s="11"/>
      <c r="P13" s="2">
        <f>--152240.88</f>
        <v>152240.88</v>
      </c>
      <c r="Q13" s="2"/>
      <c r="R13" s="19"/>
      <c r="S13" s="2"/>
      <c r="T13" s="2">
        <v>124045</v>
      </c>
      <c r="U13" s="2"/>
      <c r="V13" s="19"/>
      <c r="W13" s="2"/>
      <c r="X13" s="2">
        <f t="shared" si="2"/>
        <v>28195.880000000005</v>
      </c>
      <c r="Y13" s="2"/>
      <c r="Z13" s="19">
        <f t="shared" si="3"/>
        <v>0.22730363980813417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--7.8</f>
        <v>7.8</v>
      </c>
      <c r="E14" s="2"/>
      <c r="F14" s="19"/>
      <c r="G14" s="2"/>
      <c r="H14" s="2"/>
      <c r="I14" s="2"/>
      <c r="J14" s="19"/>
      <c r="K14" s="2"/>
      <c r="L14" s="2">
        <f t="shared" si="0"/>
        <v>7.8</v>
      </c>
      <c r="M14" s="2"/>
      <c r="N14" s="19">
        <f t="shared" si="1"/>
        <v>0</v>
      </c>
      <c r="O14" s="11"/>
      <c r="P14" s="2">
        <f>--141.9</f>
        <v>141.9</v>
      </c>
      <c r="Q14" s="2"/>
      <c r="R14" s="19"/>
      <c r="S14" s="2"/>
      <c r="T14" s="2"/>
      <c r="U14" s="2"/>
      <c r="V14" s="19"/>
      <c r="W14" s="2"/>
      <c r="X14" s="2">
        <f t="shared" si="2"/>
        <v>141.9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"4200", " - ", "TAXABLE RETURNS")</f>
        <v xml:space="preserve">          4200 - TAXABLE RETURNS</v>
      </c>
      <c r="C15" s="11"/>
      <c r="D15" s="2">
        <f>-1074.92</f>
        <v>-1074.92</v>
      </c>
      <c r="E15" s="2"/>
      <c r="F15" s="19"/>
      <c r="G15" s="2"/>
      <c r="H15" s="2"/>
      <c r="I15" s="2"/>
      <c r="J15" s="19"/>
      <c r="K15" s="2"/>
      <c r="L15" s="2">
        <f t="shared" si="0"/>
        <v>-1074.92</v>
      </c>
      <c r="M15" s="2"/>
      <c r="N15" s="19">
        <f t="shared" si="1"/>
        <v>0</v>
      </c>
      <c r="O15" s="11"/>
      <c r="P15" s="2">
        <f>-4672.44</f>
        <v>-4672.4399999999996</v>
      </c>
      <c r="Q15" s="2"/>
      <c r="R15" s="19"/>
      <c r="S15" s="2"/>
      <c r="T15" s="2"/>
      <c r="U15" s="2"/>
      <c r="V15" s="19"/>
      <c r="W15" s="2"/>
      <c r="X15" s="2">
        <f t="shared" si="2"/>
        <v>-4672.4399999999996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"4500", " - ", "SALES DISCOUNT")</f>
        <v xml:space="preserve">          4500 - SALES DISCOUNT</v>
      </c>
      <c r="C16" s="11"/>
      <c r="D16" s="2">
        <f>-159.08</f>
        <v>-159.08000000000001</v>
      </c>
      <c r="E16" s="2"/>
      <c r="F16" s="19"/>
      <c r="G16" s="2"/>
      <c r="H16" s="2"/>
      <c r="I16" s="2"/>
      <c r="J16" s="19"/>
      <c r="K16" s="2"/>
      <c r="L16" s="2">
        <f t="shared" si="0"/>
        <v>-159.08000000000001</v>
      </c>
      <c r="M16" s="2"/>
      <c r="N16" s="19">
        <f t="shared" si="1"/>
        <v>0</v>
      </c>
      <c r="O16" s="11"/>
      <c r="P16" s="2">
        <f>-496.86</f>
        <v>-496.86</v>
      </c>
      <c r="Q16" s="2"/>
      <c r="R16" s="19"/>
      <c r="S16" s="2"/>
      <c r="T16" s="2"/>
      <c r="U16" s="2"/>
      <c r="V16" s="19"/>
      <c r="W16" s="2"/>
      <c r="X16" s="2">
        <f t="shared" si="2"/>
        <v>-496.86</v>
      </c>
      <c r="Y16" s="2"/>
      <c r="Z16" s="19">
        <f t="shared" si="3"/>
        <v>0</v>
      </c>
    </row>
    <row r="17" spans="1:26" x14ac:dyDescent="0.3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">
      <c r="A18" s="10"/>
      <c r="B18" s="25" t="s">
        <v>257</v>
      </c>
      <c r="C18" s="10"/>
      <c r="D18" s="4">
        <f>SUM(OSRRefD16x_0)</f>
        <v>13659.65</v>
      </c>
      <c r="E18" s="4"/>
      <c r="F18" s="12">
        <f t="shared" ref="F18:F22" si="4">IF(D$12=0,0,D18/D$12)</f>
        <v>0.46485459479363128</v>
      </c>
      <c r="G18" s="4"/>
      <c r="H18" s="4">
        <f>SUM(OSRRefH16x_0)</f>
        <v>9359</v>
      </c>
      <c r="I18" s="4"/>
      <c r="J18" s="12">
        <f t="shared" ref="J18:J22" si="5">IF(H$12=0,0,H18/H$12)</f>
        <v>0.44999519184536974</v>
      </c>
      <c r="K18" s="4"/>
      <c r="L18" s="4">
        <f t="shared" ref="L18:L22" si="6">+D18-H18</f>
        <v>4300.6499999999996</v>
      </c>
      <c r="M18" s="4"/>
      <c r="N18" s="12">
        <f t="shared" ref="N18:N22" si="7">IF(H18=0,0,L18/H18)</f>
        <v>0.45952024788973178</v>
      </c>
      <c r="O18" s="10"/>
      <c r="P18" s="4">
        <f>SUM(OSRRefP16x_0)</f>
        <v>70149.53</v>
      </c>
      <c r="Q18" s="4"/>
      <c r="R18" s="12">
        <f t="shared" ref="R18:R22" si="8">IF(P$12=0,0,P18/P$12)</f>
        <v>0.47651566962481962</v>
      </c>
      <c r="S18" s="4"/>
      <c r="T18" s="4">
        <f>SUM(OSRRefT16x_0)</f>
        <v>55821</v>
      </c>
      <c r="U18" s="4"/>
      <c r="V18" s="12">
        <f t="shared" ref="V18:V22" si="9">IF(T$12=0,0,T18/T$12)</f>
        <v>0.45000604619291384</v>
      </c>
      <c r="W18" s="4"/>
      <c r="X18" s="4">
        <f t="shared" ref="X18:X22" si="10">+P18-T18</f>
        <v>14328.529999999999</v>
      </c>
      <c r="Y18" s="4"/>
      <c r="Z18" s="12">
        <f t="shared" ref="Z18:Z22" si="11">IF(T18=0,0,X18/T18)</f>
        <v>0.25668708908833593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9359</v>
      </c>
      <c r="I19" s="2"/>
      <c r="J19" s="19">
        <f t="shared" si="5"/>
        <v>0.44999519184536974</v>
      </c>
      <c r="K19" s="2"/>
      <c r="L19" s="2">
        <f t="shared" si="6"/>
        <v>-9359</v>
      </c>
      <c r="M19" s="2"/>
      <c r="N19" s="19">
        <f t="shared" si="7"/>
        <v>-1</v>
      </c>
      <c r="O19" s="11"/>
      <c r="P19" s="2">
        <v>1173.7</v>
      </c>
      <c r="Q19" s="2"/>
      <c r="R19" s="19">
        <f t="shared" si="8"/>
        <v>7.9727753192166909E-3</v>
      </c>
      <c r="S19" s="2"/>
      <c r="T19" s="2">
        <v>55821</v>
      </c>
      <c r="U19" s="2"/>
      <c r="V19" s="19">
        <f t="shared" si="9"/>
        <v>0.45000604619291384</v>
      </c>
      <c r="W19" s="2"/>
      <c r="X19" s="2">
        <f t="shared" si="10"/>
        <v>-54647.3</v>
      </c>
      <c r="Y19" s="2"/>
      <c r="Z19" s="19">
        <f t="shared" si="11"/>
        <v>-0.97897386288314436</v>
      </c>
    </row>
    <row r="20" spans="1:26" s="24" customFormat="1" hidden="1" outlineLevel="1" x14ac:dyDescent="0.3">
      <c r="A20" s="44"/>
      <c r="B20" s="11" t="str">
        <f>CONCATENATE("          ", "5200", " - ", "PURCHASES OFFSET")</f>
        <v xml:space="preserve">          5200 - PURCHASES OFFSET</v>
      </c>
      <c r="C20" s="11"/>
      <c r="D20" s="2"/>
      <c r="E20" s="2"/>
      <c r="F20" s="19">
        <f t="shared" si="4"/>
        <v>0</v>
      </c>
      <c r="G20" s="2"/>
      <c r="H20" s="2"/>
      <c r="I20" s="2"/>
      <c r="J20" s="19">
        <f t="shared" si="5"/>
        <v>0</v>
      </c>
      <c r="K20" s="2"/>
      <c r="L20" s="2">
        <f t="shared" si="6"/>
        <v>0</v>
      </c>
      <c r="M20" s="2"/>
      <c r="N20" s="19">
        <f t="shared" si="7"/>
        <v>0</v>
      </c>
      <c r="O20" s="11"/>
      <c r="P20" s="2">
        <v>-1225.78</v>
      </c>
      <c r="Q20" s="2"/>
      <c r="R20" s="19">
        <f t="shared" si="8"/>
        <v>-8.3265472699918502E-3</v>
      </c>
      <c r="S20" s="2"/>
      <c r="T20" s="2"/>
      <c r="U20" s="2"/>
      <c r="V20" s="19">
        <f t="shared" si="9"/>
        <v>0</v>
      </c>
      <c r="W20" s="2"/>
      <c r="X20" s="2">
        <f t="shared" si="10"/>
        <v>-1225.78</v>
      </c>
      <c r="Y20" s="2"/>
      <c r="Z20" s="19">
        <f t="shared" si="11"/>
        <v>0</v>
      </c>
    </row>
    <row r="21" spans="1:26" s="24" customFormat="1" hidden="1" outlineLevel="1" x14ac:dyDescent="0.3">
      <c r="A21" s="44"/>
      <c r="B21" s="11" t="str">
        <f>CONCATENATE("          ", "5300", " - ", "COG$ OFFSET")</f>
        <v xml:space="preserve">          5300 - COG$ OFFSET</v>
      </c>
      <c r="C21" s="11"/>
      <c r="D21" s="2">
        <v>13659.65</v>
      </c>
      <c r="E21" s="2"/>
      <c r="F21" s="19">
        <f t="shared" si="4"/>
        <v>0.46485459479363128</v>
      </c>
      <c r="G21" s="2"/>
      <c r="H21" s="2"/>
      <c r="I21" s="2"/>
      <c r="J21" s="19">
        <f t="shared" si="5"/>
        <v>0</v>
      </c>
      <c r="K21" s="2"/>
      <c r="L21" s="2">
        <f t="shared" si="6"/>
        <v>13659.65</v>
      </c>
      <c r="M21" s="2"/>
      <c r="N21" s="19">
        <f t="shared" si="7"/>
        <v>0</v>
      </c>
      <c r="O21" s="11"/>
      <c r="P21" s="2">
        <v>70149.53</v>
      </c>
      <c r="Q21" s="2"/>
      <c r="R21" s="19">
        <f t="shared" si="8"/>
        <v>0.47651566962481962</v>
      </c>
      <c r="S21" s="2"/>
      <c r="T21" s="2"/>
      <c r="U21" s="2"/>
      <c r="V21" s="19">
        <f t="shared" si="9"/>
        <v>0</v>
      </c>
      <c r="W21" s="2"/>
      <c r="X21" s="2">
        <f t="shared" si="10"/>
        <v>70149.53</v>
      </c>
      <c r="Y21" s="2"/>
      <c r="Z21" s="19">
        <f t="shared" si="11"/>
        <v>0</v>
      </c>
    </row>
    <row r="22" spans="1:26" s="24" customFormat="1" hidden="1" outlineLevel="1" x14ac:dyDescent="0.3">
      <c r="A22" s="44"/>
      <c r="B22" s="11" t="str">
        <f>CONCATENATE("          ", "5500", " - ", "FREIGHT-IN")</f>
        <v xml:space="preserve">          5500 - FREIGHT-IN</v>
      </c>
      <c r="C22" s="11"/>
      <c r="D22" s="2"/>
      <c r="E22" s="2"/>
      <c r="F22" s="19">
        <f t="shared" si="4"/>
        <v>0</v>
      </c>
      <c r="G22" s="2"/>
      <c r="H22" s="2"/>
      <c r="I22" s="2"/>
      <c r="J22" s="19">
        <f t="shared" si="5"/>
        <v>0</v>
      </c>
      <c r="K22" s="2"/>
      <c r="L22" s="2">
        <f t="shared" si="6"/>
        <v>0</v>
      </c>
      <c r="M22" s="2"/>
      <c r="N22" s="19">
        <f t="shared" si="7"/>
        <v>0</v>
      </c>
      <c r="O22" s="11"/>
      <c r="P22" s="2">
        <v>52.08</v>
      </c>
      <c r="Q22" s="2"/>
      <c r="R22" s="19">
        <f t="shared" si="8"/>
        <v>3.5377195077515995E-4</v>
      </c>
      <c r="S22" s="2"/>
      <c r="T22" s="2"/>
      <c r="U22" s="2"/>
      <c r="V22" s="19">
        <f t="shared" si="9"/>
        <v>0</v>
      </c>
      <c r="W22" s="2"/>
      <c r="X22" s="2">
        <f t="shared" si="10"/>
        <v>52.08</v>
      </c>
      <c r="Y22" s="2"/>
      <c r="Z22" s="19">
        <f t="shared" si="11"/>
        <v>0</v>
      </c>
    </row>
    <row r="23" spans="1:26" x14ac:dyDescent="0.3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3">
      <c r="A24" s="10"/>
      <c r="B24" s="26" t="s">
        <v>108</v>
      </c>
      <c r="C24" s="26"/>
      <c r="D24" s="20">
        <f>D12-D18</f>
        <v>15725.13</v>
      </c>
      <c r="E24" s="13"/>
      <c r="F24" s="22">
        <f>IF(D$12=0,0,D24/D$12)</f>
        <v>0.53514540520636877</v>
      </c>
      <c r="G24" s="13"/>
      <c r="H24" s="20">
        <f>H12-H18</f>
        <v>11439</v>
      </c>
      <c r="I24" s="13"/>
      <c r="J24" s="22">
        <f>IF(H$12=0,0,H24/H$12)</f>
        <v>0.55000480815463026</v>
      </c>
      <c r="K24" s="15"/>
      <c r="L24" s="20">
        <f>+D24-H24</f>
        <v>4286.1299999999992</v>
      </c>
      <c r="M24" s="15"/>
      <c r="N24" s="22">
        <f>IF(H24=0,0,L24/H24)</f>
        <v>0.37469446629950165</v>
      </c>
      <c r="O24" s="25"/>
      <c r="P24" s="20">
        <f>P12-P18</f>
        <v>77063.950000000012</v>
      </c>
      <c r="Q24" s="13"/>
      <c r="R24" s="22">
        <f>IF(P$12=0,0,P24/P$12)</f>
        <v>0.52348433037518038</v>
      </c>
      <c r="S24" s="13"/>
      <c r="T24" s="20">
        <f>T12-T18</f>
        <v>68224</v>
      </c>
      <c r="U24" s="13"/>
      <c r="V24" s="22">
        <f>IF(T$12=0,0,T24/T$12)</f>
        <v>0.54999395380708616</v>
      </c>
      <c r="W24" s="15"/>
      <c r="X24" s="20">
        <f>+P24-T24</f>
        <v>8839.9500000000116</v>
      </c>
      <c r="Y24" s="15"/>
      <c r="Z24" s="22">
        <f>IF(T24=0,0,X24/T24)</f>
        <v>0.12957243785178255</v>
      </c>
    </row>
    <row r="25" spans="1:26" x14ac:dyDescent="0.3">
      <c r="A25" s="9"/>
      <c r="B25" s="10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3">
      <c r="A26" s="10"/>
      <c r="B26" s="25" t="s">
        <v>295</v>
      </c>
      <c r="C26" s="10"/>
      <c r="D26" s="21">
        <f>SUM(OSRRefD22x_0)</f>
        <v>18259.380000000005</v>
      </c>
      <c r="E26" s="21"/>
      <c r="F26" s="30">
        <f t="shared" ref="F26:F36" si="12">IF(D$12=0,0,D26/D$12)</f>
        <v>0.6213890320090879</v>
      </c>
      <c r="G26" s="21"/>
      <c r="H26" s="21">
        <f>SUM(OSRRefH22x_0)</f>
        <v>20015.626815769228</v>
      </c>
      <c r="I26" s="21"/>
      <c r="J26" s="30">
        <f t="shared" ref="J26:J36" si="13">IF(H$12=0,0,H26/H$12)</f>
        <v>0.96238228751655108</v>
      </c>
      <c r="K26" s="4"/>
      <c r="L26" s="21">
        <f t="shared" ref="L26:L36" si="14">+D26-H26</f>
        <v>-1756.2468157692238</v>
      </c>
      <c r="M26" s="4"/>
      <c r="N26" s="30">
        <f t="shared" ref="N26:N36" si="15">IF(H26=0,0,L26/H26)</f>
        <v>-8.7743782991875727E-2</v>
      </c>
      <c r="O26" s="10"/>
      <c r="P26" s="21">
        <f>SUM(OSRRefP22x_0)</f>
        <v>84207.360000000015</v>
      </c>
      <c r="Q26" s="21"/>
      <c r="R26" s="30">
        <f t="shared" ref="R26:R36" si="16">IF(P$12=0,0,P26/P$12)</f>
        <v>0.57200848726624764</v>
      </c>
      <c r="S26" s="21"/>
      <c r="T26" s="21">
        <f>SUM(OSRRefT22x_0)</f>
        <v>107201.98141423076</v>
      </c>
      <c r="U26" s="21"/>
      <c r="V26" s="30">
        <f t="shared" ref="V26:V36" si="17">IF(T$12=0,0,T26/T$12)</f>
        <v>0.86421848050490357</v>
      </c>
      <c r="W26" s="4"/>
      <c r="X26" s="21">
        <f t="shared" ref="X26:X36" si="18">+P26-T26</f>
        <v>-22994.621414230744</v>
      </c>
      <c r="Y26" s="4"/>
      <c r="Z26" s="30">
        <f t="shared" ref="Z26:Z36" si="19">IF(T26=0,0,X26/T26)</f>
        <v>-0.21449810078956499</v>
      </c>
    </row>
    <row r="27" spans="1:26" s="29" customFormat="1" outlineLevel="1" collapsed="1" x14ac:dyDescent="0.3">
      <c r="A27" s="28"/>
      <c r="B27" s="14" t="str">
        <f>CONCATENATE("     ","*Benefits                                         ")</f>
        <v xml:space="preserve">     *Benefits                                         </v>
      </c>
      <c r="C27" s="14"/>
      <c r="D27" s="1">
        <f>SUM(OSRRefD22_0x_0)</f>
        <v>1203.0000000000002</v>
      </c>
      <c r="E27" s="1"/>
      <c r="F27" s="5">
        <f t="shared" si="12"/>
        <v>4.0939561228636061E-2</v>
      </c>
      <c r="G27" s="1"/>
      <c r="H27" s="1">
        <f>SUM(OSRRefH22_0x_0)</f>
        <v>2486.1691234615378</v>
      </c>
      <c r="I27" s="1"/>
      <c r="J27" s="5">
        <f t="shared" si="13"/>
        <v>0.11953885582563409</v>
      </c>
      <c r="K27" s="1"/>
      <c r="L27" s="1">
        <f t="shared" si="14"/>
        <v>-1283.1691234615375</v>
      </c>
      <c r="M27" s="1"/>
      <c r="N27" s="5">
        <f t="shared" si="15"/>
        <v>-0.51612302290801448</v>
      </c>
      <c r="O27" s="14"/>
      <c r="P27" s="1">
        <f>SUM(OSRRefP22_0x_0)</f>
        <v>6421.7800000000007</v>
      </c>
      <c r="Q27" s="1"/>
      <c r="R27" s="5">
        <f t="shared" si="16"/>
        <v>4.3622228073135698E-2</v>
      </c>
      <c r="S27" s="1"/>
      <c r="T27" s="1">
        <f>SUM(OSRRefT22_0x_0)</f>
        <v>13562.464106538453</v>
      </c>
      <c r="U27" s="1"/>
      <c r="V27" s="5">
        <f t="shared" si="17"/>
        <v>0.1093350325006123</v>
      </c>
      <c r="W27" s="1"/>
      <c r="X27" s="1">
        <f t="shared" si="18"/>
        <v>-7140.6841065384524</v>
      </c>
      <c r="Y27" s="1"/>
      <c r="Z27" s="5">
        <f t="shared" si="19"/>
        <v>-0.5265034473415442</v>
      </c>
    </row>
    <row r="28" spans="1:26" s="24" customFormat="1" hidden="1" outlineLevel="2" x14ac:dyDescent="0.3">
      <c r="A28" s="27"/>
      <c r="B28" s="11" t="str">
        <f>CONCATENATE("          ", "6111", " - ", "F.I.C.A.")</f>
        <v xml:space="preserve">          6111 - F.I.C.A.</v>
      </c>
      <c r="C28" s="11"/>
      <c r="D28" s="6">
        <v>231.52</v>
      </c>
      <c r="E28" s="2"/>
      <c r="F28" s="7">
        <f t="shared" si="12"/>
        <v>7.8789087411918687E-3</v>
      </c>
      <c r="G28" s="2"/>
      <c r="H28" s="6">
        <v>565.45956576923095</v>
      </c>
      <c r="I28" s="2"/>
      <c r="J28" s="7">
        <f t="shared" si="13"/>
        <v>2.7188170293741272E-2</v>
      </c>
      <c r="K28" s="2"/>
      <c r="L28" s="6">
        <f t="shared" si="14"/>
        <v>-333.93956576923097</v>
      </c>
      <c r="M28" s="2"/>
      <c r="N28" s="7">
        <f t="shared" si="15"/>
        <v>-0.59056312066266226</v>
      </c>
      <c r="O28" s="11"/>
      <c r="P28" s="6">
        <v>1491.51</v>
      </c>
      <c r="Q28" s="2"/>
      <c r="R28" s="7">
        <f t="shared" si="16"/>
        <v>1.0131612947401284E-2</v>
      </c>
      <c r="S28" s="2"/>
      <c r="T28" s="6">
        <v>3492.81153923077</v>
      </c>
      <c r="U28" s="2"/>
      <c r="V28" s="7">
        <f t="shared" si="17"/>
        <v>2.8157616503936233E-2</v>
      </c>
      <c r="W28" s="2"/>
      <c r="X28" s="6">
        <f t="shared" si="18"/>
        <v>-2001.30153923077</v>
      </c>
      <c r="Y28" s="2"/>
      <c r="Z28" s="7">
        <f t="shared" si="19"/>
        <v>-0.57297724676880823</v>
      </c>
    </row>
    <row r="29" spans="1:26" s="24" customFormat="1" hidden="1" outlineLevel="2" x14ac:dyDescent="0.3">
      <c r="A29" s="27"/>
      <c r="B29" s="11" t="str">
        <f>CONCATENATE("          ", "6112", " - ", "COMPENSATION INSURANCE")</f>
        <v xml:space="preserve">          6112 - COMPENSATION INSURANCE</v>
      </c>
      <c r="C29" s="11"/>
      <c r="D29" s="6">
        <v>18.3</v>
      </c>
      <c r="E29" s="2"/>
      <c r="F29" s="7">
        <f t="shared" si="12"/>
        <v>6.2277138028598482E-4</v>
      </c>
      <c r="G29" s="2"/>
      <c r="H29" s="6">
        <v>149.94300000000001</v>
      </c>
      <c r="I29" s="2"/>
      <c r="J29" s="7">
        <f t="shared" si="13"/>
        <v>7.2094912972401198E-3</v>
      </c>
      <c r="K29" s="2"/>
      <c r="L29" s="6">
        <f t="shared" si="14"/>
        <v>-131.643</v>
      </c>
      <c r="M29" s="2"/>
      <c r="N29" s="7">
        <f t="shared" si="15"/>
        <v>-0.87795362237650298</v>
      </c>
      <c r="O29" s="11"/>
      <c r="P29" s="6">
        <v>222.34</v>
      </c>
      <c r="Q29" s="2"/>
      <c r="R29" s="7">
        <f t="shared" si="16"/>
        <v>1.5103236469921097E-3</v>
      </c>
      <c r="S29" s="2"/>
      <c r="T29" s="6">
        <v>824.68650000000002</v>
      </c>
      <c r="U29" s="2"/>
      <c r="V29" s="7">
        <f t="shared" si="17"/>
        <v>6.6482848966101012E-3</v>
      </c>
      <c r="W29" s="2"/>
      <c r="X29" s="6">
        <f t="shared" si="18"/>
        <v>-602.34649999999999</v>
      </c>
      <c r="Y29" s="2"/>
      <c r="Z29" s="7">
        <f t="shared" si="19"/>
        <v>-0.73039451961442314</v>
      </c>
    </row>
    <row r="30" spans="1:26" s="24" customFormat="1" hidden="1" outlineLevel="2" x14ac:dyDescent="0.3">
      <c r="A30" s="27"/>
      <c r="B30" s="11" t="str">
        <f>CONCATENATE("          ", "6113", " - ", "GROUP INSURANCE")</f>
        <v xml:space="preserve">          6113 - GROUP INSURANCE</v>
      </c>
      <c r="C30" s="11"/>
      <c r="D30" s="6">
        <v>526.70000000000005</v>
      </c>
      <c r="E30" s="2"/>
      <c r="F30" s="7">
        <f t="shared" si="12"/>
        <v>1.7924245136427774E-2</v>
      </c>
      <c r="G30" s="2"/>
      <c r="H30" s="6">
        <v>988.5</v>
      </c>
      <c r="I30" s="2"/>
      <c r="J30" s="7">
        <f t="shared" si="13"/>
        <v>4.7528608520050003E-2</v>
      </c>
      <c r="K30" s="2"/>
      <c r="L30" s="6">
        <f t="shared" si="14"/>
        <v>-461.79999999999995</v>
      </c>
      <c r="M30" s="2"/>
      <c r="N30" s="7">
        <f t="shared" si="15"/>
        <v>-0.46717248356095087</v>
      </c>
      <c r="O30" s="11"/>
      <c r="P30" s="6">
        <v>2644.75</v>
      </c>
      <c r="Q30" s="2"/>
      <c r="R30" s="7">
        <f t="shared" si="16"/>
        <v>1.7965406428813446E-2</v>
      </c>
      <c r="S30" s="2"/>
      <c r="T30" s="6">
        <v>4942.5</v>
      </c>
      <c r="U30" s="2"/>
      <c r="V30" s="7">
        <f t="shared" si="17"/>
        <v>3.9844411302349954E-2</v>
      </c>
      <c r="W30" s="2"/>
      <c r="X30" s="6">
        <f t="shared" si="18"/>
        <v>-2297.75</v>
      </c>
      <c r="Y30" s="2"/>
      <c r="Z30" s="7">
        <f t="shared" si="19"/>
        <v>-0.46489630753667172</v>
      </c>
    </row>
    <row r="31" spans="1:26" s="24" customFormat="1" hidden="1" outlineLevel="2" x14ac:dyDescent="0.3">
      <c r="A31" s="27"/>
      <c r="B31" s="11" t="str">
        <f>CONCATENATE("          ", "6114", " - ", "STATE UNEMPLOYMENT INSURANCE")</f>
        <v xml:space="preserve">          6114 - STATE UNEMPLOYMENT INSURANCE</v>
      </c>
      <c r="C31" s="11"/>
      <c r="D31" s="6">
        <v>3.22</v>
      </c>
      <c r="E31" s="2"/>
      <c r="F31" s="7">
        <f t="shared" si="12"/>
        <v>1.0958053795196018E-4</v>
      </c>
      <c r="G31" s="2"/>
      <c r="H31" s="6">
        <v>20.184634615384599</v>
      </c>
      <c r="I31" s="2"/>
      <c r="J31" s="7">
        <f t="shared" si="13"/>
        <v>9.7050844385924604E-4</v>
      </c>
      <c r="K31" s="2"/>
      <c r="L31" s="6">
        <f t="shared" si="14"/>
        <v>-16.9646346153846</v>
      </c>
      <c r="M31" s="2"/>
      <c r="N31" s="7">
        <f t="shared" si="15"/>
        <v>-0.84047271296425963</v>
      </c>
      <c r="O31" s="11"/>
      <c r="P31" s="6">
        <v>39.06</v>
      </c>
      <c r="Q31" s="2"/>
      <c r="R31" s="7">
        <f t="shared" si="16"/>
        <v>2.6532896308136998E-4</v>
      </c>
      <c r="S31" s="2"/>
      <c r="T31" s="6">
        <v>111.01549038461501</v>
      </c>
      <c r="U31" s="2"/>
      <c r="V31" s="7">
        <f t="shared" si="17"/>
        <v>8.949614283898183E-4</v>
      </c>
      <c r="W31" s="2"/>
      <c r="X31" s="6">
        <f t="shared" si="18"/>
        <v>-71.955490384615004</v>
      </c>
      <c r="Y31" s="2"/>
      <c r="Z31" s="7">
        <f t="shared" si="19"/>
        <v>-0.6481572088302634</v>
      </c>
    </row>
    <row r="32" spans="1:26" s="24" customFormat="1" hidden="1" outlineLevel="2" x14ac:dyDescent="0.3">
      <c r="A32" s="27"/>
      <c r="B32" s="11" t="str">
        <f>CONCATENATE("          ", "6115", " - ", "P.E.R.S.")</f>
        <v xml:space="preserve">          6115 - P.E.R.S.</v>
      </c>
      <c r="C32" s="11"/>
      <c r="D32" s="6">
        <v>92.45</v>
      </c>
      <c r="E32" s="2"/>
      <c r="F32" s="7">
        <f t="shared" si="12"/>
        <v>3.1461865632480489E-3</v>
      </c>
      <c r="G32" s="2"/>
      <c r="H32" s="6">
        <v>206.11884615384599</v>
      </c>
      <c r="I32" s="2"/>
      <c r="J32" s="7">
        <f t="shared" si="13"/>
        <v>9.9105128451700154E-3</v>
      </c>
      <c r="K32" s="2"/>
      <c r="L32" s="6">
        <f t="shared" si="14"/>
        <v>-113.66884615384599</v>
      </c>
      <c r="M32" s="2"/>
      <c r="N32" s="7">
        <f t="shared" si="15"/>
        <v>-0.55147235818021312</v>
      </c>
      <c r="O32" s="11"/>
      <c r="P32" s="6">
        <v>492.46</v>
      </c>
      <c r="Q32" s="2"/>
      <c r="R32" s="7">
        <f t="shared" si="16"/>
        <v>3.3452099631093562E-3</v>
      </c>
      <c r="S32" s="2"/>
      <c r="T32" s="6">
        <v>1133.6536538461501</v>
      </c>
      <c r="U32" s="2"/>
      <c r="V32" s="7">
        <f t="shared" si="17"/>
        <v>9.1390515848776659E-3</v>
      </c>
      <c r="W32" s="2"/>
      <c r="X32" s="6">
        <f t="shared" si="18"/>
        <v>-641.19365384615003</v>
      </c>
      <c r="Y32" s="2"/>
      <c r="Z32" s="7">
        <f t="shared" si="19"/>
        <v>-0.56559924776916692</v>
      </c>
    </row>
    <row r="33" spans="1:26" s="24" customFormat="1" hidden="1" outlineLevel="2" x14ac:dyDescent="0.3">
      <c r="A33" s="27"/>
      <c r="B33" s="11" t="str">
        <f>CONCATENATE("          ", "6116", " - ", "EDUCATIONAL BENEFITS")</f>
        <v xml:space="preserve">          6116 - EDUCATIONAL BENEFITS</v>
      </c>
      <c r="C33" s="11"/>
      <c r="D33" s="6"/>
      <c r="E33" s="2"/>
      <c r="F33" s="7">
        <f t="shared" si="12"/>
        <v>0</v>
      </c>
      <c r="G33" s="2"/>
      <c r="H33" s="6">
        <v>0</v>
      </c>
      <c r="I33" s="2"/>
      <c r="J33" s="7">
        <f t="shared" si="13"/>
        <v>0</v>
      </c>
      <c r="K33" s="2"/>
      <c r="L33" s="6">
        <f t="shared" si="14"/>
        <v>0</v>
      </c>
      <c r="M33" s="2"/>
      <c r="N33" s="7">
        <f t="shared" si="15"/>
        <v>0</v>
      </c>
      <c r="O33" s="11"/>
      <c r="P33" s="6"/>
      <c r="Q33" s="2"/>
      <c r="R33" s="7">
        <f t="shared" si="16"/>
        <v>0</v>
      </c>
      <c r="S33" s="2"/>
      <c r="T33" s="6">
        <v>0</v>
      </c>
      <c r="U33" s="2"/>
      <c r="V33" s="7">
        <f t="shared" si="17"/>
        <v>0</v>
      </c>
      <c r="W33" s="2"/>
      <c r="X33" s="6">
        <f t="shared" si="18"/>
        <v>0</v>
      </c>
      <c r="Y33" s="2"/>
      <c r="Z33" s="7">
        <f t="shared" si="19"/>
        <v>0</v>
      </c>
    </row>
    <row r="34" spans="1:26" s="24" customFormat="1" hidden="1" outlineLevel="2" x14ac:dyDescent="0.3">
      <c r="A34" s="27"/>
      <c r="B34" s="11" t="str">
        <f>CONCATENATE("          ", "6118", " - ", "VACATION")</f>
        <v xml:space="preserve">          6118 - VACATION</v>
      </c>
      <c r="C34" s="11"/>
      <c r="D34" s="6">
        <v>89.07</v>
      </c>
      <c r="E34" s="2"/>
      <c r="F34" s="7">
        <f t="shared" si="12"/>
        <v>3.0311610296214569E-3</v>
      </c>
      <c r="G34" s="2"/>
      <c r="H34" s="6">
        <v>119.836538461538</v>
      </c>
      <c r="I34" s="2"/>
      <c r="J34" s="7">
        <f t="shared" si="13"/>
        <v>5.7619260727732472E-3</v>
      </c>
      <c r="K34" s="2"/>
      <c r="L34" s="6">
        <f t="shared" si="14"/>
        <v>-30.766538461538005</v>
      </c>
      <c r="M34" s="2"/>
      <c r="N34" s="7">
        <f t="shared" si="15"/>
        <v>-0.25673754312765507</v>
      </c>
      <c r="O34" s="11"/>
      <c r="P34" s="6">
        <v>474.45</v>
      </c>
      <c r="Q34" s="2"/>
      <c r="R34" s="7">
        <f t="shared" si="16"/>
        <v>3.2228706229891443E-3</v>
      </c>
      <c r="S34" s="2"/>
      <c r="T34" s="6">
        <v>659.10096153845996</v>
      </c>
      <c r="U34" s="2"/>
      <c r="V34" s="7">
        <f t="shared" si="17"/>
        <v>5.3134020842312063E-3</v>
      </c>
      <c r="W34" s="2"/>
      <c r="X34" s="6">
        <f t="shared" si="18"/>
        <v>-184.65096153845997</v>
      </c>
      <c r="Y34" s="2"/>
      <c r="Z34" s="7">
        <f t="shared" si="19"/>
        <v>-0.28015580664220469</v>
      </c>
    </row>
    <row r="35" spans="1:26" s="24" customFormat="1" hidden="1" outlineLevel="2" x14ac:dyDescent="0.3">
      <c r="A35" s="27"/>
      <c r="B35" s="11" t="str">
        <f>CONCATENATE("          ", "6119", " - ", "SICK LEAVE")</f>
        <v xml:space="preserve">          6119 - SICK LEAVE</v>
      </c>
      <c r="C35" s="11"/>
      <c r="D35" s="6">
        <v>56.18</v>
      </c>
      <c r="E35" s="2"/>
      <c r="F35" s="7">
        <f t="shared" si="12"/>
        <v>1.911874106255007E-3</v>
      </c>
      <c r="G35" s="2"/>
      <c r="H35" s="6">
        <v>436.12653846153802</v>
      </c>
      <c r="I35" s="2"/>
      <c r="J35" s="7">
        <f t="shared" si="13"/>
        <v>2.0969638352800173E-2</v>
      </c>
      <c r="K35" s="2"/>
      <c r="L35" s="6">
        <f t="shared" si="14"/>
        <v>-379.94653846153801</v>
      </c>
      <c r="M35" s="2"/>
      <c r="N35" s="7">
        <f t="shared" si="15"/>
        <v>-0.87118417467054798</v>
      </c>
      <c r="O35" s="11"/>
      <c r="P35" s="6">
        <v>299.27</v>
      </c>
      <c r="Q35" s="2"/>
      <c r="R35" s="7">
        <f t="shared" si="16"/>
        <v>2.0328980742796107E-3</v>
      </c>
      <c r="S35" s="2"/>
      <c r="T35" s="6">
        <v>2398.6959615384599</v>
      </c>
      <c r="U35" s="2"/>
      <c r="V35" s="7">
        <f t="shared" si="17"/>
        <v>1.9337304700217339E-2</v>
      </c>
      <c r="W35" s="2"/>
      <c r="X35" s="6">
        <f t="shared" si="18"/>
        <v>-2099.4259615384599</v>
      </c>
      <c r="Y35" s="2"/>
      <c r="Z35" s="7">
        <f t="shared" si="19"/>
        <v>-0.87523637643177743</v>
      </c>
    </row>
    <row r="36" spans="1:26" s="24" customFormat="1" hidden="1" outlineLevel="2" x14ac:dyDescent="0.3">
      <c r="A36" s="27"/>
      <c r="B36" s="11" t="str">
        <f>CONCATENATE("          ", "6156", " - ", "EMPLOYEE MEALS")</f>
        <v xml:space="preserve">          6156 - EMPLOYEE MEALS</v>
      </c>
      <c r="C36" s="11"/>
      <c r="D36" s="6">
        <v>185.56</v>
      </c>
      <c r="E36" s="2"/>
      <c r="F36" s="7">
        <f t="shared" si="12"/>
        <v>6.3148337336539533E-3</v>
      </c>
      <c r="G36" s="2"/>
      <c r="H36" s="6"/>
      <c r="I36" s="2"/>
      <c r="J36" s="7">
        <f t="shared" si="13"/>
        <v>0</v>
      </c>
      <c r="K36" s="2"/>
      <c r="L36" s="6">
        <f t="shared" si="14"/>
        <v>185.56</v>
      </c>
      <c r="M36" s="2"/>
      <c r="N36" s="7">
        <f t="shared" si="15"/>
        <v>0</v>
      </c>
      <c r="O36" s="11"/>
      <c r="P36" s="6">
        <v>757.94</v>
      </c>
      <c r="Q36" s="2"/>
      <c r="R36" s="7">
        <f t="shared" si="16"/>
        <v>5.1485774264693699E-3</v>
      </c>
      <c r="S36" s="2"/>
      <c r="T36" s="6"/>
      <c r="U36" s="2"/>
      <c r="V36" s="7">
        <f t="shared" si="17"/>
        <v>0</v>
      </c>
      <c r="W36" s="2"/>
      <c r="X36" s="6">
        <f t="shared" si="18"/>
        <v>757.94</v>
      </c>
      <c r="Y36" s="2"/>
      <c r="Z36" s="7">
        <f t="shared" si="19"/>
        <v>0</v>
      </c>
    </row>
    <row r="37" spans="1:26" s="29" customFormat="1" outlineLevel="1" collapsed="1" x14ac:dyDescent="0.3">
      <c r="A37" s="28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7344.47</v>
      </c>
      <c r="E37" s="1"/>
      <c r="F37" s="5">
        <f t="shared" ref="F37:F47" si="20">IF(D$12=0,0,D37/D$12)</f>
        <v>0.24994129614038291</v>
      </c>
      <c r="G37" s="1"/>
      <c r="H37" s="1">
        <f>SUM(OSRRefH22_1x_0)</f>
        <v>9122.4576923076893</v>
      </c>
      <c r="I37" s="1"/>
      <c r="J37" s="5">
        <f t="shared" ref="J37:J47" si="21">IF(H$12=0,0,H37/H$12)</f>
        <v>0.43862187192555485</v>
      </c>
      <c r="K37" s="1"/>
      <c r="L37" s="1">
        <f t="shared" ref="L37:L47" si="22">+D37-H37</f>
        <v>-1777.987692307689</v>
      </c>
      <c r="M37" s="1"/>
      <c r="N37" s="5">
        <f t="shared" ref="N37:N47" si="23">IF(H37=0,0,L37/H37)</f>
        <v>-0.19490226781834658</v>
      </c>
      <c r="O37" s="14"/>
      <c r="P37" s="1">
        <f>SUM(OSRRefP22_1x_0)</f>
        <v>32464.240000000002</v>
      </c>
      <c r="Q37" s="1"/>
      <c r="R37" s="5">
        <f t="shared" ref="R37:R47" si="24">IF(P$12=0,0,P37/P$12)</f>
        <v>0.22052491388696197</v>
      </c>
      <c r="S37" s="1"/>
      <c r="T37" s="1">
        <f>SUM(OSRRefT22_1x_0)</f>
        <v>50173.517307692302</v>
      </c>
      <c r="U37" s="1"/>
      <c r="V37" s="5">
        <f t="shared" ref="V37:V47" si="25">IF(T$12=0,0,T37/T$12)</f>
        <v>0.40447835307906244</v>
      </c>
      <c r="W37" s="1"/>
      <c r="X37" s="1">
        <f t="shared" ref="X37:X47" si="26">+P37-T37</f>
        <v>-17709.2773076923</v>
      </c>
      <c r="Y37" s="1"/>
      <c r="Z37" s="5">
        <f t="shared" ref="Z37:Z47" si="27">IF(T37=0,0,X37/T37)</f>
        <v>-0.35296065051786235</v>
      </c>
    </row>
    <row r="38" spans="1:26" s="24" customFormat="1" hidden="1" outlineLevel="2" x14ac:dyDescent="0.3">
      <c r="A38" s="27"/>
      <c r="B38" s="11" t="str">
        <f>CONCATENATE("          ", "6001", " - ", "ADMINISTRATIVE SALARIES")</f>
        <v xml:space="preserve">          6001 - ADMINISTRATIVE SALARIES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3">
      <c r="A39" s="27"/>
      <c r="B39" s="11" t="str">
        <f>CONCATENATE("          ", "6002", " - ", "STAFF SALARIES")</f>
        <v xml:space="preserve">          6002 - STAFF SALARIES</v>
      </c>
      <c r="C39" s="11"/>
      <c r="D39" s="6">
        <v>1218</v>
      </c>
      <c r="E39" s="2"/>
      <c r="F39" s="7">
        <f t="shared" si="20"/>
        <v>4.1450029573132763E-2</v>
      </c>
      <c r="G39" s="2"/>
      <c r="H39" s="6">
        <v>2157.0576923076901</v>
      </c>
      <c r="I39" s="2"/>
      <c r="J39" s="7">
        <f t="shared" si="21"/>
        <v>0.10371466930991875</v>
      </c>
      <c r="K39" s="2"/>
      <c r="L39" s="6">
        <f t="shared" si="22"/>
        <v>-939.0576923076901</v>
      </c>
      <c r="M39" s="2"/>
      <c r="N39" s="7">
        <f t="shared" si="23"/>
        <v>-0.43534194549198907</v>
      </c>
      <c r="O39" s="11"/>
      <c r="P39" s="6">
        <v>6136.87</v>
      </c>
      <c r="Q39" s="2"/>
      <c r="R39" s="7">
        <f t="shared" si="24"/>
        <v>4.1686875413854761E-2</v>
      </c>
      <c r="S39" s="2"/>
      <c r="T39" s="6">
        <v>11863.817307692299</v>
      </c>
      <c r="U39" s="2"/>
      <c r="V39" s="7">
        <f t="shared" si="25"/>
        <v>9.5641237516161867E-2</v>
      </c>
      <c r="W39" s="2"/>
      <c r="X39" s="6">
        <f t="shared" si="26"/>
        <v>-5726.9473076922995</v>
      </c>
      <c r="Y39" s="2"/>
      <c r="Z39" s="7">
        <f t="shared" si="27"/>
        <v>-0.4827238281880018</v>
      </c>
    </row>
    <row r="40" spans="1:26" s="24" customFormat="1" hidden="1" outlineLevel="2" x14ac:dyDescent="0.3">
      <c r="A40" s="27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3">
      <c r="A41" s="27"/>
      <c r="B41" s="11" t="str">
        <f>CONCATENATE("          ", "6004", " - ", "STAFF HOURLY")</f>
        <v xml:space="preserve">          6004 - STAFF HOURLY</v>
      </c>
      <c r="C41" s="11"/>
      <c r="D41" s="6">
        <v>1547.39</v>
      </c>
      <c r="E41" s="2"/>
      <c r="F41" s="7">
        <f t="shared" si="20"/>
        <v>5.2659574106050822E-2</v>
      </c>
      <c r="G41" s="2"/>
      <c r="H41" s="6">
        <v>4742.3999999999996</v>
      </c>
      <c r="I41" s="2"/>
      <c r="J41" s="7">
        <f t="shared" si="21"/>
        <v>0.22802192518511394</v>
      </c>
      <c r="K41" s="2"/>
      <c r="L41" s="6">
        <f t="shared" si="22"/>
        <v>-3195.0099999999993</v>
      </c>
      <c r="M41" s="2"/>
      <c r="N41" s="7">
        <f t="shared" si="23"/>
        <v>-0.67371162280701746</v>
      </c>
      <c r="O41" s="11"/>
      <c r="P41" s="6">
        <v>3494.14</v>
      </c>
      <c r="Q41" s="2"/>
      <c r="R41" s="7">
        <f t="shared" si="24"/>
        <v>2.3735190554560626E-2</v>
      </c>
      <c r="S41" s="2"/>
      <c r="T41" s="6">
        <v>26083.200000000001</v>
      </c>
      <c r="U41" s="2"/>
      <c r="V41" s="7">
        <f t="shared" si="25"/>
        <v>0.2102720786811238</v>
      </c>
      <c r="W41" s="2"/>
      <c r="X41" s="6">
        <f t="shared" si="26"/>
        <v>-22589.06</v>
      </c>
      <c r="Y41" s="2"/>
      <c r="Z41" s="7">
        <f t="shared" si="27"/>
        <v>-0.86603867623604469</v>
      </c>
    </row>
    <row r="42" spans="1:26" s="24" customFormat="1" hidden="1" outlineLevel="2" x14ac:dyDescent="0.3">
      <c r="A42" s="27"/>
      <c r="B42" s="11" t="str">
        <f>CONCATENATE("          ", "6005", " - ", "TEMPORARY WAGES-HOURLY")</f>
        <v xml:space="preserve">          6005 - TEMPORARY WAGES-HOURLY</v>
      </c>
      <c r="C42" s="11"/>
      <c r="D42" s="6">
        <v>261.14</v>
      </c>
      <c r="E42" s="2"/>
      <c r="F42" s="7">
        <f t="shared" si="20"/>
        <v>8.8869135654580361E-3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261.14</v>
      </c>
      <c r="M42" s="2"/>
      <c r="N42" s="7">
        <f t="shared" si="23"/>
        <v>0</v>
      </c>
      <c r="O42" s="11"/>
      <c r="P42" s="6">
        <v>3433.65</v>
      </c>
      <c r="Q42" s="2"/>
      <c r="R42" s="7">
        <f t="shared" si="24"/>
        <v>2.3324290683162982E-2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3433.65</v>
      </c>
      <c r="Y42" s="2"/>
      <c r="Z42" s="7">
        <f t="shared" si="27"/>
        <v>0</v>
      </c>
    </row>
    <row r="43" spans="1:26" s="24" customFormat="1" hidden="1" outlineLevel="2" x14ac:dyDescent="0.3">
      <c r="A43" s="27"/>
      <c r="B43" s="11" t="str">
        <f>CONCATENATE("          ", "6006", " - ", "TEMPORARY PART TIME")</f>
        <v xml:space="preserve">          6006 - TEMPORARY PART TIME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4" customFormat="1" hidden="1" outlineLevel="2" x14ac:dyDescent="0.3">
      <c r="A44" s="27"/>
      <c r="B44" s="11" t="str">
        <f>CONCATENATE("          ", "6007", " - ", "STUDENT HOURLY")</f>
        <v xml:space="preserve">          6007 - STUDENT HOURLY</v>
      </c>
      <c r="C44" s="11"/>
      <c r="D44" s="6">
        <v>4077.49</v>
      </c>
      <c r="E44" s="2"/>
      <c r="F44" s="7">
        <f t="shared" si="20"/>
        <v>0.13876197133345902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4077.49</v>
      </c>
      <c r="M44" s="2"/>
      <c r="N44" s="7">
        <f t="shared" si="23"/>
        <v>0</v>
      </c>
      <c r="O44" s="11"/>
      <c r="P44" s="6">
        <v>18717.54</v>
      </c>
      <c r="Q44" s="2"/>
      <c r="R44" s="7">
        <f t="shared" si="24"/>
        <v>0.12714555759431811</v>
      </c>
      <c r="S44" s="2"/>
      <c r="T44" s="6">
        <v>5001.75</v>
      </c>
      <c r="U44" s="2"/>
      <c r="V44" s="7">
        <f t="shared" si="25"/>
        <v>4.0322060542545043E-2</v>
      </c>
      <c r="W44" s="2"/>
      <c r="X44" s="6">
        <f t="shared" si="26"/>
        <v>13715.79</v>
      </c>
      <c r="Y44" s="2"/>
      <c r="Z44" s="7">
        <f t="shared" si="27"/>
        <v>2.7421982306192834</v>
      </c>
    </row>
    <row r="45" spans="1:26" s="24" customFormat="1" hidden="1" outlineLevel="2" x14ac:dyDescent="0.3">
      <c r="A45" s="27"/>
      <c r="B45" s="11" t="str">
        <f>CONCATENATE("          ", "6008", " - ", "STUDENT HOURLY-FICA EXEMPT")</f>
        <v xml:space="preserve">          6008 - STUDENT HOURLY-FICA EXEMPT</v>
      </c>
      <c r="C45" s="11"/>
      <c r="D45" s="6">
        <v>240.45</v>
      </c>
      <c r="E45" s="2"/>
      <c r="F45" s="7">
        <f t="shared" si="20"/>
        <v>8.1828075622822419E-3</v>
      </c>
      <c r="G45" s="2"/>
      <c r="H45" s="6">
        <v>2223</v>
      </c>
      <c r="I45" s="2"/>
      <c r="J45" s="7">
        <f t="shared" si="21"/>
        <v>0.10688527743052216</v>
      </c>
      <c r="K45" s="2"/>
      <c r="L45" s="6">
        <f t="shared" si="22"/>
        <v>-1982.55</v>
      </c>
      <c r="M45" s="2"/>
      <c r="N45" s="7">
        <f t="shared" si="23"/>
        <v>-0.89183535762483124</v>
      </c>
      <c r="O45" s="11"/>
      <c r="P45" s="6">
        <v>682.04</v>
      </c>
      <c r="Q45" s="2"/>
      <c r="R45" s="7">
        <f t="shared" si="24"/>
        <v>4.6329996410654781E-3</v>
      </c>
      <c r="S45" s="2"/>
      <c r="T45" s="6">
        <v>7224.75</v>
      </c>
      <c r="U45" s="2"/>
      <c r="V45" s="7">
        <f t="shared" si="25"/>
        <v>5.8242976339231728E-2</v>
      </c>
      <c r="W45" s="2"/>
      <c r="X45" s="6">
        <f t="shared" si="26"/>
        <v>-6542.71</v>
      </c>
      <c r="Y45" s="2"/>
      <c r="Z45" s="7">
        <f t="shared" si="27"/>
        <v>-0.90559673345098446</v>
      </c>
    </row>
    <row r="46" spans="1:26" s="24" customFormat="1" hidden="1" outlineLevel="2" x14ac:dyDescent="0.3">
      <c r="A46" s="27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3">
      <c r="A47" s="27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9" customFormat="1" outlineLevel="1" collapsed="1" x14ac:dyDescent="0.3">
      <c r="A48" s="28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314.02999999999997</v>
      </c>
      <c r="E48" s="1"/>
      <c r="F48" s="5">
        <f t="shared" ref="F48:F58" si="28">IF(D$12=0,0,D48/D$12)</f>
        <v>1.0686824948153432E-2</v>
      </c>
      <c r="G48" s="1"/>
      <c r="H48" s="1">
        <f>SUM(OSRRefH22_2x_0)</f>
        <v>50</v>
      </c>
      <c r="I48" s="1"/>
      <c r="J48" s="5">
        <f t="shared" ref="J48:J58" si="29">IF(H$12=0,0,H48/H$12)</f>
        <v>2.4040773151264546E-3</v>
      </c>
      <c r="K48" s="1"/>
      <c r="L48" s="1">
        <f t="shared" ref="L48:L58" si="30">+D48-H48</f>
        <v>264.02999999999997</v>
      </c>
      <c r="M48" s="1"/>
      <c r="N48" s="5">
        <f t="shared" ref="N48:N58" si="31">IF(H48=0,0,L48/H48)</f>
        <v>5.2805999999999997</v>
      </c>
      <c r="O48" s="14"/>
      <c r="P48" s="1">
        <f>SUM(OSRRefP22_2x_0)</f>
        <v>1124.3499999999999</v>
      </c>
      <c r="Q48" s="1"/>
      <c r="R48" s="5">
        <f t="shared" ref="R48:R58" si="32">IF(P$12=0,0,P48/P$12)</f>
        <v>7.6375478658611958E-3</v>
      </c>
      <c r="S48" s="1"/>
      <c r="T48" s="1">
        <f>SUM(OSRRefT22_2x_0)</f>
        <v>250</v>
      </c>
      <c r="U48" s="1"/>
      <c r="V48" s="5">
        <f t="shared" ref="V48:V58" si="33">IF(T$12=0,0,T48/T$12)</f>
        <v>2.0153976379539682E-3</v>
      </c>
      <c r="W48" s="1"/>
      <c r="X48" s="1">
        <f t="shared" ref="X48:X58" si="34">+P48-T48</f>
        <v>874.34999999999991</v>
      </c>
      <c r="Y48" s="1"/>
      <c r="Z48" s="5">
        <f t="shared" ref="Z48:Z58" si="35">IF(T48=0,0,X48/T48)</f>
        <v>3.4973999999999998</v>
      </c>
    </row>
    <row r="49" spans="1:26" s="24" customFormat="1" hidden="1" outlineLevel="2" x14ac:dyDescent="0.3">
      <c r="A49" s="27"/>
      <c r="B49" s="11" t="str">
        <f>CONCATENATE("          ", "6362", " - ", "ADVERTISING EXPENSE")</f>
        <v xml:space="preserve">          6362 - ADVERTISING EXPENSE</v>
      </c>
      <c r="C49" s="11"/>
      <c r="D49" s="6">
        <v>314.02999999999997</v>
      </c>
      <c r="E49" s="2"/>
      <c r="F49" s="7">
        <f t="shared" si="28"/>
        <v>1.0686824948153432E-2</v>
      </c>
      <c r="G49" s="2"/>
      <c r="H49" s="6">
        <v>50</v>
      </c>
      <c r="I49" s="2"/>
      <c r="J49" s="7">
        <f t="shared" si="29"/>
        <v>2.4040773151264546E-3</v>
      </c>
      <c r="K49" s="2"/>
      <c r="L49" s="6">
        <f t="shared" si="30"/>
        <v>264.02999999999997</v>
      </c>
      <c r="M49" s="2"/>
      <c r="N49" s="7">
        <f t="shared" si="31"/>
        <v>5.2805999999999997</v>
      </c>
      <c r="O49" s="11"/>
      <c r="P49" s="6">
        <v>1124.3499999999999</v>
      </c>
      <c r="Q49" s="2"/>
      <c r="R49" s="7">
        <f t="shared" si="32"/>
        <v>7.6375478658611958E-3</v>
      </c>
      <c r="S49" s="2"/>
      <c r="T49" s="6">
        <v>250</v>
      </c>
      <c r="U49" s="2"/>
      <c r="V49" s="7">
        <f t="shared" si="33"/>
        <v>2.0153976379539682E-3</v>
      </c>
      <c r="W49" s="2"/>
      <c r="X49" s="6">
        <f t="shared" si="34"/>
        <v>874.34999999999991</v>
      </c>
      <c r="Y49" s="2"/>
      <c r="Z49" s="7">
        <f t="shared" si="35"/>
        <v>3.4973999999999998</v>
      </c>
    </row>
    <row r="50" spans="1:26" s="29" customFormat="1" outlineLevel="1" collapsed="1" x14ac:dyDescent="0.3">
      <c r="A50" s="28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-0.66</v>
      </c>
      <c r="E50" s="1"/>
      <c r="F50" s="5">
        <f t="shared" si="28"/>
        <v>-2.246060715785519E-5</v>
      </c>
      <c r="G50" s="1"/>
      <c r="H50" s="1">
        <f>SUM(OSRRefH22_3x_0)</f>
        <v>10</v>
      </c>
      <c r="I50" s="1"/>
      <c r="J50" s="5">
        <f t="shared" si="29"/>
        <v>4.808154630252909E-4</v>
      </c>
      <c r="K50" s="1"/>
      <c r="L50" s="1">
        <f t="shared" si="30"/>
        <v>-10.66</v>
      </c>
      <c r="M50" s="1"/>
      <c r="N50" s="5">
        <f t="shared" si="31"/>
        <v>-1.0660000000000001</v>
      </c>
      <c r="O50" s="14"/>
      <c r="P50" s="1">
        <f>SUM(OSRRefP22_3x_0)</f>
        <v>-9.02</v>
      </c>
      <c r="Q50" s="1"/>
      <c r="R50" s="5">
        <f t="shared" si="32"/>
        <v>-6.1271562903071096E-5</v>
      </c>
      <c r="S50" s="1"/>
      <c r="T50" s="1">
        <f>SUM(OSRRefT22_3x_0)</f>
        <v>50</v>
      </c>
      <c r="U50" s="1"/>
      <c r="V50" s="5">
        <f t="shared" si="33"/>
        <v>4.0307952759079368E-4</v>
      </c>
      <c r="W50" s="1"/>
      <c r="X50" s="1">
        <f t="shared" si="34"/>
        <v>-59.019999999999996</v>
      </c>
      <c r="Y50" s="1"/>
      <c r="Z50" s="5">
        <f t="shared" si="35"/>
        <v>-1.1803999999999999</v>
      </c>
    </row>
    <row r="51" spans="1:26" s="24" customFormat="1" hidden="1" outlineLevel="2" x14ac:dyDescent="0.3">
      <c r="A51" s="27"/>
      <c r="B51" s="11" t="str">
        <f>CONCATENATE("          ", "6272", " - ", "CASH (OVER/SHORT)")</f>
        <v xml:space="preserve">          6272 - CASH (OVER/SHORT)</v>
      </c>
      <c r="C51" s="11"/>
      <c r="D51" s="6">
        <v>-0.66</v>
      </c>
      <c r="E51" s="2"/>
      <c r="F51" s="7">
        <f t="shared" si="28"/>
        <v>-2.246060715785519E-5</v>
      </c>
      <c r="G51" s="2"/>
      <c r="H51" s="6">
        <v>10</v>
      </c>
      <c r="I51" s="2"/>
      <c r="J51" s="7">
        <f t="shared" si="29"/>
        <v>4.808154630252909E-4</v>
      </c>
      <c r="K51" s="2"/>
      <c r="L51" s="6">
        <f t="shared" si="30"/>
        <v>-10.66</v>
      </c>
      <c r="M51" s="2"/>
      <c r="N51" s="7">
        <f t="shared" si="31"/>
        <v>-1.0660000000000001</v>
      </c>
      <c r="O51" s="11"/>
      <c r="P51" s="6">
        <v>-9.02</v>
      </c>
      <c r="Q51" s="2"/>
      <c r="R51" s="7">
        <f t="shared" si="32"/>
        <v>-6.1271562903071096E-5</v>
      </c>
      <c r="S51" s="2"/>
      <c r="T51" s="6">
        <v>50</v>
      </c>
      <c r="U51" s="2"/>
      <c r="V51" s="7">
        <f t="shared" si="33"/>
        <v>4.0307952759079368E-4</v>
      </c>
      <c r="W51" s="2"/>
      <c r="X51" s="6">
        <f t="shared" si="34"/>
        <v>-59.019999999999996</v>
      </c>
      <c r="Y51" s="2"/>
      <c r="Z51" s="7">
        <f t="shared" si="35"/>
        <v>-1.1803999999999999</v>
      </c>
    </row>
    <row r="52" spans="1:26" s="29" customFormat="1" outlineLevel="1" collapsed="1" x14ac:dyDescent="0.3">
      <c r="A52" s="28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552.5</v>
      </c>
      <c r="E52" s="1"/>
      <c r="F52" s="5">
        <f t="shared" si="28"/>
        <v>1.8802250688962109E-2</v>
      </c>
      <c r="G52" s="1"/>
      <c r="H52" s="1">
        <f>SUM(OSRRefH22_4x_0)</f>
        <v>391</v>
      </c>
      <c r="I52" s="1"/>
      <c r="J52" s="5">
        <f t="shared" si="29"/>
        <v>1.8799884604288875E-2</v>
      </c>
      <c r="K52" s="1"/>
      <c r="L52" s="1">
        <f t="shared" si="30"/>
        <v>161.5</v>
      </c>
      <c r="M52" s="1"/>
      <c r="N52" s="5">
        <f t="shared" si="31"/>
        <v>0.41304347826086957</v>
      </c>
      <c r="O52" s="14"/>
      <c r="P52" s="1">
        <f>SUM(OSRRefP22_4x_0)</f>
        <v>2474.44</v>
      </c>
      <c r="Q52" s="1"/>
      <c r="R52" s="5">
        <f t="shared" si="32"/>
        <v>1.6808515089786615E-2</v>
      </c>
      <c r="S52" s="1"/>
      <c r="T52" s="1">
        <f>SUM(OSRRefT22_4x_0)</f>
        <v>2356</v>
      </c>
      <c r="U52" s="1"/>
      <c r="V52" s="5">
        <f t="shared" si="33"/>
        <v>1.8993107340078197E-2</v>
      </c>
      <c r="W52" s="1"/>
      <c r="X52" s="1">
        <f t="shared" si="34"/>
        <v>118.44000000000005</v>
      </c>
      <c r="Y52" s="1"/>
      <c r="Z52" s="5">
        <f t="shared" si="35"/>
        <v>5.0271646859083217E-2</v>
      </c>
    </row>
    <row r="53" spans="1:26" s="24" customFormat="1" hidden="1" outlineLevel="2" x14ac:dyDescent="0.3">
      <c r="A53" s="27"/>
      <c r="B53" s="11" t="str">
        <f>CONCATENATE("          ", "6381", " - ", "BANK/CREDIT CARD FEES")</f>
        <v xml:space="preserve">          6381 - BANK/CREDIT CARD FEES</v>
      </c>
      <c r="C53" s="11"/>
      <c r="D53" s="6">
        <v>552.5</v>
      </c>
      <c r="E53" s="2"/>
      <c r="F53" s="7">
        <f t="shared" si="28"/>
        <v>1.8802250688962109E-2</v>
      </c>
      <c r="G53" s="2"/>
      <c r="H53" s="6">
        <v>391</v>
      </c>
      <c r="I53" s="2"/>
      <c r="J53" s="7">
        <f t="shared" si="29"/>
        <v>1.8799884604288875E-2</v>
      </c>
      <c r="K53" s="2"/>
      <c r="L53" s="6">
        <f t="shared" si="30"/>
        <v>161.5</v>
      </c>
      <c r="M53" s="2"/>
      <c r="N53" s="7">
        <f t="shared" si="31"/>
        <v>0.41304347826086957</v>
      </c>
      <c r="O53" s="11"/>
      <c r="P53" s="6">
        <v>2474.44</v>
      </c>
      <c r="Q53" s="2"/>
      <c r="R53" s="7">
        <f t="shared" si="32"/>
        <v>1.6808515089786615E-2</v>
      </c>
      <c r="S53" s="2"/>
      <c r="T53" s="6">
        <v>2356</v>
      </c>
      <c r="U53" s="2"/>
      <c r="V53" s="7">
        <f t="shared" si="33"/>
        <v>1.8993107340078197E-2</v>
      </c>
      <c r="W53" s="2"/>
      <c r="X53" s="6">
        <f t="shared" si="34"/>
        <v>118.44000000000005</v>
      </c>
      <c r="Y53" s="2"/>
      <c r="Z53" s="7">
        <f t="shared" si="35"/>
        <v>5.0271646859083217E-2</v>
      </c>
    </row>
    <row r="54" spans="1:26" s="29" customFormat="1" outlineLevel="1" collapsed="1" x14ac:dyDescent="0.3">
      <c r="A54" s="28"/>
      <c r="B54" s="14" t="str">
        <f>CONCATENATE("     ","Employees' Appreciation                           ")</f>
        <v xml:space="preserve">     Employees' Appreciation                           </v>
      </c>
      <c r="C54" s="14"/>
      <c r="D54" s="1">
        <f>SUM(OSRRefD22_5x_0)</f>
        <v>0</v>
      </c>
      <c r="E54" s="1"/>
      <c r="F54" s="5">
        <f t="shared" si="28"/>
        <v>0</v>
      </c>
      <c r="G54" s="1"/>
      <c r="H54" s="1">
        <f>SUM(OSRRefH22_5x_0)</f>
        <v>25</v>
      </c>
      <c r="I54" s="1"/>
      <c r="J54" s="5">
        <f t="shared" si="29"/>
        <v>1.2020386575632273E-3</v>
      </c>
      <c r="K54" s="1"/>
      <c r="L54" s="1">
        <f t="shared" si="30"/>
        <v>-25</v>
      </c>
      <c r="M54" s="1"/>
      <c r="N54" s="5">
        <f t="shared" si="31"/>
        <v>-1</v>
      </c>
      <c r="O54" s="14"/>
      <c r="P54" s="1">
        <f>SUM(OSRRefP22_5x_0)</f>
        <v>0</v>
      </c>
      <c r="Q54" s="1"/>
      <c r="R54" s="5">
        <f t="shared" si="32"/>
        <v>0</v>
      </c>
      <c r="S54" s="1"/>
      <c r="T54" s="1">
        <f>SUM(OSRRefT22_5x_0)</f>
        <v>125</v>
      </c>
      <c r="U54" s="1"/>
      <c r="V54" s="5">
        <f t="shared" si="33"/>
        <v>1.0076988189769841E-3</v>
      </c>
      <c r="W54" s="1"/>
      <c r="X54" s="1">
        <f t="shared" si="34"/>
        <v>-125</v>
      </c>
      <c r="Y54" s="1"/>
      <c r="Z54" s="5">
        <f t="shared" si="35"/>
        <v>-1</v>
      </c>
    </row>
    <row r="55" spans="1:26" s="24" customFormat="1" hidden="1" outlineLevel="2" x14ac:dyDescent="0.3">
      <c r="A55" s="27"/>
      <c r="B55" s="11" t="str">
        <f>CONCATENATE("          ", "6277", " - ", "EMPLOYEE APPRECIATION")</f>
        <v xml:space="preserve">          6277 - EMPLOYEE APPRECIATION</v>
      </c>
      <c r="C55" s="11"/>
      <c r="D55" s="6"/>
      <c r="E55" s="2"/>
      <c r="F55" s="7">
        <f t="shared" si="28"/>
        <v>0</v>
      </c>
      <c r="G55" s="2"/>
      <c r="H55" s="6">
        <v>25</v>
      </c>
      <c r="I55" s="2"/>
      <c r="J55" s="7">
        <f t="shared" si="29"/>
        <v>1.2020386575632273E-3</v>
      </c>
      <c r="K55" s="2"/>
      <c r="L55" s="6">
        <f t="shared" si="30"/>
        <v>-25</v>
      </c>
      <c r="M55" s="2"/>
      <c r="N55" s="7">
        <f t="shared" si="31"/>
        <v>-1</v>
      </c>
      <c r="O55" s="11"/>
      <c r="P55" s="6"/>
      <c r="Q55" s="2"/>
      <c r="R55" s="7">
        <f t="shared" si="32"/>
        <v>0</v>
      </c>
      <c r="S55" s="2"/>
      <c r="T55" s="6">
        <v>125</v>
      </c>
      <c r="U55" s="2"/>
      <c r="V55" s="7">
        <f t="shared" si="33"/>
        <v>1.0076988189769841E-3</v>
      </c>
      <c r="W55" s="2"/>
      <c r="X55" s="6">
        <f t="shared" si="34"/>
        <v>-125</v>
      </c>
      <c r="Y55" s="2"/>
      <c r="Z55" s="7">
        <f t="shared" si="35"/>
        <v>-1</v>
      </c>
    </row>
    <row r="56" spans="1:26" s="29" customFormat="1" outlineLevel="1" collapsed="1" x14ac:dyDescent="0.3">
      <c r="A56" s="28"/>
      <c r="B56" s="14" t="str">
        <f>CONCATENATE("     ","General                                           ")</f>
        <v xml:space="preserve">     General                                           </v>
      </c>
      <c r="C56" s="14"/>
      <c r="D56" s="1">
        <f>SUM(OSRRefD22_6x_0)</f>
        <v>1135.0899999999999</v>
      </c>
      <c r="E56" s="1"/>
      <c r="F56" s="5">
        <f t="shared" si="28"/>
        <v>3.8628500876984613E-2</v>
      </c>
      <c r="G56" s="1"/>
      <c r="H56" s="1">
        <f>SUM(OSRRefH22_6x_0)</f>
        <v>0</v>
      </c>
      <c r="I56" s="1"/>
      <c r="J56" s="5">
        <f t="shared" si="29"/>
        <v>0</v>
      </c>
      <c r="K56" s="1"/>
      <c r="L56" s="1">
        <f t="shared" si="30"/>
        <v>1135.0899999999999</v>
      </c>
      <c r="M56" s="1"/>
      <c r="N56" s="5">
        <f t="shared" si="31"/>
        <v>0</v>
      </c>
      <c r="O56" s="14"/>
      <c r="P56" s="1">
        <f>SUM(OSRRefP22_6x_0)</f>
        <v>1135.0899999999999</v>
      </c>
      <c r="Q56" s="1"/>
      <c r="R56" s="5">
        <f t="shared" si="32"/>
        <v>7.7105031414242764E-3</v>
      </c>
      <c r="S56" s="1"/>
      <c r="T56" s="1">
        <f>SUM(OSRRefT22_6x_0)</f>
        <v>125</v>
      </c>
      <c r="U56" s="1"/>
      <c r="V56" s="5">
        <f t="shared" si="33"/>
        <v>1.0076988189769841E-3</v>
      </c>
      <c r="W56" s="1"/>
      <c r="X56" s="1">
        <f t="shared" si="34"/>
        <v>1010.0899999999999</v>
      </c>
      <c r="Y56" s="1"/>
      <c r="Z56" s="5">
        <f t="shared" si="35"/>
        <v>8.0807199999999995</v>
      </c>
    </row>
    <row r="57" spans="1:26" s="24" customFormat="1" hidden="1" outlineLevel="2" x14ac:dyDescent="0.3">
      <c r="A57" s="27"/>
      <c r="B57" s="11" t="str">
        <f>CONCATENATE("          ", "6276", " - ", "PROPERTY TAX")</f>
        <v xml:space="preserve">          6276 - PROPERTY TAX</v>
      </c>
      <c r="C57" s="11"/>
      <c r="D57" s="6"/>
      <c r="E57" s="2"/>
      <c r="F57" s="7">
        <f t="shared" si="28"/>
        <v>0</v>
      </c>
      <c r="G57" s="2"/>
      <c r="H57" s="6"/>
      <c r="I57" s="2"/>
      <c r="J57" s="7">
        <f t="shared" si="29"/>
        <v>0</v>
      </c>
      <c r="K57" s="2"/>
      <c r="L57" s="6">
        <f t="shared" si="30"/>
        <v>0</v>
      </c>
      <c r="M57" s="2"/>
      <c r="N57" s="7">
        <f t="shared" si="31"/>
        <v>0</v>
      </c>
      <c r="O57" s="11"/>
      <c r="P57" s="6"/>
      <c r="Q57" s="2"/>
      <c r="R57" s="7">
        <f t="shared" si="32"/>
        <v>0</v>
      </c>
      <c r="S57" s="2"/>
      <c r="T57" s="6">
        <v>125</v>
      </c>
      <c r="U57" s="2"/>
      <c r="V57" s="7">
        <f t="shared" si="33"/>
        <v>1.0076988189769841E-3</v>
      </c>
      <c r="W57" s="2"/>
      <c r="X57" s="6">
        <f t="shared" si="34"/>
        <v>-125</v>
      </c>
      <c r="Y57" s="2"/>
      <c r="Z57" s="7">
        <f t="shared" si="35"/>
        <v>-1</v>
      </c>
    </row>
    <row r="58" spans="1:26" s="24" customFormat="1" hidden="1" outlineLevel="2" x14ac:dyDescent="0.3">
      <c r="A58" s="27"/>
      <c r="B58" s="11" t="str">
        <f>CONCATENATE("          ", "6279", " - ", "GENERAL EXPENSE")</f>
        <v xml:space="preserve">          6279 - GENERAL EXPENSE</v>
      </c>
      <c r="C58" s="11"/>
      <c r="D58" s="6">
        <v>1135.0899999999999</v>
      </c>
      <c r="E58" s="2"/>
      <c r="F58" s="7">
        <f t="shared" si="28"/>
        <v>3.8628500876984613E-2</v>
      </c>
      <c r="G58" s="2"/>
      <c r="H58" s="6"/>
      <c r="I58" s="2"/>
      <c r="J58" s="7">
        <f t="shared" si="29"/>
        <v>0</v>
      </c>
      <c r="K58" s="2"/>
      <c r="L58" s="6">
        <f t="shared" si="30"/>
        <v>1135.0899999999999</v>
      </c>
      <c r="M58" s="2"/>
      <c r="N58" s="7">
        <f t="shared" si="31"/>
        <v>0</v>
      </c>
      <c r="O58" s="11"/>
      <c r="P58" s="6">
        <v>1135.0899999999999</v>
      </c>
      <c r="Q58" s="2"/>
      <c r="R58" s="7">
        <f t="shared" si="32"/>
        <v>7.7105031414242764E-3</v>
      </c>
      <c r="S58" s="2"/>
      <c r="T58" s="6"/>
      <c r="U58" s="2"/>
      <c r="V58" s="7">
        <f t="shared" si="33"/>
        <v>0</v>
      </c>
      <c r="W58" s="2"/>
      <c r="X58" s="6">
        <f t="shared" si="34"/>
        <v>1135.0899999999999</v>
      </c>
      <c r="Y58" s="2"/>
      <c r="Z58" s="7">
        <f t="shared" si="35"/>
        <v>0</v>
      </c>
    </row>
    <row r="59" spans="1:26" s="29" customFormat="1" outlineLevel="1" collapsed="1" x14ac:dyDescent="0.3">
      <c r="A59" s="28"/>
      <c r="B59" s="14" t="str">
        <f>CONCATENATE("     ","Insurance                                         ")</f>
        <v xml:space="preserve">     Insurance                                         </v>
      </c>
      <c r="C59" s="14"/>
      <c r="D59" s="1">
        <f>SUM(OSRRefD22_7x_0)</f>
        <v>219.08</v>
      </c>
      <c r="E59" s="1"/>
      <c r="F59" s="5">
        <f t="shared" ref="F59:F69" si="36">IF(D$12=0,0,D59/D$12)</f>
        <v>7.4555603274892657E-3</v>
      </c>
      <c r="G59" s="1"/>
      <c r="H59" s="1">
        <f>SUM(OSRRefH22_7x_0)</f>
        <v>175</v>
      </c>
      <c r="I59" s="1"/>
      <c r="J59" s="5">
        <f t="shared" ref="J59:J69" si="37">IF(H$12=0,0,H59/H$12)</f>
        <v>8.4142706029425914E-3</v>
      </c>
      <c r="K59" s="1"/>
      <c r="L59" s="1">
        <f t="shared" ref="L59:L69" si="38">+D59-H59</f>
        <v>44.080000000000013</v>
      </c>
      <c r="M59" s="1"/>
      <c r="N59" s="5">
        <f t="shared" ref="N59:N69" si="39">IF(H59=0,0,L59/H59)</f>
        <v>0.25188571428571438</v>
      </c>
      <c r="O59" s="14"/>
      <c r="P59" s="1">
        <f>SUM(OSRRefP22_7x_0)</f>
        <v>1095.4000000000001</v>
      </c>
      <c r="Q59" s="1"/>
      <c r="R59" s="5">
        <f t="shared" ref="R59:R69" si="40">IF(P$12=0,0,P59/P$12)</f>
        <v>7.440894678938369E-3</v>
      </c>
      <c r="S59" s="1"/>
      <c r="T59" s="1">
        <f>SUM(OSRRefT22_7x_0)</f>
        <v>875</v>
      </c>
      <c r="U59" s="1"/>
      <c r="V59" s="5">
        <f t="shared" ref="V59:V69" si="41">IF(T$12=0,0,T59/T$12)</f>
        <v>7.053891732838889E-3</v>
      </c>
      <c r="W59" s="1"/>
      <c r="X59" s="1">
        <f t="shared" ref="X59:X69" si="42">+P59-T59</f>
        <v>220.40000000000009</v>
      </c>
      <c r="Y59" s="1"/>
      <c r="Z59" s="5">
        <f t="shared" ref="Z59:Z69" si="43">IF(T59=0,0,X59/T59)</f>
        <v>0.25188571428571438</v>
      </c>
    </row>
    <row r="60" spans="1:26" s="24" customFormat="1" hidden="1" outlineLevel="2" x14ac:dyDescent="0.3">
      <c r="A60" s="27"/>
      <c r="B60" s="11" t="str">
        <f>CONCATENATE("          ", "6314", " - ", "LIABILITY INSURANCE")</f>
        <v xml:space="preserve">          6314 - LIABILITY INSURANCE</v>
      </c>
      <c r="C60" s="11"/>
      <c r="D60" s="6">
        <v>219.08</v>
      </c>
      <c r="E60" s="2"/>
      <c r="F60" s="7">
        <f t="shared" si="36"/>
        <v>7.4555603274892657E-3</v>
      </c>
      <c r="G60" s="2"/>
      <c r="H60" s="6">
        <v>175</v>
      </c>
      <c r="I60" s="2"/>
      <c r="J60" s="7">
        <f t="shared" si="37"/>
        <v>8.4142706029425914E-3</v>
      </c>
      <c r="K60" s="2"/>
      <c r="L60" s="6">
        <f t="shared" si="38"/>
        <v>44.080000000000013</v>
      </c>
      <c r="M60" s="2"/>
      <c r="N60" s="7">
        <f t="shared" si="39"/>
        <v>0.25188571428571438</v>
      </c>
      <c r="O60" s="11"/>
      <c r="P60" s="6">
        <v>1095.4000000000001</v>
      </c>
      <c r="Q60" s="2"/>
      <c r="R60" s="7">
        <f t="shared" si="40"/>
        <v>7.440894678938369E-3</v>
      </c>
      <c r="S60" s="2"/>
      <c r="T60" s="6">
        <v>875</v>
      </c>
      <c r="U60" s="2"/>
      <c r="V60" s="7">
        <f t="shared" si="41"/>
        <v>7.053891732838889E-3</v>
      </c>
      <c r="W60" s="2"/>
      <c r="X60" s="6">
        <f t="shared" si="42"/>
        <v>220.40000000000009</v>
      </c>
      <c r="Y60" s="2"/>
      <c r="Z60" s="7">
        <f t="shared" si="43"/>
        <v>0.25188571428571438</v>
      </c>
    </row>
    <row r="61" spans="1:26" s="29" customFormat="1" outlineLevel="1" collapsed="1" x14ac:dyDescent="0.3">
      <c r="A61" s="28"/>
      <c r="B61" s="14" t="str">
        <f>CONCATENATE("     ","Inventory Adjustment                              ")</f>
        <v xml:space="preserve">     Inventory Adjustment                              </v>
      </c>
      <c r="C61" s="14"/>
      <c r="D61" s="1">
        <f>SUM(OSRRefD22_8x_0)</f>
        <v>100</v>
      </c>
      <c r="E61" s="1"/>
      <c r="F61" s="5">
        <f t="shared" si="36"/>
        <v>3.4031222966447259E-3</v>
      </c>
      <c r="G61" s="1"/>
      <c r="H61" s="1">
        <f>SUM(OSRRefH22_8x_0)</f>
        <v>100</v>
      </c>
      <c r="I61" s="1"/>
      <c r="J61" s="5">
        <f t="shared" si="37"/>
        <v>4.8081546302529091E-3</v>
      </c>
      <c r="K61" s="1"/>
      <c r="L61" s="1">
        <f t="shared" si="38"/>
        <v>0</v>
      </c>
      <c r="M61" s="1"/>
      <c r="N61" s="5">
        <f t="shared" si="39"/>
        <v>0</v>
      </c>
      <c r="O61" s="14"/>
      <c r="P61" s="1">
        <f>SUM(OSRRefP22_8x_0)</f>
        <v>500</v>
      </c>
      <c r="Q61" s="1"/>
      <c r="R61" s="5">
        <f t="shared" si="40"/>
        <v>3.3964280988398616E-3</v>
      </c>
      <c r="S61" s="1"/>
      <c r="T61" s="1">
        <f>SUM(OSRRefT22_8x_0)</f>
        <v>500</v>
      </c>
      <c r="U61" s="1"/>
      <c r="V61" s="5">
        <f t="shared" si="41"/>
        <v>4.0307952759079365E-3</v>
      </c>
      <c r="W61" s="1"/>
      <c r="X61" s="1">
        <f t="shared" si="42"/>
        <v>0</v>
      </c>
      <c r="Y61" s="1"/>
      <c r="Z61" s="5">
        <f t="shared" si="43"/>
        <v>0</v>
      </c>
    </row>
    <row r="62" spans="1:26" s="24" customFormat="1" hidden="1" outlineLevel="2" x14ac:dyDescent="0.3">
      <c r="A62" s="27"/>
      <c r="B62" s="11" t="str">
        <f>CONCATENATE("          ", "6408", " - ", "INVENTORY ADJUSTMENT")</f>
        <v xml:space="preserve">          6408 - INVENTORY ADJUSTMENT</v>
      </c>
      <c r="C62" s="11"/>
      <c r="D62" s="6">
        <v>100</v>
      </c>
      <c r="E62" s="2"/>
      <c r="F62" s="7">
        <f t="shared" si="36"/>
        <v>3.4031222966447259E-3</v>
      </c>
      <c r="G62" s="2"/>
      <c r="H62" s="6">
        <v>100</v>
      </c>
      <c r="I62" s="2"/>
      <c r="J62" s="7">
        <f t="shared" si="37"/>
        <v>4.8081546302529091E-3</v>
      </c>
      <c r="K62" s="2"/>
      <c r="L62" s="6">
        <f t="shared" si="38"/>
        <v>0</v>
      </c>
      <c r="M62" s="2"/>
      <c r="N62" s="7">
        <f t="shared" si="39"/>
        <v>0</v>
      </c>
      <c r="O62" s="11"/>
      <c r="P62" s="6">
        <v>500</v>
      </c>
      <c r="Q62" s="2"/>
      <c r="R62" s="7">
        <f t="shared" si="40"/>
        <v>3.3964280988398616E-3</v>
      </c>
      <c r="S62" s="2"/>
      <c r="T62" s="6">
        <v>500</v>
      </c>
      <c r="U62" s="2"/>
      <c r="V62" s="7">
        <f t="shared" si="41"/>
        <v>4.0307952759079365E-3</v>
      </c>
      <c r="W62" s="2"/>
      <c r="X62" s="6">
        <f t="shared" si="42"/>
        <v>0</v>
      </c>
      <c r="Y62" s="2"/>
      <c r="Z62" s="7">
        <f t="shared" si="43"/>
        <v>0</v>
      </c>
    </row>
    <row r="63" spans="1:26" s="29" customFormat="1" outlineLevel="1" collapsed="1" x14ac:dyDescent="0.3">
      <c r="A63" s="28"/>
      <c r="B63" s="14" t="str">
        <f>CONCATENATE("     ","Professional Services                             ")</f>
        <v xml:space="preserve">     Professional Services                             </v>
      </c>
      <c r="C63" s="14"/>
      <c r="D63" s="1">
        <f>SUM(OSRRefD22_9x_0)</f>
        <v>0</v>
      </c>
      <c r="E63" s="1"/>
      <c r="F63" s="5">
        <f t="shared" si="36"/>
        <v>0</v>
      </c>
      <c r="G63" s="1"/>
      <c r="H63" s="1">
        <f>SUM(OSRRefH22_9x_0)</f>
        <v>0</v>
      </c>
      <c r="I63" s="1"/>
      <c r="J63" s="5">
        <f t="shared" si="37"/>
        <v>0</v>
      </c>
      <c r="K63" s="1"/>
      <c r="L63" s="1">
        <f t="shared" si="38"/>
        <v>0</v>
      </c>
      <c r="M63" s="1"/>
      <c r="N63" s="5">
        <f t="shared" si="39"/>
        <v>0</v>
      </c>
      <c r="O63" s="14"/>
      <c r="P63" s="1">
        <f>SUM(OSRRefP22_9x_0)</f>
        <v>161.46</v>
      </c>
      <c r="Q63" s="1"/>
      <c r="R63" s="5">
        <f t="shared" si="40"/>
        <v>1.096774561677368E-3</v>
      </c>
      <c r="S63" s="1"/>
      <c r="T63" s="1">
        <f>SUM(OSRRefT22_9x_0)</f>
        <v>750</v>
      </c>
      <c r="U63" s="1"/>
      <c r="V63" s="5">
        <f t="shared" si="41"/>
        <v>6.0461929138619051E-3</v>
      </c>
      <c r="W63" s="1"/>
      <c r="X63" s="1">
        <f t="shared" si="42"/>
        <v>-588.54</v>
      </c>
      <c r="Y63" s="1"/>
      <c r="Z63" s="5">
        <f t="shared" si="43"/>
        <v>-0.78471999999999997</v>
      </c>
    </row>
    <row r="64" spans="1:26" s="24" customFormat="1" hidden="1" outlineLevel="2" x14ac:dyDescent="0.3">
      <c r="A64" s="27"/>
      <c r="B64" s="11" t="str">
        <f>CONCATENATE("          ", "6336", " - ", "PROFESSIONAL SERVICES")</f>
        <v xml:space="preserve">          6336 - PROFESSIONAL SERVICES</v>
      </c>
      <c r="C64" s="11"/>
      <c r="D64" s="6"/>
      <c r="E64" s="2"/>
      <c r="F64" s="7">
        <f t="shared" si="36"/>
        <v>0</v>
      </c>
      <c r="G64" s="2"/>
      <c r="H64" s="6"/>
      <c r="I64" s="2"/>
      <c r="J64" s="7">
        <f t="shared" si="37"/>
        <v>0</v>
      </c>
      <c r="K64" s="2"/>
      <c r="L64" s="6">
        <f t="shared" si="38"/>
        <v>0</v>
      </c>
      <c r="M64" s="2"/>
      <c r="N64" s="7">
        <f t="shared" si="39"/>
        <v>0</v>
      </c>
      <c r="O64" s="11"/>
      <c r="P64" s="6">
        <v>161.46</v>
      </c>
      <c r="Q64" s="2"/>
      <c r="R64" s="7">
        <f t="shared" si="40"/>
        <v>1.096774561677368E-3</v>
      </c>
      <c r="S64" s="2"/>
      <c r="T64" s="6">
        <v>750</v>
      </c>
      <c r="U64" s="2"/>
      <c r="V64" s="7">
        <f t="shared" si="41"/>
        <v>6.0461929138619051E-3</v>
      </c>
      <c r="W64" s="2"/>
      <c r="X64" s="6">
        <f t="shared" si="42"/>
        <v>-588.54</v>
      </c>
      <c r="Y64" s="2"/>
      <c r="Z64" s="7">
        <f t="shared" si="43"/>
        <v>-0.78471999999999997</v>
      </c>
    </row>
    <row r="65" spans="1:26" s="29" customFormat="1" outlineLevel="1" collapsed="1" x14ac:dyDescent="0.3">
      <c r="A65" s="28"/>
      <c r="B65" s="14" t="str">
        <f>CONCATENATE("     ","Rent                                              ")</f>
        <v xml:space="preserve">     Rent                                              </v>
      </c>
      <c r="C65" s="14"/>
      <c r="D65" s="1">
        <f>SUM(OSRRefD22_10x_0)</f>
        <v>6900</v>
      </c>
      <c r="E65" s="1"/>
      <c r="F65" s="5">
        <f t="shared" si="36"/>
        <v>0.23481543846848607</v>
      </c>
      <c r="G65" s="1"/>
      <c r="H65" s="1">
        <f>SUM(OSRRefH22_10x_0)</f>
        <v>6900</v>
      </c>
      <c r="I65" s="1"/>
      <c r="J65" s="5">
        <f t="shared" si="37"/>
        <v>0.3317626694874507</v>
      </c>
      <c r="K65" s="1"/>
      <c r="L65" s="1">
        <f t="shared" si="38"/>
        <v>0</v>
      </c>
      <c r="M65" s="1"/>
      <c r="N65" s="5">
        <f t="shared" si="39"/>
        <v>0</v>
      </c>
      <c r="O65" s="14"/>
      <c r="P65" s="1">
        <f>SUM(OSRRefP22_10x_0)</f>
        <v>34500</v>
      </c>
      <c r="Q65" s="1"/>
      <c r="R65" s="5">
        <f t="shared" si="40"/>
        <v>0.23435353881995044</v>
      </c>
      <c r="S65" s="1"/>
      <c r="T65" s="1">
        <f>SUM(OSRRefT22_10x_0)</f>
        <v>34500</v>
      </c>
      <c r="U65" s="1"/>
      <c r="V65" s="5">
        <f t="shared" si="41"/>
        <v>0.27812487403764763</v>
      </c>
      <c r="W65" s="1"/>
      <c r="X65" s="1">
        <f t="shared" si="42"/>
        <v>0</v>
      </c>
      <c r="Y65" s="1"/>
      <c r="Z65" s="5">
        <f t="shared" si="43"/>
        <v>0</v>
      </c>
    </row>
    <row r="66" spans="1:26" s="24" customFormat="1" hidden="1" outlineLevel="2" x14ac:dyDescent="0.3">
      <c r="A66" s="27"/>
      <c r="B66" s="11" t="str">
        <f>CONCATENATE("          ", "6273", " - ", "RENT")</f>
        <v xml:space="preserve">          6273 - RENT</v>
      </c>
      <c r="C66" s="11"/>
      <c r="D66" s="6">
        <v>6900</v>
      </c>
      <c r="E66" s="2"/>
      <c r="F66" s="7">
        <f t="shared" si="36"/>
        <v>0.23481543846848607</v>
      </c>
      <c r="G66" s="2"/>
      <c r="H66" s="6">
        <v>6900</v>
      </c>
      <c r="I66" s="2"/>
      <c r="J66" s="7">
        <f t="shared" si="37"/>
        <v>0.3317626694874507</v>
      </c>
      <c r="K66" s="2"/>
      <c r="L66" s="6">
        <f t="shared" si="38"/>
        <v>0</v>
      </c>
      <c r="M66" s="2"/>
      <c r="N66" s="7">
        <f t="shared" si="39"/>
        <v>0</v>
      </c>
      <c r="O66" s="11"/>
      <c r="P66" s="6">
        <v>34500</v>
      </c>
      <c r="Q66" s="2"/>
      <c r="R66" s="7">
        <f t="shared" si="40"/>
        <v>0.23435353881995044</v>
      </c>
      <c r="S66" s="2"/>
      <c r="T66" s="6">
        <v>34500</v>
      </c>
      <c r="U66" s="2"/>
      <c r="V66" s="7">
        <f t="shared" si="41"/>
        <v>0.27812487403764763</v>
      </c>
      <c r="W66" s="2"/>
      <c r="X66" s="6">
        <f t="shared" si="42"/>
        <v>0</v>
      </c>
      <c r="Y66" s="2"/>
      <c r="Z66" s="7">
        <f t="shared" si="43"/>
        <v>0</v>
      </c>
    </row>
    <row r="67" spans="1:26" s="29" customFormat="1" outlineLevel="1" collapsed="1" x14ac:dyDescent="0.3">
      <c r="A67" s="28"/>
      <c r="B67" s="14" t="str">
        <f>CONCATENATE("     ","Repair and Maintenance                            ")</f>
        <v xml:space="preserve">     Repair and Maintenance                            </v>
      </c>
      <c r="C67" s="14"/>
      <c r="D67" s="1">
        <f>SUM(OSRRefD22_11x_0)</f>
        <v>0</v>
      </c>
      <c r="E67" s="1"/>
      <c r="F67" s="5">
        <f t="shared" si="36"/>
        <v>0</v>
      </c>
      <c r="G67" s="1"/>
      <c r="H67" s="1">
        <f>SUM(OSRRefH22_11x_0)</f>
        <v>115</v>
      </c>
      <c r="I67" s="1"/>
      <c r="J67" s="5">
        <f t="shared" si="37"/>
        <v>5.5293778247908452E-3</v>
      </c>
      <c r="K67" s="1"/>
      <c r="L67" s="1">
        <f t="shared" si="38"/>
        <v>-115</v>
      </c>
      <c r="M67" s="1"/>
      <c r="N67" s="5">
        <f t="shared" si="39"/>
        <v>-1</v>
      </c>
      <c r="O67" s="14"/>
      <c r="P67" s="1">
        <f>SUM(OSRRefP22_11x_0)</f>
        <v>1003.72</v>
      </c>
      <c r="Q67" s="1"/>
      <c r="R67" s="5">
        <f t="shared" si="40"/>
        <v>6.8181256227350913E-3</v>
      </c>
      <c r="S67" s="1"/>
      <c r="T67" s="1">
        <f>SUM(OSRRefT22_11x_0)</f>
        <v>575</v>
      </c>
      <c r="U67" s="1"/>
      <c r="V67" s="5">
        <f t="shared" si="41"/>
        <v>4.6354145672941275E-3</v>
      </c>
      <c r="W67" s="1"/>
      <c r="X67" s="1">
        <f t="shared" si="42"/>
        <v>428.72</v>
      </c>
      <c r="Y67" s="1"/>
      <c r="Z67" s="5">
        <f t="shared" si="43"/>
        <v>0.74560000000000004</v>
      </c>
    </row>
    <row r="68" spans="1:26" s="24" customFormat="1" hidden="1" outlineLevel="2" x14ac:dyDescent="0.3">
      <c r="A68" s="27"/>
      <c r="B68" s="11" t="str">
        <f>CONCATENATE("          ", "6373", " - ", "MAINTENANCE CONTRACTS")</f>
        <v xml:space="preserve">          6373 - MAINTENANCE CONTRACTS</v>
      </c>
      <c r="C68" s="11"/>
      <c r="D68" s="6"/>
      <c r="E68" s="2"/>
      <c r="F68" s="7">
        <f t="shared" si="36"/>
        <v>0</v>
      </c>
      <c r="G68" s="2"/>
      <c r="H68" s="6">
        <v>115</v>
      </c>
      <c r="I68" s="2"/>
      <c r="J68" s="7">
        <f t="shared" si="37"/>
        <v>5.5293778247908452E-3</v>
      </c>
      <c r="K68" s="2"/>
      <c r="L68" s="6">
        <f t="shared" si="38"/>
        <v>-115</v>
      </c>
      <c r="M68" s="2"/>
      <c r="N68" s="7">
        <f t="shared" si="39"/>
        <v>-1</v>
      </c>
      <c r="O68" s="11"/>
      <c r="P68" s="6">
        <v>230.9</v>
      </c>
      <c r="Q68" s="2"/>
      <c r="R68" s="7">
        <f t="shared" si="40"/>
        <v>1.568470496044248E-3</v>
      </c>
      <c r="S68" s="2"/>
      <c r="T68" s="6">
        <v>575</v>
      </c>
      <c r="U68" s="2"/>
      <c r="V68" s="7">
        <f t="shared" si="41"/>
        <v>4.6354145672941275E-3</v>
      </c>
      <c r="W68" s="2"/>
      <c r="X68" s="6">
        <f t="shared" si="42"/>
        <v>-344.1</v>
      </c>
      <c r="Y68" s="2"/>
      <c r="Z68" s="7">
        <f t="shared" si="43"/>
        <v>-0.59843478260869565</v>
      </c>
    </row>
    <row r="69" spans="1:26" s="24" customFormat="1" hidden="1" outlineLevel="2" x14ac:dyDescent="0.3">
      <c r="A69" s="27"/>
      <c r="B69" s="11" t="str">
        <f>CONCATENATE("          ", "6375", " - ", "OUTSIDE REPAIRS &amp; MAINTENANCE")</f>
        <v xml:space="preserve">          6375 - OUTSIDE REPAIRS &amp; MAINTENANCE</v>
      </c>
      <c r="C69" s="11"/>
      <c r="D69" s="6"/>
      <c r="E69" s="2"/>
      <c r="F69" s="7">
        <f t="shared" si="36"/>
        <v>0</v>
      </c>
      <c r="G69" s="2"/>
      <c r="H69" s="6"/>
      <c r="I69" s="2"/>
      <c r="J69" s="7">
        <f t="shared" si="37"/>
        <v>0</v>
      </c>
      <c r="K69" s="2"/>
      <c r="L69" s="6">
        <f t="shared" si="38"/>
        <v>0</v>
      </c>
      <c r="M69" s="2"/>
      <c r="N69" s="7">
        <f t="shared" si="39"/>
        <v>0</v>
      </c>
      <c r="O69" s="11"/>
      <c r="P69" s="6">
        <v>772.82</v>
      </c>
      <c r="Q69" s="2"/>
      <c r="R69" s="7">
        <f t="shared" si="40"/>
        <v>5.2496551266908434E-3</v>
      </c>
      <c r="S69" s="2"/>
      <c r="T69" s="6">
        <v>0</v>
      </c>
      <c r="U69" s="2"/>
      <c r="V69" s="7">
        <f t="shared" si="41"/>
        <v>0</v>
      </c>
      <c r="W69" s="2"/>
      <c r="X69" s="6">
        <f t="shared" si="42"/>
        <v>772.82</v>
      </c>
      <c r="Y69" s="2"/>
      <c r="Z69" s="7">
        <f t="shared" si="43"/>
        <v>0</v>
      </c>
    </row>
    <row r="70" spans="1:26" s="29" customFormat="1" outlineLevel="1" collapsed="1" x14ac:dyDescent="0.3">
      <c r="A70" s="28"/>
      <c r="B70" s="14" t="str">
        <f>CONCATENATE("     ","Services                                          ")</f>
        <v xml:space="preserve">     Services                                          </v>
      </c>
      <c r="C70" s="14"/>
      <c r="D70" s="1">
        <f>SUM(OSRRefD22_12x_0)</f>
        <v>162.72</v>
      </c>
      <c r="E70" s="1"/>
      <c r="F70" s="5">
        <f t="shared" ref="F70:F72" si="44">IF(D$12=0,0,D70/D$12)</f>
        <v>5.5375606011002975E-3</v>
      </c>
      <c r="G70" s="1"/>
      <c r="H70" s="1">
        <f>SUM(OSRRefH22_12x_0)</f>
        <v>60</v>
      </c>
      <c r="I70" s="1"/>
      <c r="J70" s="5">
        <f t="shared" ref="J70:J72" si="45">IF(H$12=0,0,H70/H$12)</f>
        <v>2.8848927781517453E-3</v>
      </c>
      <c r="K70" s="1"/>
      <c r="L70" s="1">
        <f t="shared" ref="L70:L72" si="46">+D70-H70</f>
        <v>102.72</v>
      </c>
      <c r="M70" s="1"/>
      <c r="N70" s="5">
        <f t="shared" ref="N70:N72" si="47">IF(H70=0,0,L70/H70)</f>
        <v>1.712</v>
      </c>
      <c r="O70" s="14"/>
      <c r="P70" s="1">
        <f>SUM(OSRRefP22_12x_0)</f>
        <v>806.47</v>
      </c>
      <c r="Q70" s="1"/>
      <c r="R70" s="5">
        <f t="shared" ref="R70:R72" si="48">IF(P$12=0,0,P70/P$12)</f>
        <v>5.4782347377427664E-3</v>
      </c>
      <c r="S70" s="1"/>
      <c r="T70" s="1">
        <f>SUM(OSRRefT22_12x_0)</f>
        <v>360</v>
      </c>
      <c r="U70" s="1"/>
      <c r="V70" s="5">
        <f t="shared" ref="V70:V72" si="49">IF(T$12=0,0,T70/T$12)</f>
        <v>2.9021725986537144E-3</v>
      </c>
      <c r="W70" s="1"/>
      <c r="X70" s="1">
        <f t="shared" ref="X70:X72" si="50">+P70-T70</f>
        <v>446.47</v>
      </c>
      <c r="Y70" s="1"/>
      <c r="Z70" s="5">
        <f t="shared" ref="Z70:Z72" si="51">IF(T70=0,0,X70/T70)</f>
        <v>1.2401944444444446</v>
      </c>
    </row>
    <row r="71" spans="1:26" s="24" customFormat="1" hidden="1" outlineLevel="2" x14ac:dyDescent="0.3">
      <c r="A71" s="27"/>
      <c r="B71" s="11" t="str">
        <f>CONCATENATE("          ", "6284", " - ", "TRASH REMOVAL EXPENSE")</f>
        <v xml:space="preserve">          6284 - TRASH REMOVAL EXPENSE</v>
      </c>
      <c r="C71" s="11"/>
      <c r="D71" s="6">
        <v>149.69999999999999</v>
      </c>
      <c r="E71" s="2"/>
      <c r="F71" s="7">
        <f t="shared" si="44"/>
        <v>5.094474078077154E-3</v>
      </c>
      <c r="G71" s="2"/>
      <c r="H71" s="6">
        <v>60</v>
      </c>
      <c r="I71" s="2"/>
      <c r="J71" s="7">
        <f t="shared" si="45"/>
        <v>2.8848927781517453E-3</v>
      </c>
      <c r="K71" s="2"/>
      <c r="L71" s="6">
        <f t="shared" si="46"/>
        <v>89.699999999999989</v>
      </c>
      <c r="M71" s="2"/>
      <c r="N71" s="7">
        <f t="shared" si="47"/>
        <v>1.4949999999999999</v>
      </c>
      <c r="O71" s="11"/>
      <c r="P71" s="6">
        <v>741.37</v>
      </c>
      <c r="Q71" s="2"/>
      <c r="R71" s="7">
        <f t="shared" si="48"/>
        <v>5.0360197992738165E-3</v>
      </c>
      <c r="S71" s="2"/>
      <c r="T71" s="6">
        <v>360</v>
      </c>
      <c r="U71" s="2"/>
      <c r="V71" s="7">
        <f t="shared" si="49"/>
        <v>2.9021725986537144E-3</v>
      </c>
      <c r="W71" s="2"/>
      <c r="X71" s="6">
        <f t="shared" si="50"/>
        <v>381.37</v>
      </c>
      <c r="Y71" s="2"/>
      <c r="Z71" s="7">
        <f t="shared" si="51"/>
        <v>1.0593611111111112</v>
      </c>
    </row>
    <row r="72" spans="1:26" s="24" customFormat="1" hidden="1" outlineLevel="2" x14ac:dyDescent="0.3">
      <c r="A72" s="27"/>
      <c r="B72" s="11" t="str">
        <f>CONCATENATE("          ", "6285", " - ", "JANITORIAL SERVICES")</f>
        <v xml:space="preserve">          6285 - JANITORIAL SERVICES</v>
      </c>
      <c r="C72" s="11"/>
      <c r="D72" s="6">
        <v>13.02</v>
      </c>
      <c r="E72" s="2"/>
      <c r="F72" s="7">
        <f t="shared" si="44"/>
        <v>4.4308652302314327E-4</v>
      </c>
      <c r="G72" s="2"/>
      <c r="H72" s="6"/>
      <c r="I72" s="2"/>
      <c r="J72" s="7">
        <f t="shared" si="45"/>
        <v>0</v>
      </c>
      <c r="K72" s="2"/>
      <c r="L72" s="6">
        <f t="shared" si="46"/>
        <v>13.02</v>
      </c>
      <c r="M72" s="2"/>
      <c r="N72" s="7">
        <f t="shared" si="47"/>
        <v>0</v>
      </c>
      <c r="O72" s="11"/>
      <c r="P72" s="6">
        <v>65.099999999999994</v>
      </c>
      <c r="Q72" s="2"/>
      <c r="R72" s="7">
        <f t="shared" si="48"/>
        <v>4.4221493846894992E-4</v>
      </c>
      <c r="S72" s="2"/>
      <c r="T72" s="6"/>
      <c r="U72" s="2"/>
      <c r="V72" s="7">
        <f t="shared" si="49"/>
        <v>0</v>
      </c>
      <c r="W72" s="2"/>
      <c r="X72" s="6">
        <f t="shared" si="50"/>
        <v>65.099999999999994</v>
      </c>
      <c r="Y72" s="2"/>
      <c r="Z72" s="7">
        <f t="shared" si="51"/>
        <v>0</v>
      </c>
    </row>
    <row r="73" spans="1:26" s="29" customFormat="1" outlineLevel="1" collapsed="1" x14ac:dyDescent="0.3">
      <c r="A73" s="28"/>
      <c r="B73" s="14" t="str">
        <f>CONCATENATE("     ","Subscriptions &amp; Dues                              ")</f>
        <v xml:space="preserve">     Subscriptions &amp; Dues                              </v>
      </c>
      <c r="C73" s="14"/>
      <c r="D73" s="1">
        <f>SUM(OSRRefD22_13x_0)</f>
        <v>0</v>
      </c>
      <c r="E73" s="1"/>
      <c r="F73" s="5">
        <f t="shared" ref="F73:F75" si="52">IF(D$12=0,0,D73/D$12)</f>
        <v>0</v>
      </c>
      <c r="G73" s="1"/>
      <c r="H73" s="1">
        <f>SUM(OSRRefH22_13x_0)</f>
        <v>81</v>
      </c>
      <c r="I73" s="1"/>
      <c r="J73" s="5">
        <f t="shared" ref="J73:J75" si="53">IF(H$12=0,0,H73/H$12)</f>
        <v>3.8946052505048562E-3</v>
      </c>
      <c r="K73" s="1"/>
      <c r="L73" s="1">
        <f t="shared" ref="L73:L75" si="54">+D73-H73</f>
        <v>-81</v>
      </c>
      <c r="M73" s="1"/>
      <c r="N73" s="5">
        <f t="shared" ref="N73:N75" si="55">IF(H73=0,0,L73/H73)</f>
        <v>-1</v>
      </c>
      <c r="O73" s="14"/>
      <c r="P73" s="1">
        <f>SUM(OSRRefP22_13x_0)</f>
        <v>0</v>
      </c>
      <c r="Q73" s="1"/>
      <c r="R73" s="5">
        <f t="shared" ref="R73:R75" si="56">IF(P$12=0,0,P73/P$12)</f>
        <v>0</v>
      </c>
      <c r="S73" s="1"/>
      <c r="T73" s="1">
        <f>SUM(OSRRefT22_13x_0)</f>
        <v>760</v>
      </c>
      <c r="U73" s="1"/>
      <c r="V73" s="5">
        <f t="shared" ref="V73:V75" si="57">IF(T$12=0,0,T73/T$12)</f>
        <v>6.1268088193800639E-3</v>
      </c>
      <c r="W73" s="1"/>
      <c r="X73" s="1">
        <f t="shared" ref="X73:X75" si="58">+P73-T73</f>
        <v>-760</v>
      </c>
      <c r="Y73" s="1"/>
      <c r="Z73" s="5">
        <f t="shared" ref="Z73:Z75" si="59">IF(T73=0,0,X73/T73)</f>
        <v>-1</v>
      </c>
    </row>
    <row r="74" spans="1:26" s="24" customFormat="1" hidden="1" outlineLevel="2" x14ac:dyDescent="0.3">
      <c r="A74" s="27"/>
      <c r="B74" s="11" t="str">
        <f>CONCATENATE("          ", "6258", " - ", "MEMBERSHIP DUES")</f>
        <v xml:space="preserve">          6258 - MEMBERSHIP DUES</v>
      </c>
      <c r="C74" s="11"/>
      <c r="D74" s="6"/>
      <c r="E74" s="2"/>
      <c r="F74" s="7">
        <f t="shared" si="52"/>
        <v>0</v>
      </c>
      <c r="G74" s="2"/>
      <c r="H74" s="6"/>
      <c r="I74" s="2"/>
      <c r="J74" s="7">
        <f t="shared" si="53"/>
        <v>0</v>
      </c>
      <c r="K74" s="2"/>
      <c r="L74" s="6">
        <f t="shared" si="54"/>
        <v>0</v>
      </c>
      <c r="M74" s="2"/>
      <c r="N74" s="7">
        <f t="shared" si="55"/>
        <v>0</v>
      </c>
      <c r="O74" s="11"/>
      <c r="P74" s="6"/>
      <c r="Q74" s="2"/>
      <c r="R74" s="7">
        <f t="shared" si="56"/>
        <v>0</v>
      </c>
      <c r="S74" s="2"/>
      <c r="T74" s="6">
        <v>395</v>
      </c>
      <c r="U74" s="2"/>
      <c r="V74" s="7">
        <f t="shared" si="57"/>
        <v>3.1843282679672701E-3</v>
      </c>
      <c r="W74" s="2"/>
      <c r="X74" s="6">
        <f t="shared" si="58"/>
        <v>-395</v>
      </c>
      <c r="Y74" s="2"/>
      <c r="Z74" s="7">
        <f t="shared" si="59"/>
        <v>-1</v>
      </c>
    </row>
    <row r="75" spans="1:26" s="24" customFormat="1" hidden="1" outlineLevel="2" x14ac:dyDescent="0.3">
      <c r="A75" s="27"/>
      <c r="B75" s="11" t="str">
        <f>CONCATENATE("          ", "6275", " - ", "SUBSCRIPTIONS")</f>
        <v xml:space="preserve">          6275 - SUBSCRIPTIONS</v>
      </c>
      <c r="C75" s="11"/>
      <c r="D75" s="6"/>
      <c r="E75" s="2"/>
      <c r="F75" s="7">
        <f t="shared" si="52"/>
        <v>0</v>
      </c>
      <c r="G75" s="2"/>
      <c r="H75" s="6">
        <v>81</v>
      </c>
      <c r="I75" s="2"/>
      <c r="J75" s="7">
        <f t="shared" si="53"/>
        <v>3.8946052505048562E-3</v>
      </c>
      <c r="K75" s="2"/>
      <c r="L75" s="6">
        <f t="shared" si="54"/>
        <v>-81</v>
      </c>
      <c r="M75" s="2"/>
      <c r="N75" s="7">
        <f t="shared" si="55"/>
        <v>-1</v>
      </c>
      <c r="O75" s="11"/>
      <c r="P75" s="6"/>
      <c r="Q75" s="2"/>
      <c r="R75" s="7">
        <f t="shared" si="56"/>
        <v>0</v>
      </c>
      <c r="S75" s="2"/>
      <c r="T75" s="6">
        <v>365</v>
      </c>
      <c r="U75" s="2"/>
      <c r="V75" s="7">
        <f t="shared" si="57"/>
        <v>2.9424805514127938E-3</v>
      </c>
      <c r="W75" s="2"/>
      <c r="X75" s="6">
        <f t="shared" si="58"/>
        <v>-365</v>
      </c>
      <c r="Y75" s="2"/>
      <c r="Z75" s="7">
        <f t="shared" si="59"/>
        <v>-1</v>
      </c>
    </row>
    <row r="76" spans="1:26" s="29" customFormat="1" outlineLevel="1" collapsed="1" x14ac:dyDescent="0.3">
      <c r="A76" s="28"/>
      <c r="B76" s="14" t="str">
        <f>CONCATENATE("     ","Supplies                                          ")</f>
        <v xml:space="preserve">     Supplies                                          </v>
      </c>
      <c r="C76" s="14"/>
      <c r="D76" s="1">
        <f>SUM(OSRRefD22_14x_0)</f>
        <v>-2.2999999999999998</v>
      </c>
      <c r="E76" s="1"/>
      <c r="F76" s="5">
        <f t="shared" ref="F76:F79" si="60">IF(D$12=0,0,D76/D$12)</f>
        <v>-7.827181282282868E-5</v>
      </c>
      <c r="G76" s="1"/>
      <c r="H76" s="1">
        <f>SUM(OSRRefH22_14x_0)</f>
        <v>30</v>
      </c>
      <c r="I76" s="1"/>
      <c r="J76" s="5">
        <f t="shared" ref="J76:J79" si="61">IF(H$12=0,0,H76/H$12)</f>
        <v>1.4424463890758727E-3</v>
      </c>
      <c r="K76" s="1"/>
      <c r="L76" s="1">
        <f t="shared" ref="L76:L79" si="62">+D76-H76</f>
        <v>-32.299999999999997</v>
      </c>
      <c r="M76" s="1"/>
      <c r="N76" s="5">
        <f t="shared" ref="N76:N79" si="63">IF(H76=0,0,L76/H76)</f>
        <v>-1.0766666666666667</v>
      </c>
      <c r="O76" s="14"/>
      <c r="P76" s="1">
        <f>SUM(OSRRefP22_14x_0)</f>
        <v>586.42999999999995</v>
      </c>
      <c r="Q76" s="1"/>
      <c r="R76" s="5">
        <f t="shared" ref="R76:R79" si="64">IF(P$12=0,0,P76/P$12)</f>
        <v>3.9835346600053199E-3</v>
      </c>
      <c r="S76" s="1"/>
      <c r="T76" s="1">
        <f>SUM(OSRRefT22_14x_0)</f>
        <v>190</v>
      </c>
      <c r="U76" s="1"/>
      <c r="V76" s="5">
        <f t="shared" ref="V76:V79" si="65">IF(T$12=0,0,T76/T$12)</f>
        <v>1.531702204845016E-3</v>
      </c>
      <c r="W76" s="1"/>
      <c r="X76" s="1">
        <f t="shared" ref="X76:X79" si="66">+P76-T76</f>
        <v>396.42999999999995</v>
      </c>
      <c r="Y76" s="1"/>
      <c r="Z76" s="5">
        <f t="shared" ref="Z76:Z79" si="67">IF(T76=0,0,X76/T76)</f>
        <v>2.0864736842105263</v>
      </c>
    </row>
    <row r="77" spans="1:26" s="24" customFormat="1" hidden="1" outlineLevel="2" x14ac:dyDescent="0.3">
      <c r="A77" s="27"/>
      <c r="B77" s="11" t="str">
        <f>CONCATENATE("          ", "6237", " - ", "JANITORIAL SUPPLIES")</f>
        <v xml:space="preserve">          6237 - JANITORIAL SUPPLIES</v>
      </c>
      <c r="C77" s="11"/>
      <c r="D77" s="6"/>
      <c r="E77" s="2"/>
      <c r="F77" s="7">
        <f t="shared" si="60"/>
        <v>0</v>
      </c>
      <c r="G77" s="2"/>
      <c r="H77" s="6">
        <v>10</v>
      </c>
      <c r="I77" s="2"/>
      <c r="J77" s="7">
        <f t="shared" si="61"/>
        <v>4.808154630252909E-4</v>
      </c>
      <c r="K77" s="2"/>
      <c r="L77" s="6">
        <f t="shared" si="62"/>
        <v>-10</v>
      </c>
      <c r="M77" s="2"/>
      <c r="N77" s="7">
        <f t="shared" si="63"/>
        <v>-1</v>
      </c>
      <c r="O77" s="11"/>
      <c r="P77" s="6">
        <v>77.17</v>
      </c>
      <c r="Q77" s="2"/>
      <c r="R77" s="7">
        <f t="shared" si="64"/>
        <v>5.2420471277494422E-4</v>
      </c>
      <c r="S77" s="2"/>
      <c r="T77" s="6">
        <v>90</v>
      </c>
      <c r="U77" s="2"/>
      <c r="V77" s="7">
        <f t="shared" si="65"/>
        <v>7.2554314966342861E-4</v>
      </c>
      <c r="W77" s="2"/>
      <c r="X77" s="6">
        <f t="shared" si="66"/>
        <v>-12.829999999999998</v>
      </c>
      <c r="Y77" s="2"/>
      <c r="Z77" s="7">
        <f t="shared" si="67"/>
        <v>-0.14255555555555555</v>
      </c>
    </row>
    <row r="78" spans="1:26" s="24" customFormat="1" hidden="1" outlineLevel="2" x14ac:dyDescent="0.3">
      <c r="A78" s="27"/>
      <c r="B78" s="11" t="str">
        <f>CONCATENATE("          ", "6241", " - ", "OFFICE EXPENSE")</f>
        <v xml:space="preserve">          6241 - OFFICE EXPENSE</v>
      </c>
      <c r="C78" s="11"/>
      <c r="D78" s="6"/>
      <c r="E78" s="2"/>
      <c r="F78" s="7">
        <f t="shared" si="60"/>
        <v>0</v>
      </c>
      <c r="G78" s="2"/>
      <c r="H78" s="6">
        <v>20</v>
      </c>
      <c r="I78" s="2"/>
      <c r="J78" s="7">
        <f t="shared" si="61"/>
        <v>9.6163092605058181E-4</v>
      </c>
      <c r="K78" s="2"/>
      <c r="L78" s="6">
        <f t="shared" si="62"/>
        <v>-20</v>
      </c>
      <c r="M78" s="2"/>
      <c r="N78" s="7">
        <f t="shared" si="63"/>
        <v>-1</v>
      </c>
      <c r="O78" s="11"/>
      <c r="P78" s="6">
        <v>96.24</v>
      </c>
      <c r="Q78" s="2"/>
      <c r="R78" s="7">
        <f t="shared" si="64"/>
        <v>6.5374448046469651E-4</v>
      </c>
      <c r="S78" s="2"/>
      <c r="T78" s="6">
        <v>100</v>
      </c>
      <c r="U78" s="2"/>
      <c r="V78" s="7">
        <f t="shared" si="65"/>
        <v>8.0615905518158736E-4</v>
      </c>
      <c r="W78" s="2"/>
      <c r="X78" s="6">
        <f t="shared" si="66"/>
        <v>-3.7600000000000051</v>
      </c>
      <c r="Y78" s="2"/>
      <c r="Z78" s="7">
        <f t="shared" si="67"/>
        <v>-3.760000000000005E-2</v>
      </c>
    </row>
    <row r="79" spans="1:26" s="24" customFormat="1" hidden="1" outlineLevel="2" x14ac:dyDescent="0.3">
      <c r="A79" s="27"/>
      <c r="B79" s="11" t="str">
        <f>CONCATENATE("          ", "6247", " - ", "STORE SUPPLIES")</f>
        <v xml:space="preserve">          6247 - STORE SUPPLIES</v>
      </c>
      <c r="C79" s="11"/>
      <c r="D79" s="6">
        <v>-2.2999999999999998</v>
      </c>
      <c r="E79" s="2"/>
      <c r="F79" s="7">
        <f t="shared" si="60"/>
        <v>-7.827181282282868E-5</v>
      </c>
      <c r="G79" s="2"/>
      <c r="H79" s="6"/>
      <c r="I79" s="2"/>
      <c r="J79" s="7">
        <f t="shared" si="61"/>
        <v>0</v>
      </c>
      <c r="K79" s="2"/>
      <c r="L79" s="6">
        <f t="shared" si="62"/>
        <v>-2.2999999999999998</v>
      </c>
      <c r="M79" s="2"/>
      <c r="N79" s="7">
        <f t="shared" si="63"/>
        <v>0</v>
      </c>
      <c r="O79" s="11"/>
      <c r="P79" s="6">
        <v>413.02</v>
      </c>
      <c r="Q79" s="2"/>
      <c r="R79" s="7">
        <f t="shared" si="64"/>
        <v>2.8055854667656788E-3</v>
      </c>
      <c r="S79" s="2"/>
      <c r="T79" s="6"/>
      <c r="U79" s="2"/>
      <c r="V79" s="7">
        <f t="shared" si="65"/>
        <v>0</v>
      </c>
      <c r="W79" s="2"/>
      <c r="X79" s="6">
        <f t="shared" si="66"/>
        <v>413.02</v>
      </c>
      <c r="Y79" s="2"/>
      <c r="Z79" s="7">
        <f t="shared" si="67"/>
        <v>0</v>
      </c>
    </row>
    <row r="80" spans="1:26" s="29" customFormat="1" outlineLevel="1" collapsed="1" x14ac:dyDescent="0.3">
      <c r="A80" s="28"/>
      <c r="B80" s="14" t="str">
        <f>CONCATENATE("     ","Telephone/Data Lines                              ")</f>
        <v xml:space="preserve">     Telephone/Data Lines                              </v>
      </c>
      <c r="C80" s="14"/>
      <c r="D80" s="1">
        <f>SUM(OSRRefD22_15x_0)</f>
        <v>297.83999999999997</v>
      </c>
      <c r="E80" s="1"/>
      <c r="F80" s="5">
        <f t="shared" ref="F80:F84" si="68">IF(D$12=0,0,D80/D$12)</f>
        <v>1.0135859448326651E-2</v>
      </c>
      <c r="G80" s="1"/>
      <c r="H80" s="1">
        <f>SUM(OSRRefH22_15x_0)</f>
        <v>250</v>
      </c>
      <c r="I80" s="1"/>
      <c r="J80" s="5">
        <f t="shared" ref="J80:J84" si="69">IF(H$12=0,0,H80/H$12)</f>
        <v>1.2020386575632272E-2</v>
      </c>
      <c r="K80" s="1"/>
      <c r="L80" s="1">
        <f t="shared" ref="L80:L84" si="70">+D80-H80</f>
        <v>47.839999999999975</v>
      </c>
      <c r="M80" s="1"/>
      <c r="N80" s="5">
        <f t="shared" ref="N80:N84" si="71">IF(H80=0,0,L80/H80)</f>
        <v>0.19135999999999989</v>
      </c>
      <c r="O80" s="14"/>
      <c r="P80" s="1">
        <f>SUM(OSRRefP22_15x_0)</f>
        <v>1584.2</v>
      </c>
      <c r="Q80" s="1"/>
      <c r="R80" s="5">
        <f t="shared" ref="R80:R84" si="72">IF(P$12=0,0,P80/P$12)</f>
        <v>1.0761242788364217E-2</v>
      </c>
      <c r="S80" s="1"/>
      <c r="T80" s="1">
        <f>SUM(OSRRefT22_15x_0)</f>
        <v>1250</v>
      </c>
      <c r="U80" s="1"/>
      <c r="V80" s="5">
        <f t="shared" ref="V80:V84" si="73">IF(T$12=0,0,T80/T$12)</f>
        <v>1.0076988189769841E-2</v>
      </c>
      <c r="W80" s="1"/>
      <c r="X80" s="1">
        <f t="shared" ref="X80:X84" si="74">+P80-T80</f>
        <v>334.20000000000005</v>
      </c>
      <c r="Y80" s="1"/>
      <c r="Z80" s="5">
        <f t="shared" ref="Z80:Z84" si="75">IF(T80=0,0,X80/T80)</f>
        <v>0.26736000000000004</v>
      </c>
    </row>
    <row r="81" spans="1:26" s="24" customFormat="1" hidden="1" outlineLevel="2" x14ac:dyDescent="0.3">
      <c r="A81" s="27"/>
      <c r="B81" s="11" t="str">
        <f>CONCATENATE("          ", "6309", " - ", "TELEPHONE")</f>
        <v xml:space="preserve">          6309 - TELEPHONE</v>
      </c>
      <c r="C81" s="11"/>
      <c r="D81" s="6">
        <v>297.83999999999997</v>
      </c>
      <c r="E81" s="2"/>
      <c r="F81" s="7">
        <f t="shared" si="68"/>
        <v>1.0135859448326651E-2</v>
      </c>
      <c r="G81" s="2"/>
      <c r="H81" s="6">
        <v>250</v>
      </c>
      <c r="I81" s="2"/>
      <c r="J81" s="7">
        <f t="shared" si="69"/>
        <v>1.2020386575632272E-2</v>
      </c>
      <c r="K81" s="2"/>
      <c r="L81" s="6">
        <f t="shared" si="70"/>
        <v>47.839999999999975</v>
      </c>
      <c r="M81" s="2"/>
      <c r="N81" s="7">
        <f t="shared" si="71"/>
        <v>0.19135999999999989</v>
      </c>
      <c r="O81" s="11"/>
      <c r="P81" s="6">
        <v>1584.2</v>
      </c>
      <c r="Q81" s="2"/>
      <c r="R81" s="7">
        <f t="shared" si="72"/>
        <v>1.0761242788364217E-2</v>
      </c>
      <c r="S81" s="2"/>
      <c r="T81" s="6">
        <v>1250</v>
      </c>
      <c r="U81" s="2"/>
      <c r="V81" s="7">
        <f t="shared" si="73"/>
        <v>1.0076988189769841E-2</v>
      </c>
      <c r="W81" s="2"/>
      <c r="X81" s="6">
        <f t="shared" si="74"/>
        <v>334.20000000000005</v>
      </c>
      <c r="Y81" s="2"/>
      <c r="Z81" s="7">
        <f t="shared" si="75"/>
        <v>0.26736000000000004</v>
      </c>
    </row>
    <row r="82" spans="1:26" s="29" customFormat="1" outlineLevel="1" collapsed="1" x14ac:dyDescent="0.3">
      <c r="A82" s="28"/>
      <c r="B82" s="14" t="str">
        <f>CONCATENATE("     ","Travel                                            ")</f>
        <v xml:space="preserve">     Travel                                            </v>
      </c>
      <c r="C82" s="14"/>
      <c r="D82" s="1">
        <f>SUM(OSRRefD22_16x_0)</f>
        <v>0</v>
      </c>
      <c r="E82" s="1"/>
      <c r="F82" s="5">
        <f t="shared" si="68"/>
        <v>0</v>
      </c>
      <c r="G82" s="1"/>
      <c r="H82" s="1">
        <f>SUM(OSRRefH22_16x_0)</f>
        <v>100</v>
      </c>
      <c r="I82" s="1"/>
      <c r="J82" s="5">
        <f t="shared" si="69"/>
        <v>4.8081546302529091E-3</v>
      </c>
      <c r="K82" s="1"/>
      <c r="L82" s="1">
        <f t="shared" si="70"/>
        <v>-100</v>
      </c>
      <c r="M82" s="1"/>
      <c r="N82" s="5">
        <f t="shared" si="71"/>
        <v>-1</v>
      </c>
      <c r="O82" s="14"/>
      <c r="P82" s="1">
        <f>SUM(OSRRefP22_16x_0)</f>
        <v>175.21</v>
      </c>
      <c r="Q82" s="1"/>
      <c r="R82" s="5">
        <f t="shared" si="72"/>
        <v>1.1901763343954643E-3</v>
      </c>
      <c r="S82" s="1"/>
      <c r="T82" s="1">
        <f>SUM(OSRRefT22_16x_0)</f>
        <v>200</v>
      </c>
      <c r="U82" s="1"/>
      <c r="V82" s="5">
        <f t="shared" si="73"/>
        <v>1.6123181103631747E-3</v>
      </c>
      <c r="W82" s="1"/>
      <c r="X82" s="1">
        <f t="shared" si="74"/>
        <v>-24.789999999999992</v>
      </c>
      <c r="Y82" s="1"/>
      <c r="Z82" s="5">
        <f t="shared" si="75"/>
        <v>-0.12394999999999996</v>
      </c>
    </row>
    <row r="83" spans="1:26" s="24" customFormat="1" hidden="1" outlineLevel="2" x14ac:dyDescent="0.3">
      <c r="A83" s="27"/>
      <c r="B83" s="11" t="str">
        <f>CONCATENATE("          ", "6294", " - ", "TRAVEL OPERATIONAL")</f>
        <v xml:space="preserve">          6294 - TRAVEL OPERATIONAL</v>
      </c>
      <c r="C83" s="11"/>
      <c r="D83" s="6"/>
      <c r="E83" s="2"/>
      <c r="F83" s="7">
        <f t="shared" si="68"/>
        <v>0</v>
      </c>
      <c r="G83" s="2"/>
      <c r="H83" s="6"/>
      <c r="I83" s="2"/>
      <c r="J83" s="7">
        <f t="shared" si="69"/>
        <v>0</v>
      </c>
      <c r="K83" s="2"/>
      <c r="L83" s="6">
        <f t="shared" si="70"/>
        <v>0</v>
      </c>
      <c r="M83" s="2"/>
      <c r="N83" s="7">
        <f t="shared" si="71"/>
        <v>0</v>
      </c>
      <c r="O83" s="11"/>
      <c r="P83" s="6">
        <v>175.21</v>
      </c>
      <c r="Q83" s="2"/>
      <c r="R83" s="7">
        <f t="shared" si="72"/>
        <v>1.1901763343954643E-3</v>
      </c>
      <c r="S83" s="2"/>
      <c r="T83" s="6"/>
      <c r="U83" s="2"/>
      <c r="V83" s="7">
        <f t="shared" si="73"/>
        <v>0</v>
      </c>
      <c r="W83" s="2"/>
      <c r="X83" s="6">
        <f t="shared" si="74"/>
        <v>175.21</v>
      </c>
      <c r="Y83" s="2"/>
      <c r="Z83" s="7">
        <f t="shared" si="75"/>
        <v>0</v>
      </c>
    </row>
    <row r="84" spans="1:26" s="24" customFormat="1" hidden="1" outlineLevel="2" x14ac:dyDescent="0.3">
      <c r="A84" s="27"/>
      <c r="B84" s="11" t="str">
        <f>CONCATENATE("          ", "6298", " - ", "VEHICLE MILEAGE")</f>
        <v xml:space="preserve">          6298 - VEHICLE MILEAGE</v>
      </c>
      <c r="C84" s="11"/>
      <c r="D84" s="6"/>
      <c r="E84" s="2"/>
      <c r="F84" s="7">
        <f t="shared" si="68"/>
        <v>0</v>
      </c>
      <c r="G84" s="2"/>
      <c r="H84" s="6">
        <v>100</v>
      </c>
      <c r="I84" s="2"/>
      <c r="J84" s="7">
        <f t="shared" si="69"/>
        <v>4.8081546302529091E-3</v>
      </c>
      <c r="K84" s="2"/>
      <c r="L84" s="6">
        <f t="shared" si="70"/>
        <v>-100</v>
      </c>
      <c r="M84" s="2"/>
      <c r="N84" s="7">
        <f t="shared" si="71"/>
        <v>-1</v>
      </c>
      <c r="O84" s="11"/>
      <c r="P84" s="6"/>
      <c r="Q84" s="2"/>
      <c r="R84" s="7">
        <f t="shared" si="72"/>
        <v>0</v>
      </c>
      <c r="S84" s="2"/>
      <c r="T84" s="6">
        <v>200</v>
      </c>
      <c r="U84" s="2"/>
      <c r="V84" s="7">
        <f t="shared" si="73"/>
        <v>1.6123181103631747E-3</v>
      </c>
      <c r="W84" s="2"/>
      <c r="X84" s="6">
        <f t="shared" si="74"/>
        <v>-200</v>
      </c>
      <c r="Y84" s="2"/>
      <c r="Z84" s="7">
        <f t="shared" si="75"/>
        <v>-1</v>
      </c>
    </row>
    <row r="85" spans="1:26" s="29" customFormat="1" outlineLevel="1" collapsed="1" x14ac:dyDescent="0.3">
      <c r="A85" s="28"/>
      <c r="B85" s="14" t="str">
        <f>CONCATENATE("     ","Utilities                                         ")</f>
        <v xml:space="preserve">     Utilities                                         </v>
      </c>
      <c r="C85" s="14"/>
      <c r="D85" s="1">
        <f>SUM(OSRRefD22_17x_0)</f>
        <v>33.61</v>
      </c>
      <c r="E85" s="1"/>
      <c r="F85" s="5">
        <f t="shared" ref="F85:F86" si="76">IF(D$12=0,0,D85/D$12)</f>
        <v>1.1437894039022923E-3</v>
      </c>
      <c r="G85" s="1"/>
      <c r="H85" s="1">
        <f>SUM(OSRRefH22_17x_0)</f>
        <v>120</v>
      </c>
      <c r="I85" s="1"/>
      <c r="J85" s="5">
        <f t="shared" ref="J85:J86" si="77">IF(H$12=0,0,H85/H$12)</f>
        <v>5.7697855563034906E-3</v>
      </c>
      <c r="K85" s="1"/>
      <c r="L85" s="1">
        <f t="shared" ref="L85:L86" si="78">+D85-H85</f>
        <v>-86.39</v>
      </c>
      <c r="M85" s="1"/>
      <c r="N85" s="5">
        <f t="shared" ref="N85:N86" si="79">IF(H85=0,0,L85/H85)</f>
        <v>-0.71991666666666665</v>
      </c>
      <c r="O85" s="14"/>
      <c r="P85" s="1">
        <f>SUM(OSRRefP22_17x_0)</f>
        <v>183.59</v>
      </c>
      <c r="Q85" s="1"/>
      <c r="R85" s="5">
        <f t="shared" ref="R85:R86" si="80">IF(P$12=0,0,P85/P$12)</f>
        <v>1.2471004693320204E-3</v>
      </c>
      <c r="S85" s="1"/>
      <c r="T85" s="1">
        <f>SUM(OSRRefT22_17x_0)</f>
        <v>600</v>
      </c>
      <c r="U85" s="1"/>
      <c r="V85" s="5">
        <f t="shared" ref="V85:V86" si="81">IF(T$12=0,0,T85/T$12)</f>
        <v>4.8369543310895239E-3</v>
      </c>
      <c r="W85" s="1"/>
      <c r="X85" s="1">
        <f t="shared" ref="X85:X86" si="82">+P85-T85</f>
        <v>-416.40999999999997</v>
      </c>
      <c r="Y85" s="1"/>
      <c r="Z85" s="5">
        <f t="shared" ref="Z85:Z86" si="83">IF(T85=0,0,X85/T85)</f>
        <v>-0.69401666666666662</v>
      </c>
    </row>
    <row r="86" spans="1:26" s="24" customFormat="1" hidden="1" outlineLevel="2" x14ac:dyDescent="0.3">
      <c r="A86" s="27"/>
      <c r="B86" s="11" t="str">
        <f>CONCATENATE("          ", "6274", " - ", "UTILITIES")</f>
        <v xml:space="preserve">          6274 - UTILITIES</v>
      </c>
      <c r="C86" s="11"/>
      <c r="D86" s="6">
        <v>33.61</v>
      </c>
      <c r="E86" s="2"/>
      <c r="F86" s="7">
        <f t="shared" si="76"/>
        <v>1.1437894039022923E-3</v>
      </c>
      <c r="G86" s="2"/>
      <c r="H86" s="6">
        <v>120</v>
      </c>
      <c r="I86" s="2"/>
      <c r="J86" s="7">
        <f t="shared" si="77"/>
        <v>5.7697855563034906E-3</v>
      </c>
      <c r="K86" s="2"/>
      <c r="L86" s="6">
        <f t="shared" si="78"/>
        <v>-86.39</v>
      </c>
      <c r="M86" s="2"/>
      <c r="N86" s="7">
        <f t="shared" si="79"/>
        <v>-0.71991666666666665</v>
      </c>
      <c r="O86" s="11"/>
      <c r="P86" s="6">
        <v>183.59</v>
      </c>
      <c r="Q86" s="2"/>
      <c r="R86" s="7">
        <f t="shared" si="80"/>
        <v>1.2471004693320204E-3</v>
      </c>
      <c r="S86" s="2"/>
      <c r="T86" s="6">
        <v>600</v>
      </c>
      <c r="U86" s="2"/>
      <c r="V86" s="7">
        <f t="shared" si="81"/>
        <v>4.8369543310895239E-3</v>
      </c>
      <c r="W86" s="2"/>
      <c r="X86" s="6">
        <f t="shared" si="82"/>
        <v>-416.40999999999997</v>
      </c>
      <c r="Y86" s="2"/>
      <c r="Z86" s="7">
        <f t="shared" si="83"/>
        <v>-0.69401666666666662</v>
      </c>
    </row>
    <row r="87" spans="1:26" s="63" customFormat="1" x14ac:dyDescent="0.3">
      <c r="A87" s="36"/>
      <c r="B87" s="36"/>
      <c r="C87" s="36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6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3" customFormat="1" x14ac:dyDescent="0.3">
      <c r="A88" s="10"/>
      <c r="B88" s="25" t="s">
        <v>293</v>
      </c>
      <c r="C88" s="10"/>
      <c r="D88" s="4">
        <f>SUM(0)</f>
        <v>0</v>
      </c>
      <c r="E88" s="4"/>
      <c r="F88" s="12">
        <f>IF(D$12=0,0,D88/D$12)</f>
        <v>0</v>
      </c>
      <c r="G88" s="4"/>
      <c r="H88" s="4">
        <f>SUM(0)</f>
        <v>0</v>
      </c>
      <c r="I88" s="4"/>
      <c r="J88" s="12">
        <f>IF(H$12=0,0,H88/H$12)</f>
        <v>0</v>
      </c>
      <c r="K88" s="4"/>
      <c r="L88" s="4">
        <f>+D88-H88</f>
        <v>0</v>
      </c>
      <c r="M88" s="4"/>
      <c r="N88" s="12">
        <f>IF(H88=0,0,L88/H88)</f>
        <v>0</v>
      </c>
      <c r="O88" s="10"/>
      <c r="P88" s="4">
        <f>SUM(0)</f>
        <v>0</v>
      </c>
      <c r="Q88" s="4"/>
      <c r="R88" s="12">
        <f>IF(P$12=0,0,P88/P$12)</f>
        <v>0</v>
      </c>
      <c r="S88" s="4"/>
      <c r="T88" s="4">
        <f>SUM(0)</f>
        <v>0</v>
      </c>
      <c r="U88" s="4"/>
      <c r="V88" s="12">
        <f>IF(T$12=0,0,T88/T$12)</f>
        <v>0</v>
      </c>
      <c r="W88" s="4"/>
      <c r="X88" s="4">
        <f>+P88-T88</f>
        <v>0</v>
      </c>
      <c r="Y88" s="4"/>
      <c r="Z88" s="12">
        <f>IF(T88=0,0,X88/T88)</f>
        <v>0</v>
      </c>
    </row>
    <row r="89" spans="1:26" x14ac:dyDescent="0.3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3">
      <c r="A90" s="10"/>
      <c r="B90" s="26" t="s">
        <v>277</v>
      </c>
      <c r="C90" s="26"/>
      <c r="D90" s="20">
        <f>+D24-D26+D88</f>
        <v>-2534.2500000000055</v>
      </c>
      <c r="E90" s="13"/>
      <c r="F90" s="22">
        <f>IF(D$12=0,0,D90/D$12)</f>
        <v>-8.6243626802719145E-2</v>
      </c>
      <c r="G90" s="13"/>
      <c r="H90" s="20">
        <f>+H24-H26+H88</f>
        <v>-8576.6268157692284</v>
      </c>
      <c r="I90" s="13"/>
      <c r="J90" s="22">
        <f>IF(H$12=0,0,H90/H$12)</f>
        <v>-0.41237747936192076</v>
      </c>
      <c r="K90" s="15"/>
      <c r="L90" s="20">
        <f>+D90-H90</f>
        <v>6042.376815769223</v>
      </c>
      <c r="M90" s="15"/>
      <c r="N90" s="22">
        <f>IF(H90=0,0,L90/H90)</f>
        <v>-0.70451669934612737</v>
      </c>
      <c r="O90" s="25"/>
      <c r="P90" s="20">
        <f>+P24-P26+P88</f>
        <v>-7143.4100000000035</v>
      </c>
      <c r="Q90" s="13"/>
      <c r="R90" s="22">
        <f>IF(P$12=0,0,P90/P$12)</f>
        <v>-4.852415689106733E-2</v>
      </c>
      <c r="S90" s="13"/>
      <c r="T90" s="20">
        <f>+T24-T26+T88</f>
        <v>-38977.981414230759</v>
      </c>
      <c r="U90" s="13"/>
      <c r="V90" s="22">
        <f>IF(T$12=0,0,T90/T$12)</f>
        <v>-0.31422452669781742</v>
      </c>
      <c r="W90" s="15"/>
      <c r="X90" s="20">
        <f>+P90-T90</f>
        <v>31834.571414230755</v>
      </c>
      <c r="Y90" s="15"/>
      <c r="Z90" s="22">
        <f>IF(T90=0,0,X90/T90)</f>
        <v>-0.8167321718360725</v>
      </c>
    </row>
    <row r="91" spans="1:26" x14ac:dyDescent="0.3">
      <c r="A91" s="9"/>
      <c r="B91" s="10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3">
      <c r="A92" s="52"/>
      <c r="B92" s="10" t="s">
        <v>128</v>
      </c>
      <c r="C92" s="10"/>
      <c r="D92" s="4">
        <v>3914.83</v>
      </c>
      <c r="E92" s="4"/>
      <c r="F92" s="12">
        <f>IF(D$12=0,0,D92/D$12)</f>
        <v>0.13322645260573671</v>
      </c>
      <c r="G92" s="4"/>
      <c r="H92" s="4">
        <v>3635</v>
      </c>
      <c r="I92" s="4"/>
      <c r="J92" s="12">
        <f>IF(H$12=0,0,H92/H$12)</f>
        <v>0.17477642080969324</v>
      </c>
      <c r="K92" s="4"/>
      <c r="L92" s="4">
        <f>+D92-H92</f>
        <v>279.82999999999993</v>
      </c>
      <c r="M92" s="4"/>
      <c r="N92" s="12">
        <f>IF(H92=0,0,L92/H92)</f>
        <v>7.6982118294360372E-2</v>
      </c>
      <c r="O92" s="10"/>
      <c r="P92" s="4">
        <v>17534.849999999999</v>
      </c>
      <c r="Q92" s="4"/>
      <c r="R92" s="12">
        <f>IF(P$12=0,0,P92/P$12)</f>
        <v>0.11911171449788428</v>
      </c>
      <c r="S92" s="4"/>
      <c r="T92" s="4">
        <v>15508</v>
      </c>
      <c r="U92" s="4"/>
      <c r="V92" s="12">
        <f>IF(T$12=0,0,T92/T$12)</f>
        <v>0.12501914627756056</v>
      </c>
      <c r="W92" s="4"/>
      <c r="X92" s="4">
        <f>+P92-T92</f>
        <v>2026.8499999999985</v>
      </c>
      <c r="Y92" s="4"/>
      <c r="Z92" s="12">
        <f>IF(T92=0,0,X92/T92)</f>
        <v>0.13069705958215105</v>
      </c>
    </row>
    <row r="93" spans="1:26" x14ac:dyDescent="0.3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" thickBot="1" x14ac:dyDescent="0.35">
      <c r="A94" s="10"/>
      <c r="B94" s="26" t="s">
        <v>126</v>
      </c>
      <c r="C94" s="26"/>
      <c r="D94" s="33">
        <f>+D90-D92</f>
        <v>-6449.0800000000054</v>
      </c>
      <c r="E94" s="13"/>
      <c r="F94" s="34">
        <f>IF(D$12=0,0,D94/D$12)</f>
        <v>-0.21947007940845586</v>
      </c>
      <c r="G94" s="13"/>
      <c r="H94" s="33">
        <f>+H90-H92</f>
        <v>-12211.626815769228</v>
      </c>
      <c r="I94" s="13"/>
      <c r="J94" s="34">
        <f>IF(H$12=0,0,H94/H$12)</f>
        <v>-0.58715390017161406</v>
      </c>
      <c r="K94" s="15"/>
      <c r="L94" s="33">
        <f>D94-H94</f>
        <v>5762.546815769223</v>
      </c>
      <c r="M94" s="15"/>
      <c r="N94" s="34">
        <f>IF(H94=0,0,L94/H94)</f>
        <v>-0.47189018324142357</v>
      </c>
      <c r="O94" s="25"/>
      <c r="P94" s="33">
        <f>+P90-P92</f>
        <v>-24678.260000000002</v>
      </c>
      <c r="Q94" s="13"/>
      <c r="R94" s="34">
        <f>IF(P$12=0,0,P94/P$12)</f>
        <v>-0.16763587138895161</v>
      </c>
      <c r="S94" s="13"/>
      <c r="T94" s="33">
        <f>+T90-T92</f>
        <v>-54485.981414230759</v>
      </c>
      <c r="U94" s="13"/>
      <c r="V94" s="34">
        <f>IF(T$12=0,0,T94/T$12)</f>
        <v>-0.43924367297537797</v>
      </c>
      <c r="W94" s="15"/>
      <c r="X94" s="33">
        <f>P94-T94</f>
        <v>29807.721414230757</v>
      </c>
      <c r="Y94" s="15"/>
      <c r="Z94" s="34">
        <f>IF(T94=0,0,X94/T94)</f>
        <v>-0.54707138681447176</v>
      </c>
    </row>
    <row r="95" spans="1:26" ht="15" thickTop="1" x14ac:dyDescent="0.3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x14ac:dyDescent="0.3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" thickBot="1" x14ac:dyDescent="0.35">
      <c r="A97" s="10"/>
      <c r="B97" s="26" t="s">
        <v>294</v>
      </c>
      <c r="C97" s="26"/>
      <c r="D97" s="35">
        <f>SUM(D94:D96)</f>
        <v>-6449.0800000000054</v>
      </c>
      <c r="E97" s="13"/>
      <c r="F97" s="32">
        <f>IF(D$12=0,0,D97/D$12)</f>
        <v>-0.21947007940845586</v>
      </c>
      <c r="G97" s="13"/>
      <c r="H97" s="35">
        <f>SUM(H94:H96)</f>
        <v>-12211.626815769228</v>
      </c>
      <c r="I97" s="13"/>
      <c r="J97" s="32">
        <f>IF(H$12=0,0,H97/H$12)</f>
        <v>-0.58715390017161406</v>
      </c>
      <c r="K97" s="15"/>
      <c r="L97" s="35">
        <f>+D97-H97</f>
        <v>5762.546815769223</v>
      </c>
      <c r="M97" s="15"/>
      <c r="N97" s="32">
        <f>IF(H97=0,0,L97/H97)</f>
        <v>-0.47189018324142357</v>
      </c>
      <c r="O97" s="25"/>
      <c r="P97" s="35">
        <f>SUM(P94:P96)</f>
        <v>-24678.260000000002</v>
      </c>
      <c r="Q97" s="13"/>
      <c r="R97" s="32">
        <f>IF(P$12=0,0,P97/P$12)</f>
        <v>-0.16763587138895161</v>
      </c>
      <c r="S97" s="13"/>
      <c r="T97" s="35">
        <f>SUM(T94:T96)</f>
        <v>-54485.981414230759</v>
      </c>
      <c r="U97" s="13"/>
      <c r="V97" s="32">
        <f>IF(T$12=0,0,T97/T$12)</f>
        <v>-0.43924367297537797</v>
      </c>
      <c r="W97" s="15"/>
      <c r="X97" s="35">
        <f>+P97-T97</f>
        <v>29807.721414230757</v>
      </c>
      <c r="Y97" s="15"/>
      <c r="Z97" s="32">
        <f>IF(T97=0,0,X97/T97)</f>
        <v>-0.54707138681447176</v>
      </c>
    </row>
    <row r="98" spans="1:26" ht="15" thickTop="1" x14ac:dyDescent="0.3">
      <c r="A98" s="9"/>
      <c r="C98" s="9"/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  <row r="99" spans="1:26" x14ac:dyDescent="0.3">
      <c r="A99" s="9"/>
      <c r="B99" s="60">
        <v>44543.753113078703</v>
      </c>
      <c r="D99" s="17"/>
      <c r="E99" s="17"/>
      <c r="G99" s="17"/>
      <c r="H99" s="17"/>
      <c r="I99" s="17"/>
      <c r="J99" s="42"/>
      <c r="K99" s="17"/>
      <c r="L99" s="17"/>
      <c r="M99" s="17"/>
      <c r="P99" s="17"/>
      <c r="Q99" s="17"/>
      <c r="R99" s="42"/>
      <c r="S99" s="17"/>
      <c r="T99" s="17"/>
      <c r="U99" s="17"/>
      <c r="V99" s="42"/>
      <c r="W99" s="17"/>
      <c r="X99" s="17"/>
    </row>
    <row r="100" spans="1:26" x14ac:dyDescent="0.3">
      <c r="A100" s="9"/>
      <c r="B100" s="58" t="s">
        <v>56</v>
      </c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  <row r="101" spans="1:26" x14ac:dyDescent="0.3">
      <c r="A101" s="9"/>
      <c r="B101" s="55"/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  <row r="102" spans="1:26" x14ac:dyDescent="0.3"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4.4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218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5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1">
        <f>SUM(0)</f>
        <v>0</v>
      </c>
      <c r="E18" s="21"/>
      <c r="F18" s="30">
        <f>IF(D$12=0,0,D18/D$12)</f>
        <v>0</v>
      </c>
      <c r="G18" s="21"/>
      <c r="H18" s="21">
        <f>SUM(0)</f>
        <v>0</v>
      </c>
      <c r="I18" s="21"/>
      <c r="J18" s="30">
        <f>IF(H$12=0,0,H18/H$12)</f>
        <v>0</v>
      </c>
      <c r="K18" s="4"/>
      <c r="L18" s="21">
        <f>+D18-H18</f>
        <v>0</v>
      </c>
      <c r="M18" s="4"/>
      <c r="N18" s="30">
        <f>IF(H18=0,0,L18/H18)</f>
        <v>0</v>
      </c>
      <c r="O18" s="10"/>
      <c r="P18" s="21">
        <f>SUM(0)</f>
        <v>0</v>
      </c>
      <c r="Q18" s="21"/>
      <c r="R18" s="30">
        <f>IF(P$12=0,0,P18/P$12)</f>
        <v>0</v>
      </c>
      <c r="S18" s="21"/>
      <c r="T18" s="21">
        <f>SUM(0)</f>
        <v>0</v>
      </c>
      <c r="U18" s="21"/>
      <c r="V18" s="30">
        <f>IF(T$12=0,0,T18/T$12)</f>
        <v>0</v>
      </c>
      <c r="W18" s="4"/>
      <c r="X18" s="21">
        <f>+P18-T18</f>
        <v>0</v>
      </c>
      <c r="Y18" s="4"/>
      <c r="Z18" s="30">
        <f>IF(T18=0,0,X18/T18)</f>
        <v>0</v>
      </c>
    </row>
    <row r="19" spans="1:26" s="63" customFormat="1" x14ac:dyDescent="0.3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293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3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3">
      <c r="A22" s="10"/>
      <c r="B22" s="26" t="s">
        <v>277</v>
      </c>
      <c r="C22" s="26"/>
      <c r="D22" s="20">
        <f>+D16-D18+D20</f>
        <v>0</v>
      </c>
      <c r="E22" s="13"/>
      <c r="F22" s="22">
        <f>IF(D$12=0,0,D22/D$12)</f>
        <v>0</v>
      </c>
      <c r="G22" s="13"/>
      <c r="H22" s="20">
        <f>+H16-H18+H20</f>
        <v>0</v>
      </c>
      <c r="I22" s="13"/>
      <c r="J22" s="22">
        <f>IF(H$12=0,0,H22/H$12)</f>
        <v>0</v>
      </c>
      <c r="K22" s="15"/>
      <c r="L22" s="20">
        <f>+D22-H22</f>
        <v>0</v>
      </c>
      <c r="M22" s="15"/>
      <c r="N22" s="22">
        <f>IF(H22=0,0,L22/H22)</f>
        <v>0</v>
      </c>
      <c r="O22" s="25"/>
      <c r="P22" s="20">
        <f>+P16-P18+P20</f>
        <v>0</v>
      </c>
      <c r="Q22" s="13"/>
      <c r="R22" s="22">
        <f>IF(P$12=0,0,P22/P$12)</f>
        <v>0</v>
      </c>
      <c r="S22" s="13"/>
      <c r="T22" s="20">
        <f>+T16-T18+T20</f>
        <v>0</v>
      </c>
      <c r="U22" s="13"/>
      <c r="V22" s="22">
        <f>IF(T$12=0,0,T22/T$12)</f>
        <v>0</v>
      </c>
      <c r="W22" s="15"/>
      <c r="X22" s="20">
        <f>+P22-T22</f>
        <v>0</v>
      </c>
      <c r="Y22" s="15"/>
      <c r="Z22" s="22">
        <f>IF(T22=0,0,X22/T22)</f>
        <v>0</v>
      </c>
    </row>
    <row r="23" spans="1:26" x14ac:dyDescent="0.3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3">
      <c r="A24" s="52"/>
      <c r="B24" s="10" t="s">
        <v>128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3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" thickBot="1" x14ac:dyDescent="0.35">
      <c r="A26" s="10"/>
      <c r="B26" s="26" t="s">
        <v>126</v>
      </c>
      <c r="C26" s="26"/>
      <c r="D26" s="33">
        <f>+D22-D24</f>
        <v>0</v>
      </c>
      <c r="E26" s="13"/>
      <c r="F26" s="34">
        <f>IF(D$12=0,0,D26/D$12)</f>
        <v>0</v>
      </c>
      <c r="G26" s="13"/>
      <c r="H26" s="33">
        <f>+H22-H24</f>
        <v>0</v>
      </c>
      <c r="I26" s="13"/>
      <c r="J26" s="34">
        <f>IF(H$12=0,0,H26/H$12)</f>
        <v>0</v>
      </c>
      <c r="K26" s="15"/>
      <c r="L26" s="33">
        <f>D26-H26</f>
        <v>0</v>
      </c>
      <c r="M26" s="15"/>
      <c r="N26" s="34">
        <f>IF(H26=0,0,L26/H26)</f>
        <v>0</v>
      </c>
      <c r="O26" s="25"/>
      <c r="P26" s="33">
        <f>+P22-P24</f>
        <v>0</v>
      </c>
      <c r="Q26" s="13"/>
      <c r="R26" s="34">
        <f>IF(P$12=0,0,P26/P$12)</f>
        <v>0</v>
      </c>
      <c r="S26" s="13"/>
      <c r="T26" s="33">
        <f>+T22-T24</f>
        <v>0</v>
      </c>
      <c r="U26" s="13"/>
      <c r="V26" s="34">
        <f>IF(T$12=0,0,T26/T$12)</f>
        <v>0</v>
      </c>
      <c r="W26" s="15"/>
      <c r="X26" s="33">
        <f>P26-T26</f>
        <v>0</v>
      </c>
      <c r="Y26" s="15"/>
      <c r="Z26" s="34">
        <f>IF(T26=0,0,X26/T26)</f>
        <v>0</v>
      </c>
    </row>
    <row r="27" spans="1:26" ht="15" thickTop="1" x14ac:dyDescent="0.3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3">
      <c r="A28" s="52"/>
      <c r="B28" s="10" t="s">
        <v>184</v>
      </c>
      <c r="C28" s="10"/>
      <c r="D28" s="4">
        <f>-342698.96</f>
        <v>-342698.96</v>
      </c>
      <c r="E28" s="4"/>
      <c r="F28" s="12">
        <f t="shared" ref="F28:F29" si="0">IF(D$12=0,0,D28/D$12)</f>
        <v>0</v>
      </c>
      <c r="G28" s="4"/>
      <c r="H28" s="4">
        <f t="shared" ref="H28:H29" si="1">--15000</f>
        <v>15000</v>
      </c>
      <c r="I28" s="4"/>
      <c r="J28" s="12">
        <f t="shared" ref="J28:J29" si="2">IF(H$12=0,0,H28/H$12)</f>
        <v>0</v>
      </c>
      <c r="K28" s="4"/>
      <c r="L28" s="4">
        <f t="shared" ref="L28:L29" si="3">+D28-H28</f>
        <v>-357698.96</v>
      </c>
      <c r="M28" s="4"/>
      <c r="N28" s="12">
        <f t="shared" ref="N28:N29" si="4">IF(H28=0,0,L28/H28)</f>
        <v>-23.846597333333335</v>
      </c>
      <c r="O28" s="10"/>
      <c r="P28" s="4">
        <f>-224717.18</f>
        <v>-224717.18</v>
      </c>
      <c r="Q28" s="4"/>
      <c r="R28" s="12">
        <f t="shared" ref="R28:R29" si="5">IF(P$12=0,0,P28/P$12)</f>
        <v>0</v>
      </c>
      <c r="S28" s="4"/>
      <c r="T28" s="4">
        <f>--75000</f>
        <v>75000</v>
      </c>
      <c r="U28" s="4"/>
      <c r="V28" s="12">
        <f t="shared" ref="V28:V29" si="6">IF(T$12=0,0,T28/T$12)</f>
        <v>0</v>
      </c>
      <c r="W28" s="4"/>
      <c r="X28" s="4">
        <f t="shared" ref="X28:X29" si="7">+P28-T28</f>
        <v>-299717.18</v>
      </c>
      <c r="Y28" s="4"/>
      <c r="Z28" s="12">
        <f t="shared" ref="Z28:Z29" si="8">IF(T28=0,0,X28/T28)</f>
        <v>-3.9962290666666664</v>
      </c>
    </row>
    <row r="29" spans="1:26" s="23" customFormat="1" x14ac:dyDescent="0.3">
      <c r="A29" s="52"/>
      <c r="B29" s="10" t="s">
        <v>82</v>
      </c>
      <c r="C29" s="10"/>
      <c r="D29" s="4">
        <f>--9933.84</f>
        <v>9933.84</v>
      </c>
      <c r="E29" s="4"/>
      <c r="F29" s="12">
        <f t="shared" si="0"/>
        <v>0</v>
      </c>
      <c r="G29" s="4"/>
      <c r="H29" s="4">
        <f t="shared" si="1"/>
        <v>15000</v>
      </c>
      <c r="I29" s="4"/>
      <c r="J29" s="12">
        <f t="shared" si="2"/>
        <v>0</v>
      </c>
      <c r="K29" s="4"/>
      <c r="L29" s="4">
        <f t="shared" si="3"/>
        <v>-5066.16</v>
      </c>
      <c r="M29" s="4"/>
      <c r="N29" s="12">
        <f t="shared" si="4"/>
        <v>-0.33774399999999999</v>
      </c>
      <c r="O29" s="10"/>
      <c r="P29" s="4">
        <f>--57789.87</f>
        <v>57789.87</v>
      </c>
      <c r="Q29" s="4"/>
      <c r="R29" s="12">
        <f t="shared" si="5"/>
        <v>0</v>
      </c>
      <c r="S29" s="4"/>
      <c r="T29" s="4">
        <f>--80000</f>
        <v>80000</v>
      </c>
      <c r="U29" s="4"/>
      <c r="V29" s="12">
        <f t="shared" si="6"/>
        <v>0</v>
      </c>
      <c r="W29" s="4"/>
      <c r="X29" s="4">
        <f t="shared" si="7"/>
        <v>-22210.129999999997</v>
      </c>
      <c r="Y29" s="4"/>
      <c r="Z29" s="12">
        <f t="shared" si="8"/>
        <v>-0.27762662499999996</v>
      </c>
    </row>
    <row r="30" spans="1:26" x14ac:dyDescent="0.3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294</v>
      </c>
      <c r="C31" s="26"/>
      <c r="D31" s="35">
        <f>SUM(D26:D30)</f>
        <v>-332765.12</v>
      </c>
      <c r="E31" s="13"/>
      <c r="F31" s="32">
        <f>IF(D$12=0,0,D31/D$12)</f>
        <v>0</v>
      </c>
      <c r="G31" s="13"/>
      <c r="H31" s="35">
        <f>SUM(H26:H30)</f>
        <v>30000</v>
      </c>
      <c r="I31" s="13"/>
      <c r="J31" s="32">
        <f>IF(H$12=0,0,H31/H$12)</f>
        <v>0</v>
      </c>
      <c r="K31" s="15"/>
      <c r="L31" s="35">
        <f>+D31-H31</f>
        <v>-362765.12</v>
      </c>
      <c r="M31" s="15"/>
      <c r="N31" s="32">
        <f>IF(H31=0,0,L31/H31)</f>
        <v>-12.092170666666666</v>
      </c>
      <c r="O31" s="25"/>
      <c r="P31" s="35">
        <f>SUM(P26:P30)</f>
        <v>-166927.31</v>
      </c>
      <c r="Q31" s="13"/>
      <c r="R31" s="32">
        <f>IF(P$12=0,0,P31/P$12)</f>
        <v>0</v>
      </c>
      <c r="S31" s="13"/>
      <c r="T31" s="35">
        <f>SUM(T26:T30)</f>
        <v>155000</v>
      </c>
      <c r="U31" s="13"/>
      <c r="V31" s="32">
        <f>IF(T$12=0,0,T31/T$12)</f>
        <v>0</v>
      </c>
      <c r="W31" s="15"/>
      <c r="X31" s="35">
        <f>+P31-T31</f>
        <v>-321927.31</v>
      </c>
      <c r="Y31" s="15"/>
      <c r="Z31" s="32">
        <f>IF(T31=0,0,X31/T31)</f>
        <v>-2.0769503870967743</v>
      </c>
    </row>
    <row r="32" spans="1:26" ht="15" thickTop="1" x14ac:dyDescent="0.3">
      <c r="A32" s="9"/>
      <c r="C32" s="9"/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3">
      <c r="A33" s="9"/>
      <c r="B33" s="60">
        <v>44543.753097141205</v>
      </c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3">
      <c r="A34" s="9"/>
      <c r="B34" s="58" t="s">
        <v>56</v>
      </c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4" x14ac:dyDescent="0.3">
      <c r="A35" s="9"/>
      <c r="B35" s="55"/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4" x14ac:dyDescent="0.3"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FF00"/>
    <outlinePr summaryBelow="0" summaryRight="0"/>
  </sheetPr>
  <dimension ref="A2:Z8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125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6788.13</v>
      </c>
      <c r="E12" s="4"/>
      <c r="F12" s="12"/>
      <c r="G12" s="4"/>
      <c r="H12" s="4">
        <f>SUM(OSRRefH13x_0)</f>
        <v>15250</v>
      </c>
      <c r="I12" s="4"/>
      <c r="J12" s="12"/>
      <c r="K12" s="4"/>
      <c r="L12" s="4">
        <f t="shared" ref="L12:L17" si="0">+D12-H12</f>
        <v>-8461.869999999999</v>
      </c>
      <c r="M12" s="4"/>
      <c r="N12" s="12">
        <f t="shared" ref="N12:N17" si="1">IF(H12=0,0,L12/H12)</f>
        <v>-0.55487672131147536</v>
      </c>
      <c r="O12" s="10"/>
      <c r="P12" s="4">
        <f>SUM(OSRRefP13x_0)</f>
        <v>91209</v>
      </c>
      <c r="Q12" s="4"/>
      <c r="R12" s="12"/>
      <c r="S12" s="4"/>
      <c r="T12" s="4">
        <f>SUM(OSRRefT13x_0)</f>
        <v>113400</v>
      </c>
      <c r="U12" s="4"/>
      <c r="V12" s="12"/>
      <c r="W12" s="4"/>
      <c r="X12" s="4">
        <f t="shared" ref="X12:X17" si="2">+P12-T12</f>
        <v>-22191</v>
      </c>
      <c r="Y12" s="4"/>
      <c r="Z12" s="12">
        <f t="shared" ref="Z12:Z17" si="3">IF(T12=0,0,X12/T12)</f>
        <v>-0.19568783068783069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--3447.29</f>
        <v>3447.29</v>
      </c>
      <c r="E13" s="2"/>
      <c r="F13" s="19"/>
      <c r="G13" s="2"/>
      <c r="H13" s="2">
        <v>3050</v>
      </c>
      <c r="I13" s="2"/>
      <c r="J13" s="19"/>
      <c r="K13" s="2"/>
      <c r="L13" s="2">
        <f t="shared" si="0"/>
        <v>397.28999999999996</v>
      </c>
      <c r="M13" s="2"/>
      <c r="N13" s="19">
        <f t="shared" si="1"/>
        <v>0.13025901639344262</v>
      </c>
      <c r="O13" s="11"/>
      <c r="P13" s="2">
        <f>--74011.53</f>
        <v>74011.53</v>
      </c>
      <c r="Q13" s="2"/>
      <c r="R13" s="19"/>
      <c r="S13" s="2"/>
      <c r="T13" s="2">
        <v>59200</v>
      </c>
      <c r="U13" s="2"/>
      <c r="V13" s="19"/>
      <c r="W13" s="2"/>
      <c r="X13" s="2">
        <f t="shared" si="2"/>
        <v>14811.529999999999</v>
      </c>
      <c r="Y13" s="2"/>
      <c r="Z13" s="19">
        <f t="shared" si="3"/>
        <v>0.2501947635135135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--3340.84</f>
        <v>3340.84</v>
      </c>
      <c r="E14" s="2"/>
      <c r="F14" s="19"/>
      <c r="G14" s="2"/>
      <c r="H14" s="2">
        <v>12200</v>
      </c>
      <c r="I14" s="2"/>
      <c r="J14" s="19"/>
      <c r="K14" s="2"/>
      <c r="L14" s="2">
        <f t="shared" si="0"/>
        <v>-8859.16</v>
      </c>
      <c r="M14" s="2"/>
      <c r="N14" s="19">
        <f t="shared" si="1"/>
        <v>-0.72616065573770494</v>
      </c>
      <c r="O14" s="11"/>
      <c r="P14" s="2">
        <f>--17600.47</f>
        <v>17600.47</v>
      </c>
      <c r="Q14" s="2"/>
      <c r="R14" s="19"/>
      <c r="S14" s="2"/>
      <c r="T14" s="2">
        <v>54200</v>
      </c>
      <c r="U14" s="2"/>
      <c r="V14" s="19"/>
      <c r="W14" s="2"/>
      <c r="X14" s="2">
        <f t="shared" si="2"/>
        <v>-36599.53</v>
      </c>
      <c r="Y14" s="2"/>
      <c r="Z14" s="19">
        <f t="shared" si="3"/>
        <v>-0.67526808118081183</v>
      </c>
    </row>
    <row r="15" spans="1:26" s="24" customFormat="1" hidden="1" outlineLevel="1" x14ac:dyDescent="0.3">
      <c r="A15" s="44"/>
      <c r="B15" s="11" t="str">
        <f>CONCATENATE("          ", "4141", " - ", "NON-TAXABLE SALES-LOGO GIFTS")</f>
        <v xml:space="preserve">          4141 - NON-TAXABLE SALES-LOGO GIFTS</v>
      </c>
      <c r="C15" s="11"/>
      <c r="D15" s="2">
        <f t="shared" ref="D15:D17" si="4">0</f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ref="P15:P16" si="5">0</f>
        <v>0</v>
      </c>
      <c r="Q15" s="2"/>
      <c r="R15" s="19"/>
      <c r="S15" s="2"/>
      <c r="T15" s="2"/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"4146", " - ", "NON-TAXABLE SALES-COIN OP MACH")</f>
        <v xml:space="preserve">          4146 - NON-TAXABLE SALES-COIN OP MACH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5"/>
        <v>0</v>
      </c>
      <c r="Q16" s="2"/>
      <c r="R16" s="19"/>
      <c r="S16" s="2"/>
      <c r="T16" s="2"/>
      <c r="U16" s="2"/>
      <c r="V16" s="19"/>
      <c r="W16" s="2"/>
      <c r="X16" s="2">
        <f t="shared" si="2"/>
        <v>0</v>
      </c>
      <c r="Y16" s="2"/>
      <c r="Z16" s="19">
        <f t="shared" si="3"/>
        <v>0</v>
      </c>
    </row>
    <row r="17" spans="1:26" s="24" customFormat="1" hidden="1" outlineLevel="1" x14ac:dyDescent="0.3">
      <c r="A17" s="44"/>
      <c r="B17" s="11" t="str">
        <f>CONCATENATE("          ", "4200", " - ", "TAXABLE RETURNS")</f>
        <v xml:space="preserve">          4200 - TAXABLE RETURNS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-403</f>
        <v>-403</v>
      </c>
      <c r="Q17" s="2"/>
      <c r="R17" s="19"/>
      <c r="S17" s="2"/>
      <c r="T17" s="2"/>
      <c r="U17" s="2"/>
      <c r="V17" s="19"/>
      <c r="W17" s="2"/>
      <c r="X17" s="2">
        <f t="shared" si="2"/>
        <v>-403</v>
      </c>
      <c r="Y17" s="2"/>
      <c r="Z17" s="19">
        <f t="shared" si="3"/>
        <v>0</v>
      </c>
    </row>
    <row r="18" spans="1:26" x14ac:dyDescent="0.3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3">
      <c r="A19" s="10"/>
      <c r="B19" s="25" t="s">
        <v>257</v>
      </c>
      <c r="C19" s="10"/>
      <c r="D19" s="4">
        <f>SUM(OSRRefD16x_0)</f>
        <v>8.26</v>
      </c>
      <c r="E19" s="4"/>
      <c r="F19" s="12">
        <f t="shared" ref="F19:F21" si="6">IF(D$12=0,0,D19/D$12)</f>
        <v>1.2168299664266889E-3</v>
      </c>
      <c r="G19" s="4"/>
      <c r="H19" s="4">
        <f>SUM(OSRRefH16x_0)</f>
        <v>0</v>
      </c>
      <c r="I19" s="4"/>
      <c r="J19" s="12">
        <f t="shared" ref="J19:J21" si="7">IF(H$12=0,0,H19/H$12)</f>
        <v>0</v>
      </c>
      <c r="K19" s="4"/>
      <c r="L19" s="4">
        <f t="shared" ref="L19:L21" si="8">+D19-H19</f>
        <v>8.26</v>
      </c>
      <c r="M19" s="4"/>
      <c r="N19" s="12">
        <f t="shared" ref="N19:N21" si="9">IF(H19=0,0,L19/H19)</f>
        <v>0</v>
      </c>
      <c r="O19" s="10"/>
      <c r="P19" s="4">
        <f>SUM(OSRRefP16x_0)</f>
        <v>8.26</v>
      </c>
      <c r="Q19" s="4"/>
      <c r="R19" s="12">
        <f t="shared" ref="R19:R21" si="10">IF(P$12=0,0,P19/P$12)</f>
        <v>9.0561238474273371E-5</v>
      </c>
      <c r="S19" s="4"/>
      <c r="T19" s="4">
        <f>SUM(OSRRefT16x_0)</f>
        <v>0</v>
      </c>
      <c r="U19" s="4"/>
      <c r="V19" s="12">
        <f t="shared" ref="V19:V21" si="11">IF(T$12=0,0,T19/T$12)</f>
        <v>0</v>
      </c>
      <c r="W19" s="4"/>
      <c r="X19" s="4">
        <f t="shared" ref="X19:X21" si="12">+P19-T19</f>
        <v>8.26</v>
      </c>
      <c r="Y19" s="4"/>
      <c r="Z19" s="12">
        <f t="shared" ref="Z19:Z21" si="13">IF(T19=0,0,X19/T19)</f>
        <v>0</v>
      </c>
    </row>
    <row r="20" spans="1:26" s="24" customFormat="1" hidden="1" outlineLevel="1" x14ac:dyDescent="0.3">
      <c r="A20" s="44"/>
      <c r="B20" s="11" t="str">
        <f>CONCATENATE("          ", "5000", " - ", "PURCHASES @ COST")</f>
        <v xml:space="preserve">          5000 - PURCHASES @ COST</v>
      </c>
      <c r="C20" s="11"/>
      <c r="D20" s="2"/>
      <c r="E20" s="2"/>
      <c r="F20" s="19">
        <f t="shared" si="6"/>
        <v>0</v>
      </c>
      <c r="G20" s="2"/>
      <c r="H20" s="2">
        <v>0</v>
      </c>
      <c r="I20" s="2"/>
      <c r="J20" s="19">
        <f t="shared" si="7"/>
        <v>0</v>
      </c>
      <c r="K20" s="2"/>
      <c r="L20" s="2">
        <f t="shared" si="8"/>
        <v>0</v>
      </c>
      <c r="M20" s="2"/>
      <c r="N20" s="19">
        <f t="shared" si="9"/>
        <v>0</v>
      </c>
      <c r="O20" s="11"/>
      <c r="P20" s="2"/>
      <c r="Q20" s="2"/>
      <c r="R20" s="19">
        <f t="shared" si="10"/>
        <v>0</v>
      </c>
      <c r="S20" s="2"/>
      <c r="T20" s="2">
        <v>0</v>
      </c>
      <c r="U20" s="2"/>
      <c r="V20" s="19">
        <f t="shared" si="11"/>
        <v>0</v>
      </c>
      <c r="W20" s="2"/>
      <c r="X20" s="2">
        <f t="shared" si="12"/>
        <v>0</v>
      </c>
      <c r="Y20" s="2"/>
      <c r="Z20" s="19">
        <f t="shared" si="13"/>
        <v>0</v>
      </c>
    </row>
    <row r="21" spans="1:26" s="24" customFormat="1" hidden="1" outlineLevel="1" x14ac:dyDescent="0.3">
      <c r="A21" s="44"/>
      <c r="B21" s="11" t="str">
        <f>CONCATENATE("          ", "5500", " - ", "FREIGHT-IN")</f>
        <v xml:space="preserve">          5500 - FREIGHT-IN</v>
      </c>
      <c r="C21" s="11"/>
      <c r="D21" s="2">
        <v>8.26</v>
      </c>
      <c r="E21" s="2"/>
      <c r="F21" s="19">
        <f t="shared" si="6"/>
        <v>1.2168299664266889E-3</v>
      </c>
      <c r="G21" s="2"/>
      <c r="H21" s="2"/>
      <c r="I21" s="2"/>
      <c r="J21" s="19">
        <f t="shared" si="7"/>
        <v>0</v>
      </c>
      <c r="K21" s="2"/>
      <c r="L21" s="2">
        <f t="shared" si="8"/>
        <v>8.26</v>
      </c>
      <c r="M21" s="2"/>
      <c r="N21" s="19">
        <f t="shared" si="9"/>
        <v>0</v>
      </c>
      <c r="O21" s="11"/>
      <c r="P21" s="2">
        <v>8.26</v>
      </c>
      <c r="Q21" s="2"/>
      <c r="R21" s="19">
        <f t="shared" si="10"/>
        <v>9.0561238474273371E-5</v>
      </c>
      <c r="S21" s="2"/>
      <c r="T21" s="2"/>
      <c r="U21" s="2"/>
      <c r="V21" s="19">
        <f t="shared" si="11"/>
        <v>0</v>
      </c>
      <c r="W21" s="2"/>
      <c r="X21" s="2">
        <f t="shared" si="12"/>
        <v>8.26</v>
      </c>
      <c r="Y21" s="2"/>
      <c r="Z21" s="19">
        <f t="shared" si="13"/>
        <v>0</v>
      </c>
    </row>
    <row r="22" spans="1:26" x14ac:dyDescent="0.3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3">
      <c r="A23" s="10"/>
      <c r="B23" s="26" t="s">
        <v>108</v>
      </c>
      <c r="C23" s="26"/>
      <c r="D23" s="20">
        <f>D12-D19</f>
        <v>6779.87</v>
      </c>
      <c r="E23" s="13"/>
      <c r="F23" s="22">
        <f>IF(D$12=0,0,D23/D$12)</f>
        <v>0.99878317003357331</v>
      </c>
      <c r="G23" s="13"/>
      <c r="H23" s="20">
        <f>H12-H19</f>
        <v>15250</v>
      </c>
      <c r="I23" s="13"/>
      <c r="J23" s="22">
        <f>IF(H$12=0,0,H23/H$12)</f>
        <v>1</v>
      </c>
      <c r="K23" s="15"/>
      <c r="L23" s="20">
        <f>+D23-H23</f>
        <v>-8470.130000000001</v>
      </c>
      <c r="M23" s="15"/>
      <c r="N23" s="22">
        <f>IF(H23=0,0,L23/H23)</f>
        <v>-0.5554183606557378</v>
      </c>
      <c r="O23" s="25"/>
      <c r="P23" s="20">
        <f>P12-P19</f>
        <v>91200.74</v>
      </c>
      <c r="Q23" s="13"/>
      <c r="R23" s="22">
        <f>IF(P$12=0,0,P23/P$12)</f>
        <v>0.99990943876152583</v>
      </c>
      <c r="S23" s="13"/>
      <c r="T23" s="20">
        <f>T12-T19</f>
        <v>113400</v>
      </c>
      <c r="U23" s="13"/>
      <c r="V23" s="22">
        <f>IF(T$12=0,0,T23/T$12)</f>
        <v>1</v>
      </c>
      <c r="W23" s="15"/>
      <c r="X23" s="20">
        <f>+P23-T23</f>
        <v>-22199.259999999995</v>
      </c>
      <c r="Y23" s="15"/>
      <c r="Z23" s="22">
        <f>IF(T23=0,0,X23/T23)</f>
        <v>-0.19576067019400348</v>
      </c>
    </row>
    <row r="24" spans="1:26" x14ac:dyDescent="0.3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">
      <c r="A25" s="10"/>
      <c r="B25" s="25" t="s">
        <v>295</v>
      </c>
      <c r="C25" s="10"/>
      <c r="D25" s="21">
        <f>SUM(OSRRefD22x_0)</f>
        <v>12008.600000000002</v>
      </c>
      <c r="E25" s="21"/>
      <c r="F25" s="30">
        <f t="shared" ref="F25:F35" si="14">IF(D$12=0,0,D25/D$12)</f>
        <v>1.7690586361781524</v>
      </c>
      <c r="G25" s="21"/>
      <c r="H25" s="21">
        <f>SUM(OSRRefH22x_0)</f>
        <v>35164.057119615391</v>
      </c>
      <c r="I25" s="21"/>
      <c r="J25" s="30">
        <f t="shared" ref="J25:J35" si="15">IF(H$12=0,0,H25/H$12)</f>
        <v>2.3058398111223206</v>
      </c>
      <c r="K25" s="4"/>
      <c r="L25" s="21">
        <f t="shared" ref="L25:L35" si="16">+D25-H25</f>
        <v>-23155.457119615388</v>
      </c>
      <c r="M25" s="4"/>
      <c r="N25" s="30">
        <f t="shared" ref="N25:N35" si="17">IF(H25=0,0,L25/H25)</f>
        <v>-0.65849788153991751</v>
      </c>
      <c r="O25" s="10"/>
      <c r="P25" s="21">
        <f>SUM(OSRRefP22x_0)</f>
        <v>125373.06999999998</v>
      </c>
      <c r="Q25" s="21"/>
      <c r="R25" s="30">
        <f t="shared" ref="R25:R35" si="18">IF(P$12=0,0,P25/P$12)</f>
        <v>1.3745690666491244</v>
      </c>
      <c r="S25" s="21"/>
      <c r="T25" s="21">
        <f>SUM(OSRRefT22x_0)</f>
        <v>175415.74824057706</v>
      </c>
      <c r="U25" s="21"/>
      <c r="V25" s="30">
        <f t="shared" ref="V25:V35" si="19">IF(T$12=0,0,T25/T$12)</f>
        <v>1.5468760867775755</v>
      </c>
      <c r="W25" s="4"/>
      <c r="X25" s="21">
        <f t="shared" ref="X25:X35" si="20">+P25-T25</f>
        <v>-50042.678240577079</v>
      </c>
      <c r="Y25" s="4"/>
      <c r="Z25" s="30">
        <f t="shared" ref="Z25:Z35" si="21">IF(T25=0,0,X25/T25)</f>
        <v>-0.28528041947491029</v>
      </c>
    </row>
    <row r="26" spans="1:26" s="29" customFormat="1" outlineLevel="1" collapsed="1" x14ac:dyDescent="0.3">
      <c r="A26" s="28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11414.57</v>
      </c>
      <c r="E26" s="1"/>
      <c r="F26" s="5">
        <f t="shared" si="14"/>
        <v>1.6815485266192602</v>
      </c>
      <c r="G26" s="1"/>
      <c r="H26" s="1">
        <f>SUM(OSRRefH22_0x_0)</f>
        <v>4440.9609657692326</v>
      </c>
      <c r="I26" s="1"/>
      <c r="J26" s="5">
        <f t="shared" si="15"/>
        <v>0.29121055513240868</v>
      </c>
      <c r="K26" s="1"/>
      <c r="L26" s="1">
        <f t="shared" si="16"/>
        <v>6973.6090342307671</v>
      </c>
      <c r="M26" s="1"/>
      <c r="N26" s="5">
        <f t="shared" si="17"/>
        <v>1.5702928010363286</v>
      </c>
      <c r="O26" s="14"/>
      <c r="P26" s="1">
        <f>SUM(OSRRefP22_0x_0)</f>
        <v>47835.28</v>
      </c>
      <c r="Q26" s="1"/>
      <c r="R26" s="5">
        <f t="shared" si="18"/>
        <v>0.52445789340964155</v>
      </c>
      <c r="S26" s="1"/>
      <c r="T26" s="1">
        <f>SUM(OSRRefT22_0x_0)</f>
        <v>35421.632855961543</v>
      </c>
      <c r="U26" s="1"/>
      <c r="V26" s="5">
        <f t="shared" si="19"/>
        <v>0.31236007809489896</v>
      </c>
      <c r="W26" s="1"/>
      <c r="X26" s="1">
        <f t="shared" si="20"/>
        <v>12413.647144038456</v>
      </c>
      <c r="Y26" s="1"/>
      <c r="Z26" s="5">
        <f t="shared" si="21"/>
        <v>0.35045383691139498</v>
      </c>
    </row>
    <row r="27" spans="1:26" s="24" customFormat="1" hidden="1" outlineLevel="2" x14ac:dyDescent="0.3">
      <c r="A27" s="27"/>
      <c r="B27" s="11" t="str">
        <f>CONCATENATE("          ", "6111", " - ", "F.I.C.A.")</f>
        <v xml:space="preserve">          6111 - F.I.C.A.</v>
      </c>
      <c r="C27" s="11"/>
      <c r="D27" s="6">
        <v>2780.09</v>
      </c>
      <c r="E27" s="2"/>
      <c r="F27" s="7">
        <f t="shared" si="14"/>
        <v>0.40955167328851982</v>
      </c>
      <c r="G27" s="2"/>
      <c r="H27" s="6">
        <v>743.09746961538497</v>
      </c>
      <c r="I27" s="2"/>
      <c r="J27" s="7">
        <f t="shared" si="15"/>
        <v>4.8727702925599012E-2</v>
      </c>
      <c r="K27" s="2"/>
      <c r="L27" s="6">
        <f t="shared" si="16"/>
        <v>2036.9925303846153</v>
      </c>
      <c r="M27" s="2"/>
      <c r="N27" s="7">
        <f t="shared" si="17"/>
        <v>2.741218499154531</v>
      </c>
      <c r="O27" s="11"/>
      <c r="P27" s="6">
        <v>8471.68</v>
      </c>
      <c r="Q27" s="2"/>
      <c r="R27" s="7">
        <f t="shared" si="18"/>
        <v>9.2882062077207297E-2</v>
      </c>
      <c r="S27" s="2"/>
      <c r="T27" s="6">
        <v>5704.4829155769303</v>
      </c>
      <c r="U27" s="2"/>
      <c r="V27" s="7">
        <f t="shared" si="19"/>
        <v>5.0304082147944712E-2</v>
      </c>
      <c r="W27" s="2"/>
      <c r="X27" s="6">
        <f t="shared" si="20"/>
        <v>2767.19708442307</v>
      </c>
      <c r="Y27" s="2"/>
      <c r="Z27" s="7">
        <f t="shared" si="21"/>
        <v>0.4850916595554754</v>
      </c>
    </row>
    <row r="28" spans="1:26" s="24" customFormat="1" hidden="1" outlineLevel="2" x14ac:dyDescent="0.3">
      <c r="A28" s="27"/>
      <c r="B28" s="11" t="str">
        <f>CONCATENATE("          ", "6112", " - ", "COMPENSATION INSURANCE")</f>
        <v xml:space="preserve">          6112 - COMPENSATION INSURANCE</v>
      </c>
      <c r="C28" s="11"/>
      <c r="D28" s="6">
        <v>567.87</v>
      </c>
      <c r="E28" s="2"/>
      <c r="F28" s="7">
        <f t="shared" si="14"/>
        <v>8.3656323611952035E-2</v>
      </c>
      <c r="G28" s="2"/>
      <c r="H28" s="6">
        <v>151.4742</v>
      </c>
      <c r="I28" s="2"/>
      <c r="J28" s="7">
        <f t="shared" si="15"/>
        <v>9.9327344262295086E-3</v>
      </c>
      <c r="K28" s="2"/>
      <c r="L28" s="6">
        <f t="shared" si="16"/>
        <v>416.39580000000001</v>
      </c>
      <c r="M28" s="2"/>
      <c r="N28" s="7">
        <f t="shared" si="17"/>
        <v>2.7489552676297353</v>
      </c>
      <c r="O28" s="11"/>
      <c r="P28" s="6">
        <v>1838.04</v>
      </c>
      <c r="Q28" s="2"/>
      <c r="R28" s="7">
        <f t="shared" si="18"/>
        <v>2.0151958688287341E-2</v>
      </c>
      <c r="S28" s="2"/>
      <c r="T28" s="6">
        <v>1162.8110999999999</v>
      </c>
      <c r="U28" s="2"/>
      <c r="V28" s="7">
        <f t="shared" si="19"/>
        <v>1.0254066137566136E-2</v>
      </c>
      <c r="W28" s="2"/>
      <c r="X28" s="6">
        <f t="shared" si="20"/>
        <v>675.22890000000007</v>
      </c>
      <c r="Y28" s="2"/>
      <c r="Z28" s="7">
        <f t="shared" si="21"/>
        <v>0.58068666527177126</v>
      </c>
    </row>
    <row r="29" spans="1:26" s="24" customFormat="1" hidden="1" outlineLevel="2" x14ac:dyDescent="0.3">
      <c r="A29" s="27"/>
      <c r="B29" s="11" t="str">
        <f>CONCATENATE("          ", "6113", " - ", "GROUP INSURANCE")</f>
        <v xml:space="preserve">          6113 - GROUP INSURANCE</v>
      </c>
      <c r="C29" s="11"/>
      <c r="D29" s="6">
        <v>2817.93</v>
      </c>
      <c r="E29" s="2"/>
      <c r="F29" s="7">
        <f t="shared" si="14"/>
        <v>0.41512610984173842</v>
      </c>
      <c r="G29" s="2"/>
      <c r="H29" s="6">
        <v>1326</v>
      </c>
      <c r="I29" s="2"/>
      <c r="J29" s="7">
        <f t="shared" si="15"/>
        <v>8.6950819672131141E-2</v>
      </c>
      <c r="K29" s="2"/>
      <c r="L29" s="6">
        <f t="shared" si="16"/>
        <v>1491.9299999999998</v>
      </c>
      <c r="M29" s="2"/>
      <c r="N29" s="7">
        <f t="shared" si="17"/>
        <v>1.1251357466063348</v>
      </c>
      <c r="O29" s="11"/>
      <c r="P29" s="6">
        <v>16492.599999999999</v>
      </c>
      <c r="Q29" s="2"/>
      <c r="R29" s="7">
        <f t="shared" si="18"/>
        <v>0.18082206799767564</v>
      </c>
      <c r="S29" s="2"/>
      <c r="T29" s="6">
        <v>11572.5</v>
      </c>
      <c r="U29" s="2"/>
      <c r="V29" s="7">
        <f t="shared" si="19"/>
        <v>0.10205026455026454</v>
      </c>
      <c r="W29" s="2"/>
      <c r="X29" s="6">
        <f t="shared" si="20"/>
        <v>4920.0999999999985</v>
      </c>
      <c r="Y29" s="2"/>
      <c r="Z29" s="7">
        <f t="shared" si="21"/>
        <v>0.42515446100669679</v>
      </c>
    </row>
    <row r="30" spans="1:26" s="24" customFormat="1" hidden="1" outlineLevel="2" x14ac:dyDescent="0.3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99.76</v>
      </c>
      <c r="E30" s="2"/>
      <c r="F30" s="7">
        <f t="shared" si="14"/>
        <v>1.4696241822121852E-2</v>
      </c>
      <c r="G30" s="2"/>
      <c r="H30" s="6">
        <v>20.390757692307702</v>
      </c>
      <c r="I30" s="2"/>
      <c r="J30" s="7">
        <f t="shared" si="15"/>
        <v>1.3370988650693574E-3</v>
      </c>
      <c r="K30" s="2"/>
      <c r="L30" s="6">
        <f t="shared" si="16"/>
        <v>79.369242307692303</v>
      </c>
      <c r="M30" s="2"/>
      <c r="N30" s="7">
        <f t="shared" si="17"/>
        <v>3.8924126069937022</v>
      </c>
      <c r="O30" s="11"/>
      <c r="P30" s="6">
        <v>322.89999999999998</v>
      </c>
      <c r="Q30" s="2"/>
      <c r="R30" s="7">
        <f t="shared" si="18"/>
        <v>3.5402208115427203E-3</v>
      </c>
      <c r="S30" s="2"/>
      <c r="T30" s="6">
        <v>156.53226346153801</v>
      </c>
      <c r="U30" s="2"/>
      <c r="V30" s="7">
        <f t="shared" si="19"/>
        <v>1.380355056980053E-3</v>
      </c>
      <c r="W30" s="2"/>
      <c r="X30" s="6">
        <f t="shared" si="20"/>
        <v>166.36773653846197</v>
      </c>
      <c r="Y30" s="2"/>
      <c r="Z30" s="7">
        <f t="shared" si="21"/>
        <v>1.0628335198087815</v>
      </c>
    </row>
    <row r="31" spans="1:26" s="24" customFormat="1" hidden="1" outlineLevel="2" x14ac:dyDescent="0.3">
      <c r="A31" s="27"/>
      <c r="B31" s="11" t="str">
        <f>CONCATENATE("          ", "6115", " - ", "P.E.R.S.")</f>
        <v xml:space="preserve">          6115 - P.E.R.S.</v>
      </c>
      <c r="C31" s="11"/>
      <c r="D31" s="6">
        <v>3677.36</v>
      </c>
      <c r="E31" s="2"/>
      <c r="F31" s="7">
        <f t="shared" si="14"/>
        <v>0.54173387958097441</v>
      </c>
      <c r="G31" s="2"/>
      <c r="H31" s="6">
        <v>762.81007692307799</v>
      </c>
      <c r="I31" s="2"/>
      <c r="J31" s="7">
        <f t="shared" si="15"/>
        <v>5.002033291298872E-2</v>
      </c>
      <c r="K31" s="2"/>
      <c r="L31" s="6">
        <f t="shared" si="16"/>
        <v>2914.5499230769219</v>
      </c>
      <c r="M31" s="2"/>
      <c r="N31" s="7">
        <f t="shared" si="17"/>
        <v>3.8208067922139235</v>
      </c>
      <c r="O31" s="11"/>
      <c r="P31" s="6">
        <v>10835.91</v>
      </c>
      <c r="Q31" s="2"/>
      <c r="R31" s="7">
        <f t="shared" si="18"/>
        <v>0.11880307864355491</v>
      </c>
      <c r="S31" s="2"/>
      <c r="T31" s="6">
        <v>6013.0488846153803</v>
      </c>
      <c r="U31" s="2"/>
      <c r="V31" s="7">
        <f t="shared" si="19"/>
        <v>5.3025122439289071E-2</v>
      </c>
      <c r="W31" s="2"/>
      <c r="X31" s="6">
        <f t="shared" si="20"/>
        <v>4822.8611153846196</v>
      </c>
      <c r="Y31" s="2"/>
      <c r="Z31" s="7">
        <f t="shared" si="21"/>
        <v>0.8020658417935197</v>
      </c>
    </row>
    <row r="32" spans="1:26" s="24" customFormat="1" hidden="1" outlineLevel="2" x14ac:dyDescent="0.3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4"/>
        <v>0</v>
      </c>
      <c r="G32" s="2"/>
      <c r="H32" s="6">
        <v>0</v>
      </c>
      <c r="I32" s="2"/>
      <c r="J32" s="7">
        <f t="shared" si="15"/>
        <v>0</v>
      </c>
      <c r="K32" s="2"/>
      <c r="L32" s="6">
        <f t="shared" si="16"/>
        <v>0</v>
      </c>
      <c r="M32" s="2"/>
      <c r="N32" s="7">
        <f t="shared" si="17"/>
        <v>0</v>
      </c>
      <c r="O32" s="11"/>
      <c r="P32" s="6"/>
      <c r="Q32" s="2"/>
      <c r="R32" s="7">
        <f t="shared" si="18"/>
        <v>0</v>
      </c>
      <c r="S32" s="2"/>
      <c r="T32" s="6">
        <v>0</v>
      </c>
      <c r="U32" s="2"/>
      <c r="V32" s="7">
        <f t="shared" si="19"/>
        <v>0</v>
      </c>
      <c r="W32" s="2"/>
      <c r="X32" s="6">
        <f t="shared" si="20"/>
        <v>0</v>
      </c>
      <c r="Y32" s="2"/>
      <c r="Z32" s="7">
        <f t="shared" si="21"/>
        <v>0</v>
      </c>
    </row>
    <row r="33" spans="1:26" s="24" customFormat="1" hidden="1" outlineLevel="2" x14ac:dyDescent="0.3">
      <c r="A33" s="27"/>
      <c r="B33" s="11" t="str">
        <f>CONCATENATE("          ", "6118", " - ", "VACATION")</f>
        <v xml:space="preserve">          6118 - VACATION</v>
      </c>
      <c r="C33" s="11"/>
      <c r="D33" s="6">
        <v>639.32000000000005</v>
      </c>
      <c r="E33" s="2"/>
      <c r="F33" s="7">
        <f t="shared" si="14"/>
        <v>9.4182050137519471E-2</v>
      </c>
      <c r="G33" s="2"/>
      <c r="H33" s="6">
        <v>620.89192307692304</v>
      </c>
      <c r="I33" s="2"/>
      <c r="J33" s="7">
        <f t="shared" si="15"/>
        <v>4.0714224464060526E-2</v>
      </c>
      <c r="K33" s="2"/>
      <c r="L33" s="6">
        <f t="shared" si="16"/>
        <v>18.428076923077015</v>
      </c>
      <c r="M33" s="2"/>
      <c r="N33" s="7">
        <f t="shared" si="17"/>
        <v>2.9680007483031696E-2</v>
      </c>
      <c r="O33" s="11"/>
      <c r="P33" s="6">
        <v>4603.24</v>
      </c>
      <c r="Q33" s="2"/>
      <c r="R33" s="7">
        <f t="shared" si="18"/>
        <v>5.0469142299553772E-2</v>
      </c>
      <c r="S33" s="2"/>
      <c r="T33" s="6">
        <v>5528.3863461538403</v>
      </c>
      <c r="U33" s="2"/>
      <c r="V33" s="7">
        <f t="shared" si="19"/>
        <v>4.875120234703563E-2</v>
      </c>
      <c r="W33" s="2"/>
      <c r="X33" s="6">
        <f t="shared" si="20"/>
        <v>-925.14634615384057</v>
      </c>
      <c r="Y33" s="2"/>
      <c r="Z33" s="7">
        <f t="shared" si="21"/>
        <v>-0.16734473465254018</v>
      </c>
    </row>
    <row r="34" spans="1:26" s="24" customFormat="1" hidden="1" outlineLevel="2" x14ac:dyDescent="0.3">
      <c r="A34" s="27"/>
      <c r="B34" s="11" t="str">
        <f>CONCATENATE("          ", "6119", " - ", "SICK LEAVE")</f>
        <v xml:space="preserve">          6119 - SICK LEAVE</v>
      </c>
      <c r="C34" s="11"/>
      <c r="D34" s="6">
        <v>410.1</v>
      </c>
      <c r="E34" s="2"/>
      <c r="F34" s="7">
        <f t="shared" si="14"/>
        <v>6.041428198929602E-2</v>
      </c>
      <c r="G34" s="2"/>
      <c r="H34" s="6">
        <v>291.296538461539</v>
      </c>
      <c r="I34" s="2"/>
      <c r="J34" s="7">
        <f t="shared" si="15"/>
        <v>1.9101412358133705E-2</v>
      </c>
      <c r="K34" s="2"/>
      <c r="L34" s="6">
        <f t="shared" si="16"/>
        <v>118.80346153846102</v>
      </c>
      <c r="M34" s="2"/>
      <c r="N34" s="7">
        <f t="shared" si="17"/>
        <v>0.40784371199847641</v>
      </c>
      <c r="O34" s="11"/>
      <c r="P34" s="6">
        <v>3045.03</v>
      </c>
      <c r="Q34" s="2"/>
      <c r="R34" s="7">
        <f t="shared" si="18"/>
        <v>3.3385192250764729E-2</v>
      </c>
      <c r="S34" s="2"/>
      <c r="T34" s="6">
        <v>2658.87134615385</v>
      </c>
      <c r="U34" s="2"/>
      <c r="V34" s="7">
        <f t="shared" si="19"/>
        <v>2.3446837267670634E-2</v>
      </c>
      <c r="W34" s="2"/>
      <c r="X34" s="6">
        <f t="shared" si="20"/>
        <v>386.15865384615017</v>
      </c>
      <c r="Y34" s="2"/>
      <c r="Z34" s="7">
        <f t="shared" si="21"/>
        <v>0.14523404993052488</v>
      </c>
    </row>
    <row r="35" spans="1:26" s="24" customFormat="1" hidden="1" outlineLevel="2" x14ac:dyDescent="0.3">
      <c r="A35" s="27"/>
      <c r="B35" s="11" t="str">
        <f>CONCATENATE("          ", "6156", " - ", "EMPLOYEE MEALS")</f>
        <v xml:space="preserve">          6156 - EMPLOYEE MEALS</v>
      </c>
      <c r="C35" s="11"/>
      <c r="D35" s="6">
        <v>422.14</v>
      </c>
      <c r="E35" s="2"/>
      <c r="F35" s="7">
        <f t="shared" si="14"/>
        <v>6.2187966347138308E-2</v>
      </c>
      <c r="G35" s="2"/>
      <c r="H35" s="6">
        <v>525</v>
      </c>
      <c r="I35" s="2"/>
      <c r="J35" s="7">
        <f t="shared" si="15"/>
        <v>3.4426229508196723E-2</v>
      </c>
      <c r="K35" s="2"/>
      <c r="L35" s="6">
        <f t="shared" si="16"/>
        <v>-102.86000000000001</v>
      </c>
      <c r="M35" s="2"/>
      <c r="N35" s="7">
        <f t="shared" si="17"/>
        <v>-0.19592380952380956</v>
      </c>
      <c r="O35" s="11"/>
      <c r="P35" s="6">
        <v>2225.88</v>
      </c>
      <c r="Q35" s="2"/>
      <c r="R35" s="7">
        <f t="shared" si="18"/>
        <v>2.440417064105516E-2</v>
      </c>
      <c r="S35" s="2"/>
      <c r="T35" s="6">
        <v>2625</v>
      </c>
      <c r="U35" s="2"/>
      <c r="V35" s="7">
        <f t="shared" si="19"/>
        <v>2.3148148148148147E-2</v>
      </c>
      <c r="W35" s="2"/>
      <c r="X35" s="6">
        <f t="shared" si="20"/>
        <v>-399.11999999999989</v>
      </c>
      <c r="Y35" s="2"/>
      <c r="Z35" s="7">
        <f t="shared" si="21"/>
        <v>-0.15204571428571426</v>
      </c>
    </row>
    <row r="36" spans="1:26" s="29" customFormat="1" outlineLevel="1" collapsed="1" x14ac:dyDescent="0.3">
      <c r="A36" s="28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SUM(OSRRefD22_1x_0)</f>
        <v>91.619999999999891</v>
      </c>
      <c r="E36" s="1"/>
      <c r="F36" s="5">
        <f t="shared" ref="F36:F46" si="22">IF(D$12=0,0,D36/D$12)</f>
        <v>1.3497089772882942E-2</v>
      </c>
      <c r="G36" s="1"/>
      <c r="H36" s="1">
        <f>SUM(OSRRefH22_1x_0)</f>
        <v>8848.0961538461597</v>
      </c>
      <c r="I36" s="1"/>
      <c r="J36" s="5">
        <f t="shared" ref="J36:J46" si="23">IF(H$12=0,0,H36/H$12)</f>
        <v>0.5802030264817154</v>
      </c>
      <c r="K36" s="1"/>
      <c r="L36" s="1">
        <f t="shared" ref="L36:L46" si="24">+D36-H36</f>
        <v>-8756.4761538461607</v>
      </c>
      <c r="M36" s="1"/>
      <c r="N36" s="5">
        <f t="shared" ref="N36:N46" si="25">IF(H36=0,0,L36/H36)</f>
        <v>-0.98964523006905014</v>
      </c>
      <c r="O36" s="14"/>
      <c r="P36" s="1">
        <f>SUM(OSRRefP22_1x_0)</f>
        <v>77350.159999999989</v>
      </c>
      <c r="Q36" s="1"/>
      <c r="R36" s="5">
        <f t="shared" ref="R36:R46" si="26">IF(P$12=0,0,P36/P$12)</f>
        <v>0.84805402975583533</v>
      </c>
      <c r="S36" s="1"/>
      <c r="T36" s="1">
        <f>SUM(OSRRefT22_1x_0)</f>
        <v>66629.115384615507</v>
      </c>
      <c r="U36" s="1"/>
      <c r="V36" s="5">
        <f t="shared" ref="V36:V46" si="27">IF(T$12=0,0,T36/T$12)</f>
        <v>0.58755833672500446</v>
      </c>
      <c r="W36" s="1"/>
      <c r="X36" s="1">
        <f t="shared" ref="X36:X46" si="28">+P36-T36</f>
        <v>10721.044615384482</v>
      </c>
      <c r="Y36" s="1"/>
      <c r="Z36" s="5">
        <f t="shared" ref="Z36:Z46" si="29">IF(T36=0,0,X36/T36)</f>
        <v>0.16090630280017112</v>
      </c>
    </row>
    <row r="37" spans="1:26" s="24" customFormat="1" hidden="1" outlineLevel="2" x14ac:dyDescent="0.3">
      <c r="A37" s="27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2"/>
        <v>0</v>
      </c>
      <c r="G37" s="2"/>
      <c r="H37" s="6">
        <v>0</v>
      </c>
      <c r="I37" s="2"/>
      <c r="J37" s="7">
        <f t="shared" si="23"/>
        <v>0</v>
      </c>
      <c r="K37" s="2"/>
      <c r="L37" s="6">
        <f t="shared" si="24"/>
        <v>0</v>
      </c>
      <c r="M37" s="2"/>
      <c r="N37" s="7">
        <f t="shared" si="25"/>
        <v>0</v>
      </c>
      <c r="O37" s="11"/>
      <c r="P37" s="6"/>
      <c r="Q37" s="2"/>
      <c r="R37" s="7">
        <f t="shared" si="26"/>
        <v>0</v>
      </c>
      <c r="S37" s="2"/>
      <c r="T37" s="6">
        <v>0</v>
      </c>
      <c r="U37" s="2"/>
      <c r="V37" s="7">
        <f t="shared" si="27"/>
        <v>0</v>
      </c>
      <c r="W37" s="2"/>
      <c r="X37" s="6">
        <f t="shared" si="28"/>
        <v>0</v>
      </c>
      <c r="Y37" s="2"/>
      <c r="Z37" s="7">
        <f t="shared" si="29"/>
        <v>0</v>
      </c>
    </row>
    <row r="38" spans="1:26" s="24" customFormat="1" hidden="1" outlineLevel="2" x14ac:dyDescent="0.3">
      <c r="A38" s="27"/>
      <c r="B38" s="11" t="str">
        <f>CONCATENATE("          ", "6002", " - ", "STAFF SALARIES")</f>
        <v xml:space="preserve">          6002 - STAFF SALARIES</v>
      </c>
      <c r="C38" s="11"/>
      <c r="D38" s="6">
        <v>-1936.7</v>
      </c>
      <c r="E38" s="2"/>
      <c r="F38" s="7">
        <f t="shared" si="22"/>
        <v>-0.285306851813386</v>
      </c>
      <c r="G38" s="2"/>
      <c r="H38" s="6">
        <v>7982.8961538461599</v>
      </c>
      <c r="I38" s="2"/>
      <c r="J38" s="7">
        <f t="shared" si="23"/>
        <v>0.52346860025220721</v>
      </c>
      <c r="K38" s="2"/>
      <c r="L38" s="6">
        <f t="shared" si="24"/>
        <v>-9919.5961538461597</v>
      </c>
      <c r="M38" s="2"/>
      <c r="N38" s="7">
        <f t="shared" si="25"/>
        <v>-1.2426061873630785</v>
      </c>
      <c r="O38" s="11"/>
      <c r="P38" s="6">
        <v>66261.009999999995</v>
      </c>
      <c r="Q38" s="2"/>
      <c r="R38" s="7">
        <f t="shared" si="26"/>
        <v>0.72647447072109106</v>
      </c>
      <c r="S38" s="2"/>
      <c r="T38" s="6">
        <v>61870.515384615501</v>
      </c>
      <c r="U38" s="2"/>
      <c r="V38" s="7">
        <f t="shared" si="27"/>
        <v>0.54559537376204148</v>
      </c>
      <c r="W38" s="2"/>
      <c r="X38" s="6">
        <f t="shared" si="28"/>
        <v>4390.494615384494</v>
      </c>
      <c r="Y38" s="2"/>
      <c r="Z38" s="7">
        <f t="shared" si="29"/>
        <v>7.0962632008011658E-2</v>
      </c>
    </row>
    <row r="39" spans="1:26" s="24" customFormat="1" hidden="1" outlineLevel="2" x14ac:dyDescent="0.3">
      <c r="A39" s="27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2"/>
        <v>0</v>
      </c>
      <c r="G39" s="2"/>
      <c r="H39" s="6">
        <v>0</v>
      </c>
      <c r="I39" s="2"/>
      <c r="J39" s="7">
        <f t="shared" si="23"/>
        <v>0</v>
      </c>
      <c r="K39" s="2"/>
      <c r="L39" s="6">
        <f t="shared" si="24"/>
        <v>0</v>
      </c>
      <c r="M39" s="2"/>
      <c r="N39" s="7">
        <f t="shared" si="25"/>
        <v>0</v>
      </c>
      <c r="O39" s="11"/>
      <c r="P39" s="6"/>
      <c r="Q39" s="2"/>
      <c r="R39" s="7">
        <f t="shared" si="26"/>
        <v>0</v>
      </c>
      <c r="S39" s="2"/>
      <c r="T39" s="6">
        <v>0</v>
      </c>
      <c r="U39" s="2"/>
      <c r="V39" s="7">
        <f t="shared" si="27"/>
        <v>0</v>
      </c>
      <c r="W39" s="2"/>
      <c r="X39" s="6">
        <f t="shared" si="28"/>
        <v>0</v>
      </c>
      <c r="Y39" s="2"/>
      <c r="Z39" s="7">
        <f t="shared" si="29"/>
        <v>0</v>
      </c>
    </row>
    <row r="40" spans="1:26" s="24" customFormat="1" hidden="1" outlineLevel="2" x14ac:dyDescent="0.3">
      <c r="A40" s="27"/>
      <c r="B40" s="11" t="str">
        <f>CONCATENATE("          ", "6004", " - ", "STAFF HOURLY")</f>
        <v xml:space="preserve">          6004 - STAFF HOURLY</v>
      </c>
      <c r="C40" s="11"/>
      <c r="D40" s="6"/>
      <c r="E40" s="2"/>
      <c r="F40" s="7">
        <f t="shared" si="22"/>
        <v>0</v>
      </c>
      <c r="G40" s="2"/>
      <c r="H40" s="6">
        <v>0</v>
      </c>
      <c r="I40" s="2"/>
      <c r="J40" s="7">
        <f t="shared" si="23"/>
        <v>0</v>
      </c>
      <c r="K40" s="2"/>
      <c r="L40" s="6">
        <f t="shared" si="24"/>
        <v>0</v>
      </c>
      <c r="M40" s="2"/>
      <c r="N40" s="7">
        <f t="shared" si="25"/>
        <v>0</v>
      </c>
      <c r="O40" s="11"/>
      <c r="P40" s="6"/>
      <c r="Q40" s="2"/>
      <c r="R40" s="7">
        <f t="shared" si="26"/>
        <v>0</v>
      </c>
      <c r="S40" s="2"/>
      <c r="T40" s="6">
        <v>0</v>
      </c>
      <c r="U40" s="2"/>
      <c r="V40" s="7">
        <f t="shared" si="27"/>
        <v>0</v>
      </c>
      <c r="W40" s="2"/>
      <c r="X40" s="6">
        <f t="shared" si="28"/>
        <v>0</v>
      </c>
      <c r="Y40" s="2"/>
      <c r="Z40" s="7">
        <f t="shared" si="29"/>
        <v>0</v>
      </c>
    </row>
    <row r="41" spans="1:26" s="24" customFormat="1" hidden="1" outlineLevel="2" x14ac:dyDescent="0.3">
      <c r="A41" s="27"/>
      <c r="B41" s="11" t="str">
        <f>CONCATENATE("          ", "6005", " - ", "TEMPORARY WAGES-HOURLY")</f>
        <v xml:space="preserve">          6005 - TEMPORARY WAGES-HOURLY</v>
      </c>
      <c r="C41" s="11"/>
      <c r="D41" s="6"/>
      <c r="E41" s="2"/>
      <c r="F41" s="7">
        <f t="shared" si="22"/>
        <v>0</v>
      </c>
      <c r="G41" s="2"/>
      <c r="H41" s="6">
        <v>0</v>
      </c>
      <c r="I41" s="2"/>
      <c r="J41" s="7">
        <f t="shared" si="23"/>
        <v>0</v>
      </c>
      <c r="K41" s="2"/>
      <c r="L41" s="6">
        <f t="shared" si="24"/>
        <v>0</v>
      </c>
      <c r="M41" s="2"/>
      <c r="N41" s="7">
        <f t="shared" si="25"/>
        <v>0</v>
      </c>
      <c r="O41" s="11"/>
      <c r="P41" s="6"/>
      <c r="Q41" s="2"/>
      <c r="R41" s="7">
        <f t="shared" si="26"/>
        <v>0</v>
      </c>
      <c r="S41" s="2"/>
      <c r="T41" s="6">
        <v>0</v>
      </c>
      <c r="U41" s="2"/>
      <c r="V41" s="7">
        <f t="shared" si="27"/>
        <v>0</v>
      </c>
      <c r="W41" s="2"/>
      <c r="X41" s="6">
        <f t="shared" si="28"/>
        <v>0</v>
      </c>
      <c r="Y41" s="2"/>
      <c r="Z41" s="7">
        <f t="shared" si="29"/>
        <v>0</v>
      </c>
    </row>
    <row r="42" spans="1:26" s="24" customFormat="1" hidden="1" outlineLevel="2" x14ac:dyDescent="0.3">
      <c r="A42" s="27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2"/>
        <v>0</v>
      </c>
      <c r="G42" s="2"/>
      <c r="H42" s="6">
        <v>0</v>
      </c>
      <c r="I42" s="2"/>
      <c r="J42" s="7">
        <f t="shared" si="23"/>
        <v>0</v>
      </c>
      <c r="K42" s="2"/>
      <c r="L42" s="6">
        <f t="shared" si="24"/>
        <v>0</v>
      </c>
      <c r="M42" s="2"/>
      <c r="N42" s="7">
        <f t="shared" si="25"/>
        <v>0</v>
      </c>
      <c r="O42" s="11"/>
      <c r="P42" s="6"/>
      <c r="Q42" s="2"/>
      <c r="R42" s="7">
        <f t="shared" si="26"/>
        <v>0</v>
      </c>
      <c r="S42" s="2"/>
      <c r="T42" s="6">
        <v>0</v>
      </c>
      <c r="U42" s="2"/>
      <c r="V42" s="7">
        <f t="shared" si="27"/>
        <v>0</v>
      </c>
      <c r="W42" s="2"/>
      <c r="X42" s="6">
        <f t="shared" si="28"/>
        <v>0</v>
      </c>
      <c r="Y42" s="2"/>
      <c r="Z42" s="7">
        <f t="shared" si="29"/>
        <v>0</v>
      </c>
    </row>
    <row r="43" spans="1:26" s="24" customFormat="1" hidden="1" outlineLevel="2" x14ac:dyDescent="0.3">
      <c r="A43" s="27"/>
      <c r="B43" s="11" t="str">
        <f>CONCATENATE("          ", "6007", " - ", "STUDENT HOURLY")</f>
        <v xml:space="preserve">          6007 - STUDENT HOURLY</v>
      </c>
      <c r="C43" s="11"/>
      <c r="D43" s="6">
        <v>2028.32</v>
      </c>
      <c r="E43" s="2"/>
      <c r="F43" s="7">
        <f t="shared" si="22"/>
        <v>0.29880394158626894</v>
      </c>
      <c r="G43" s="2"/>
      <c r="H43" s="6">
        <v>865.2</v>
      </c>
      <c r="I43" s="2"/>
      <c r="J43" s="7">
        <f t="shared" si="23"/>
        <v>5.6734426229508202E-2</v>
      </c>
      <c r="K43" s="2"/>
      <c r="L43" s="6">
        <f t="shared" si="24"/>
        <v>1163.1199999999999</v>
      </c>
      <c r="M43" s="2"/>
      <c r="N43" s="7">
        <f t="shared" si="25"/>
        <v>1.3443365695792879</v>
      </c>
      <c r="O43" s="11"/>
      <c r="P43" s="6">
        <v>11089.15</v>
      </c>
      <c r="Q43" s="2"/>
      <c r="R43" s="7">
        <f t="shared" si="26"/>
        <v>0.12157955903474438</v>
      </c>
      <c r="S43" s="2"/>
      <c r="T43" s="6">
        <v>4758.6000000000004</v>
      </c>
      <c r="U43" s="2"/>
      <c r="V43" s="7">
        <f t="shared" si="27"/>
        <v>4.1962962962962966E-2</v>
      </c>
      <c r="W43" s="2"/>
      <c r="X43" s="6">
        <f t="shared" si="28"/>
        <v>6330.5499999999993</v>
      </c>
      <c r="Y43" s="2"/>
      <c r="Z43" s="7">
        <f t="shared" si="29"/>
        <v>1.3303387550960364</v>
      </c>
    </row>
    <row r="44" spans="1:26" s="24" customFormat="1" hidden="1" outlineLevel="2" x14ac:dyDescent="0.3">
      <c r="A44" s="27"/>
      <c r="B44" s="11" t="str">
        <f>CONCATENATE("          ", "6008", " - ", "STUDENT HOURLY-FICA EXEMPT")</f>
        <v xml:space="preserve">          6008 - STUDENT HOURLY-FICA EXEMPT</v>
      </c>
      <c r="C44" s="11"/>
      <c r="D44" s="6"/>
      <c r="E44" s="2"/>
      <c r="F44" s="7">
        <f t="shared" si="22"/>
        <v>0</v>
      </c>
      <c r="G44" s="2"/>
      <c r="H44" s="6">
        <v>0</v>
      </c>
      <c r="I44" s="2"/>
      <c r="J44" s="7">
        <f t="shared" si="23"/>
        <v>0</v>
      </c>
      <c r="K44" s="2"/>
      <c r="L44" s="6">
        <f t="shared" si="24"/>
        <v>0</v>
      </c>
      <c r="M44" s="2"/>
      <c r="N44" s="7">
        <f t="shared" si="25"/>
        <v>0</v>
      </c>
      <c r="O44" s="11"/>
      <c r="P44" s="6"/>
      <c r="Q44" s="2"/>
      <c r="R44" s="7">
        <f t="shared" si="26"/>
        <v>0</v>
      </c>
      <c r="S44" s="2"/>
      <c r="T44" s="6">
        <v>0</v>
      </c>
      <c r="U44" s="2"/>
      <c r="V44" s="7">
        <f t="shared" si="27"/>
        <v>0</v>
      </c>
      <c r="W44" s="2"/>
      <c r="X44" s="6">
        <f t="shared" si="28"/>
        <v>0</v>
      </c>
      <c r="Y44" s="2"/>
      <c r="Z44" s="7">
        <f t="shared" si="29"/>
        <v>0</v>
      </c>
    </row>
    <row r="45" spans="1:26" s="24" customFormat="1" hidden="1" outlineLevel="2" x14ac:dyDescent="0.3">
      <c r="A45" s="27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2"/>
        <v>0</v>
      </c>
      <c r="G45" s="2"/>
      <c r="H45" s="6">
        <v>0</v>
      </c>
      <c r="I45" s="2"/>
      <c r="J45" s="7">
        <f t="shared" si="23"/>
        <v>0</v>
      </c>
      <c r="K45" s="2"/>
      <c r="L45" s="6">
        <f t="shared" si="24"/>
        <v>0</v>
      </c>
      <c r="M45" s="2"/>
      <c r="N45" s="7">
        <f t="shared" si="25"/>
        <v>0</v>
      </c>
      <c r="O45" s="11"/>
      <c r="P45" s="6"/>
      <c r="Q45" s="2"/>
      <c r="R45" s="7">
        <f t="shared" si="26"/>
        <v>0</v>
      </c>
      <c r="S45" s="2"/>
      <c r="T45" s="6">
        <v>0</v>
      </c>
      <c r="U45" s="2"/>
      <c r="V45" s="7">
        <f t="shared" si="27"/>
        <v>0</v>
      </c>
      <c r="W45" s="2"/>
      <c r="X45" s="6">
        <f t="shared" si="28"/>
        <v>0</v>
      </c>
      <c r="Y45" s="2"/>
      <c r="Z45" s="7">
        <f t="shared" si="29"/>
        <v>0</v>
      </c>
    </row>
    <row r="46" spans="1:26" s="24" customFormat="1" hidden="1" outlineLevel="2" x14ac:dyDescent="0.3">
      <c r="A46" s="27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2"/>
        <v>0</v>
      </c>
      <c r="G46" s="2"/>
      <c r="H46" s="6">
        <v>0</v>
      </c>
      <c r="I46" s="2"/>
      <c r="J46" s="7">
        <f t="shared" si="23"/>
        <v>0</v>
      </c>
      <c r="K46" s="2"/>
      <c r="L46" s="6">
        <f t="shared" si="24"/>
        <v>0</v>
      </c>
      <c r="M46" s="2"/>
      <c r="N46" s="7">
        <f t="shared" si="25"/>
        <v>0</v>
      </c>
      <c r="O46" s="11"/>
      <c r="P46" s="6"/>
      <c r="Q46" s="2"/>
      <c r="R46" s="7">
        <f t="shared" si="26"/>
        <v>0</v>
      </c>
      <c r="S46" s="2"/>
      <c r="T46" s="6">
        <v>0</v>
      </c>
      <c r="U46" s="2"/>
      <c r="V46" s="7">
        <f t="shared" si="27"/>
        <v>0</v>
      </c>
      <c r="W46" s="2"/>
      <c r="X46" s="6">
        <f t="shared" si="28"/>
        <v>0</v>
      </c>
      <c r="Y46" s="2"/>
      <c r="Z46" s="7">
        <f t="shared" si="29"/>
        <v>0</v>
      </c>
    </row>
    <row r="47" spans="1:26" s="29" customFormat="1" outlineLevel="1" collapsed="1" x14ac:dyDescent="0.3">
      <c r="A47" s="28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SUM(OSRRefD22_2x_0)</f>
        <v>0</v>
      </c>
      <c r="E47" s="1"/>
      <c r="F47" s="5">
        <f t="shared" ref="F47:F55" si="30">IF(D$12=0,0,D47/D$12)</f>
        <v>0</v>
      </c>
      <c r="G47" s="1"/>
      <c r="H47" s="1">
        <f>SUM(OSRRefH22_2x_0)</f>
        <v>50</v>
      </c>
      <c r="I47" s="1"/>
      <c r="J47" s="5">
        <f t="shared" ref="J47:J55" si="31">IF(H$12=0,0,H47/H$12)</f>
        <v>3.2786885245901639E-3</v>
      </c>
      <c r="K47" s="1"/>
      <c r="L47" s="1">
        <f t="shared" ref="L47:L55" si="32">+D47-H47</f>
        <v>-50</v>
      </c>
      <c r="M47" s="1"/>
      <c r="N47" s="5">
        <f t="shared" ref="N47:N55" si="33">IF(H47=0,0,L47/H47)</f>
        <v>-1</v>
      </c>
      <c r="O47" s="14"/>
      <c r="P47" s="1">
        <f>SUM(OSRRefP22_2x_0)</f>
        <v>97.75</v>
      </c>
      <c r="Q47" s="1"/>
      <c r="R47" s="5">
        <f t="shared" ref="R47:R55" si="34">IF(P$12=0,0,P47/P$12)</f>
        <v>1.0717144141477266E-3</v>
      </c>
      <c r="S47" s="1"/>
      <c r="T47" s="1">
        <f>SUM(OSRRefT22_2x_0)</f>
        <v>250</v>
      </c>
      <c r="U47" s="1"/>
      <c r="V47" s="5">
        <f t="shared" ref="V47:V55" si="35">IF(T$12=0,0,T47/T$12)</f>
        <v>2.2045855379188711E-3</v>
      </c>
      <c r="W47" s="1"/>
      <c r="X47" s="1">
        <f t="shared" ref="X47:X55" si="36">+P47-T47</f>
        <v>-152.25</v>
      </c>
      <c r="Y47" s="1"/>
      <c r="Z47" s="5">
        <f t="shared" ref="Z47:Z55" si="37">IF(T47=0,0,X47/T47)</f>
        <v>-0.60899999999999999</v>
      </c>
    </row>
    <row r="48" spans="1:26" s="24" customFormat="1" hidden="1" outlineLevel="2" x14ac:dyDescent="0.3">
      <c r="A48" s="27"/>
      <c r="B48" s="11" t="str">
        <f>CONCATENATE("          ", "6362", " - ", "ADVERTISING EXPENSE")</f>
        <v xml:space="preserve">          6362 - ADVERTISING EXPENSE</v>
      </c>
      <c r="C48" s="11"/>
      <c r="D48" s="6"/>
      <c r="E48" s="2"/>
      <c r="F48" s="7">
        <f t="shared" si="30"/>
        <v>0</v>
      </c>
      <c r="G48" s="2"/>
      <c r="H48" s="6">
        <v>50</v>
      </c>
      <c r="I48" s="2"/>
      <c r="J48" s="7">
        <f t="shared" si="31"/>
        <v>3.2786885245901639E-3</v>
      </c>
      <c r="K48" s="2"/>
      <c r="L48" s="6">
        <f t="shared" si="32"/>
        <v>-50</v>
      </c>
      <c r="M48" s="2"/>
      <c r="N48" s="7">
        <f t="shared" si="33"/>
        <v>-1</v>
      </c>
      <c r="O48" s="11"/>
      <c r="P48" s="6">
        <v>97.75</v>
      </c>
      <c r="Q48" s="2"/>
      <c r="R48" s="7">
        <f t="shared" si="34"/>
        <v>1.0717144141477266E-3</v>
      </c>
      <c r="S48" s="2"/>
      <c r="T48" s="6">
        <v>250</v>
      </c>
      <c r="U48" s="2"/>
      <c r="V48" s="7">
        <f t="shared" si="35"/>
        <v>2.2045855379188711E-3</v>
      </c>
      <c r="W48" s="2"/>
      <c r="X48" s="6">
        <f t="shared" si="36"/>
        <v>-152.25</v>
      </c>
      <c r="Y48" s="2"/>
      <c r="Z48" s="7">
        <f t="shared" si="37"/>
        <v>-0.60899999999999999</v>
      </c>
    </row>
    <row r="49" spans="1:26" s="29" customFormat="1" outlineLevel="1" collapsed="1" x14ac:dyDescent="0.3">
      <c r="A49" s="28"/>
      <c r="B49" s="14" t="str">
        <f>CONCATENATE("     ","Depreciation                                      ")</f>
        <v xml:space="preserve">     Depreciation                                      </v>
      </c>
      <c r="C49" s="14"/>
      <c r="D49" s="1">
        <f>SUM(OSRRefD22_3x_0)</f>
        <v>169.88</v>
      </c>
      <c r="E49" s="1"/>
      <c r="F49" s="5">
        <f t="shared" si="30"/>
        <v>2.502603809885786E-2</v>
      </c>
      <c r="G49" s="1"/>
      <c r="H49" s="1">
        <f>SUM(OSRRefH22_3x_0)</f>
        <v>170</v>
      </c>
      <c r="I49" s="1"/>
      <c r="J49" s="5">
        <f t="shared" si="31"/>
        <v>1.1147540983606558E-2</v>
      </c>
      <c r="K49" s="1"/>
      <c r="L49" s="1">
        <f t="shared" si="32"/>
        <v>-0.12000000000000455</v>
      </c>
      <c r="M49" s="1"/>
      <c r="N49" s="5">
        <f t="shared" si="33"/>
        <v>-7.0588235294120319E-4</v>
      </c>
      <c r="O49" s="14"/>
      <c r="P49" s="1">
        <f>SUM(OSRRefP22_3x_0)</f>
        <v>849.4</v>
      </c>
      <c r="Q49" s="1"/>
      <c r="R49" s="5">
        <f t="shared" si="34"/>
        <v>9.3126774770033657E-3</v>
      </c>
      <c r="S49" s="1"/>
      <c r="T49" s="1">
        <f>SUM(OSRRefT22_3x_0)</f>
        <v>850</v>
      </c>
      <c r="U49" s="1"/>
      <c r="V49" s="5">
        <f t="shared" si="35"/>
        <v>7.4955908289241618E-3</v>
      </c>
      <c r="W49" s="1"/>
      <c r="X49" s="1">
        <f t="shared" si="36"/>
        <v>-0.60000000000002274</v>
      </c>
      <c r="Y49" s="1"/>
      <c r="Z49" s="5">
        <f t="shared" si="37"/>
        <v>-7.0588235294120319E-4</v>
      </c>
    </row>
    <row r="50" spans="1:26" s="24" customFormat="1" hidden="1" outlineLevel="2" x14ac:dyDescent="0.3">
      <c r="A50" s="27"/>
      <c r="B50" s="11" t="str">
        <f>CONCATENATE("          ", "6322", " - ", "EQUIPMENT DEPRECIATION EXPENSE")</f>
        <v xml:space="preserve">          6322 - EQUIPMENT DEPRECIATION EXPENSE</v>
      </c>
      <c r="C50" s="11"/>
      <c r="D50" s="6">
        <v>169.88</v>
      </c>
      <c r="E50" s="2"/>
      <c r="F50" s="7">
        <f t="shared" si="30"/>
        <v>2.502603809885786E-2</v>
      </c>
      <c r="G50" s="2"/>
      <c r="H50" s="6">
        <v>170</v>
      </c>
      <c r="I50" s="2"/>
      <c r="J50" s="7">
        <f t="shared" si="31"/>
        <v>1.1147540983606558E-2</v>
      </c>
      <c r="K50" s="2"/>
      <c r="L50" s="6">
        <f t="shared" si="32"/>
        <v>-0.12000000000000455</v>
      </c>
      <c r="M50" s="2"/>
      <c r="N50" s="7">
        <f t="shared" si="33"/>
        <v>-7.0588235294120319E-4</v>
      </c>
      <c r="O50" s="11"/>
      <c r="P50" s="6">
        <v>849.4</v>
      </c>
      <c r="Q50" s="2"/>
      <c r="R50" s="7">
        <f t="shared" si="34"/>
        <v>9.3126774770033657E-3</v>
      </c>
      <c r="S50" s="2"/>
      <c r="T50" s="6">
        <v>850</v>
      </c>
      <c r="U50" s="2"/>
      <c r="V50" s="7">
        <f t="shared" si="35"/>
        <v>7.4955908289241618E-3</v>
      </c>
      <c r="W50" s="2"/>
      <c r="X50" s="6">
        <f t="shared" si="36"/>
        <v>-0.60000000000002274</v>
      </c>
      <c r="Y50" s="2"/>
      <c r="Z50" s="7">
        <f t="shared" si="37"/>
        <v>-7.0588235294120319E-4</v>
      </c>
    </row>
    <row r="51" spans="1:26" s="29" customFormat="1" outlineLevel="1" collapsed="1" x14ac:dyDescent="0.3">
      <c r="A51" s="28"/>
      <c r="B51" s="14" t="str">
        <f>CONCATENATE("     ","Equipment Rental                                  ")</f>
        <v xml:space="preserve">     Equipment Rental                                  </v>
      </c>
      <c r="C51" s="14"/>
      <c r="D51" s="1">
        <f>SUM(OSRRefD22_4x_0)</f>
        <v>1205.6400000000001</v>
      </c>
      <c r="E51" s="1"/>
      <c r="F51" s="5">
        <f t="shared" si="30"/>
        <v>0.17761003398579581</v>
      </c>
      <c r="G51" s="1"/>
      <c r="H51" s="1">
        <f>SUM(OSRRefH22_4x_0)</f>
        <v>1300</v>
      </c>
      <c r="I51" s="1"/>
      <c r="J51" s="5">
        <f t="shared" si="31"/>
        <v>8.5245901639344257E-2</v>
      </c>
      <c r="K51" s="1"/>
      <c r="L51" s="1">
        <f t="shared" si="32"/>
        <v>-94.3599999999999</v>
      </c>
      <c r="M51" s="1"/>
      <c r="N51" s="5">
        <f t="shared" si="33"/>
        <v>-7.2584615384615303E-2</v>
      </c>
      <c r="O51" s="14"/>
      <c r="P51" s="1">
        <f>SUM(OSRRefP22_4x_0)</f>
        <v>6028.2</v>
      </c>
      <c r="Q51" s="1"/>
      <c r="R51" s="5">
        <f t="shared" si="34"/>
        <v>6.609216195770154E-2</v>
      </c>
      <c r="S51" s="1"/>
      <c r="T51" s="1">
        <f>SUM(OSRRefT22_4x_0)</f>
        <v>6300</v>
      </c>
      <c r="U51" s="1"/>
      <c r="V51" s="5">
        <f t="shared" si="35"/>
        <v>5.5555555555555552E-2</v>
      </c>
      <c r="W51" s="1"/>
      <c r="X51" s="1">
        <f t="shared" si="36"/>
        <v>-271.80000000000018</v>
      </c>
      <c r="Y51" s="1"/>
      <c r="Z51" s="5">
        <f t="shared" si="37"/>
        <v>-4.314285714285717E-2</v>
      </c>
    </row>
    <row r="52" spans="1:26" s="24" customFormat="1" hidden="1" outlineLevel="2" x14ac:dyDescent="0.3">
      <c r="A52" s="27"/>
      <c r="B52" s="11" t="str">
        <f>CONCATENATE("          ", "6351", " - ", "EQUIPMENT RENTAL")</f>
        <v xml:space="preserve">          6351 - EQUIPMENT RENTAL</v>
      </c>
      <c r="C52" s="11"/>
      <c r="D52" s="6">
        <v>1205.6400000000001</v>
      </c>
      <c r="E52" s="2"/>
      <c r="F52" s="7">
        <f t="shared" si="30"/>
        <v>0.17761003398579581</v>
      </c>
      <c r="G52" s="2"/>
      <c r="H52" s="6">
        <v>1300</v>
      </c>
      <c r="I52" s="2"/>
      <c r="J52" s="7">
        <f t="shared" si="31"/>
        <v>8.5245901639344257E-2</v>
      </c>
      <c r="K52" s="2"/>
      <c r="L52" s="6">
        <f t="shared" si="32"/>
        <v>-94.3599999999999</v>
      </c>
      <c r="M52" s="2"/>
      <c r="N52" s="7">
        <f t="shared" si="33"/>
        <v>-7.2584615384615303E-2</v>
      </c>
      <c r="O52" s="11"/>
      <c r="P52" s="6">
        <v>6028.2</v>
      </c>
      <c r="Q52" s="2"/>
      <c r="R52" s="7">
        <f t="shared" si="34"/>
        <v>6.609216195770154E-2</v>
      </c>
      <c r="S52" s="2"/>
      <c r="T52" s="6">
        <v>6300</v>
      </c>
      <c r="U52" s="2"/>
      <c r="V52" s="7">
        <f t="shared" si="35"/>
        <v>5.5555555555555552E-2</v>
      </c>
      <c r="W52" s="2"/>
      <c r="X52" s="6">
        <f t="shared" si="36"/>
        <v>-271.80000000000018</v>
      </c>
      <c r="Y52" s="2"/>
      <c r="Z52" s="7">
        <f t="shared" si="37"/>
        <v>-4.314285714285717E-2</v>
      </c>
    </row>
    <row r="53" spans="1:26" s="29" customFormat="1" outlineLevel="1" collapsed="1" x14ac:dyDescent="0.3">
      <c r="A53" s="28"/>
      <c r="B53" s="14" t="str">
        <f>CONCATENATE("     ","Freight out/Postage                               ")</f>
        <v xml:space="preserve">     Freight out/Postage                               </v>
      </c>
      <c r="C53" s="14"/>
      <c r="D53" s="1">
        <f>SUM(OSRRefD22_5x_0)</f>
        <v>-3785.619999999999</v>
      </c>
      <c r="E53" s="1"/>
      <c r="F53" s="5">
        <f t="shared" si="30"/>
        <v>-0.55768230720389844</v>
      </c>
      <c r="G53" s="1"/>
      <c r="H53" s="1">
        <f>SUM(OSRRefH22_5x_0)</f>
        <v>7500</v>
      </c>
      <c r="I53" s="1"/>
      <c r="J53" s="5">
        <f t="shared" si="31"/>
        <v>0.49180327868852458</v>
      </c>
      <c r="K53" s="1"/>
      <c r="L53" s="1">
        <f t="shared" si="32"/>
        <v>-11285.619999999999</v>
      </c>
      <c r="M53" s="1"/>
      <c r="N53" s="5">
        <f t="shared" si="33"/>
        <v>-1.5047493333333333</v>
      </c>
      <c r="O53" s="14"/>
      <c r="P53" s="1">
        <f>SUM(OSRRefP22_5x_0)</f>
        <v>-42973.159999999996</v>
      </c>
      <c r="Q53" s="1"/>
      <c r="R53" s="5">
        <f t="shared" si="34"/>
        <v>-0.47115043471587231</v>
      </c>
      <c r="S53" s="1"/>
      <c r="T53" s="1">
        <f>SUM(OSRRefT22_5x_0)</f>
        <v>1500</v>
      </c>
      <c r="U53" s="1"/>
      <c r="V53" s="5">
        <f t="shared" si="35"/>
        <v>1.3227513227513227E-2</v>
      </c>
      <c r="W53" s="1"/>
      <c r="X53" s="1">
        <f t="shared" si="36"/>
        <v>-44473.159999999996</v>
      </c>
      <c r="Y53" s="1"/>
      <c r="Z53" s="5">
        <f t="shared" si="37"/>
        <v>-29.648773333333331</v>
      </c>
    </row>
    <row r="54" spans="1:26" s="24" customFormat="1" hidden="1" outlineLevel="2" x14ac:dyDescent="0.3">
      <c r="A54" s="27"/>
      <c r="B54" s="11" t="str">
        <f>CONCATENATE("          ", "6305", " - ", "FREIGHT OUT")</f>
        <v xml:space="preserve">          6305 - FREIGHT OUT</v>
      </c>
      <c r="C54" s="11"/>
      <c r="D54" s="6">
        <v>8941.11</v>
      </c>
      <c r="E54" s="2"/>
      <c r="F54" s="7">
        <f t="shared" si="30"/>
        <v>1.3171683512248586</v>
      </c>
      <c r="G54" s="2"/>
      <c r="H54" s="6">
        <v>12000</v>
      </c>
      <c r="I54" s="2"/>
      <c r="J54" s="7">
        <f t="shared" si="31"/>
        <v>0.78688524590163933</v>
      </c>
      <c r="K54" s="2"/>
      <c r="L54" s="6">
        <f t="shared" si="32"/>
        <v>-3058.8899999999994</v>
      </c>
      <c r="M54" s="2"/>
      <c r="N54" s="7">
        <f t="shared" si="33"/>
        <v>-0.25490749999999995</v>
      </c>
      <c r="O54" s="11"/>
      <c r="P54" s="6">
        <v>62421.9</v>
      </c>
      <c r="Q54" s="2"/>
      <c r="R54" s="7">
        <f t="shared" si="34"/>
        <v>0.68438312008683355</v>
      </c>
      <c r="S54" s="2"/>
      <c r="T54" s="6">
        <v>83300</v>
      </c>
      <c r="U54" s="2"/>
      <c r="V54" s="7">
        <f t="shared" si="35"/>
        <v>0.73456790123456794</v>
      </c>
      <c r="W54" s="2"/>
      <c r="X54" s="6">
        <f t="shared" si="36"/>
        <v>-20878.099999999999</v>
      </c>
      <c r="Y54" s="2"/>
      <c r="Z54" s="7">
        <f t="shared" si="37"/>
        <v>-0.2506374549819928</v>
      </c>
    </row>
    <row r="55" spans="1:26" s="24" customFormat="1" hidden="1" outlineLevel="2" x14ac:dyDescent="0.3">
      <c r="A55" s="27"/>
      <c r="B55" s="11" t="str">
        <f>CONCATENATE("          ", "6307", " - ", "POSTAGE")</f>
        <v xml:space="preserve">          6307 - POSTAGE</v>
      </c>
      <c r="C55" s="11"/>
      <c r="D55" s="6">
        <v>-12726.73</v>
      </c>
      <c r="E55" s="2"/>
      <c r="F55" s="7">
        <f t="shared" si="30"/>
        <v>-1.8748506584287572</v>
      </c>
      <c r="G55" s="2"/>
      <c r="H55" s="6">
        <v>-4500</v>
      </c>
      <c r="I55" s="2"/>
      <c r="J55" s="7">
        <f t="shared" si="31"/>
        <v>-0.29508196721311475</v>
      </c>
      <c r="K55" s="2"/>
      <c r="L55" s="6">
        <f t="shared" si="32"/>
        <v>-8226.73</v>
      </c>
      <c r="M55" s="2"/>
      <c r="N55" s="7">
        <f t="shared" si="33"/>
        <v>1.828162222222222</v>
      </c>
      <c r="O55" s="11"/>
      <c r="P55" s="6">
        <v>-105395.06</v>
      </c>
      <c r="Q55" s="2"/>
      <c r="R55" s="7">
        <f t="shared" si="34"/>
        <v>-1.1555335548027059</v>
      </c>
      <c r="S55" s="2"/>
      <c r="T55" s="6">
        <v>-81800</v>
      </c>
      <c r="U55" s="2"/>
      <c r="V55" s="7">
        <f t="shared" si="35"/>
        <v>-0.72134038800705469</v>
      </c>
      <c r="W55" s="2"/>
      <c r="X55" s="6">
        <f t="shared" si="36"/>
        <v>-23595.059999999998</v>
      </c>
      <c r="Y55" s="2"/>
      <c r="Z55" s="7">
        <f t="shared" si="37"/>
        <v>0.28844816625916869</v>
      </c>
    </row>
    <row r="56" spans="1:26" s="29" customFormat="1" outlineLevel="1" collapsed="1" x14ac:dyDescent="0.3">
      <c r="A56" s="28"/>
      <c r="B56" s="14" t="str">
        <f>CONCATENATE("     ","General                                           ")</f>
        <v xml:space="preserve">     General                                           </v>
      </c>
      <c r="C56" s="14"/>
      <c r="D56" s="1">
        <f>SUM(OSRRefD22_6x_0)</f>
        <v>0</v>
      </c>
      <c r="E56" s="1"/>
      <c r="F56" s="5">
        <f t="shared" ref="F56:F61" si="38">IF(D$12=0,0,D56/D$12)</f>
        <v>0</v>
      </c>
      <c r="G56" s="1"/>
      <c r="H56" s="1">
        <f>SUM(OSRRefH22_6x_0)</f>
        <v>0</v>
      </c>
      <c r="I56" s="1"/>
      <c r="J56" s="5">
        <f t="shared" ref="J56:J61" si="39">IF(H$12=0,0,H56/H$12)</f>
        <v>0</v>
      </c>
      <c r="K56" s="1"/>
      <c r="L56" s="1">
        <f t="shared" ref="L56:L61" si="40">+D56-H56</f>
        <v>0</v>
      </c>
      <c r="M56" s="1"/>
      <c r="N56" s="5">
        <f t="shared" ref="N56:N61" si="41">IF(H56=0,0,L56/H56)</f>
        <v>0</v>
      </c>
      <c r="O56" s="14"/>
      <c r="P56" s="1">
        <f>SUM(OSRRefP22_6x_0)</f>
        <v>91.31</v>
      </c>
      <c r="Q56" s="1"/>
      <c r="R56" s="5">
        <f t="shared" ref="R56:R61" si="42">IF(P$12=0,0,P56/P$12)</f>
        <v>1.0011073468627E-3</v>
      </c>
      <c r="S56" s="1"/>
      <c r="T56" s="1">
        <f>SUM(OSRRefT22_6x_0)</f>
        <v>0</v>
      </c>
      <c r="U56" s="1"/>
      <c r="V56" s="5">
        <f t="shared" ref="V56:V61" si="43">IF(T$12=0,0,T56/T$12)</f>
        <v>0</v>
      </c>
      <c r="W56" s="1"/>
      <c r="X56" s="1">
        <f t="shared" ref="X56:X61" si="44">+P56-T56</f>
        <v>91.31</v>
      </c>
      <c r="Y56" s="1"/>
      <c r="Z56" s="5">
        <f t="shared" ref="Z56:Z61" si="45">IF(T56=0,0,X56/T56)</f>
        <v>0</v>
      </c>
    </row>
    <row r="57" spans="1:26" s="24" customFormat="1" hidden="1" outlineLevel="2" x14ac:dyDescent="0.3">
      <c r="A57" s="27"/>
      <c r="B57" s="11" t="str">
        <f>CONCATENATE("          ", "6279", " - ", "GENERAL EXPENSE")</f>
        <v xml:space="preserve">          6279 - GENERAL EXPENSE</v>
      </c>
      <c r="C57" s="11"/>
      <c r="D57" s="6"/>
      <c r="E57" s="2"/>
      <c r="F57" s="7">
        <f t="shared" si="38"/>
        <v>0</v>
      </c>
      <c r="G57" s="2"/>
      <c r="H57" s="6"/>
      <c r="I57" s="2"/>
      <c r="J57" s="7">
        <f t="shared" si="39"/>
        <v>0</v>
      </c>
      <c r="K57" s="2"/>
      <c r="L57" s="6">
        <f t="shared" si="40"/>
        <v>0</v>
      </c>
      <c r="M57" s="2"/>
      <c r="N57" s="7">
        <f t="shared" si="41"/>
        <v>0</v>
      </c>
      <c r="O57" s="11"/>
      <c r="P57" s="6">
        <v>91.31</v>
      </c>
      <c r="Q57" s="2"/>
      <c r="R57" s="7">
        <f t="shared" si="42"/>
        <v>1.0011073468627E-3</v>
      </c>
      <c r="S57" s="2"/>
      <c r="T57" s="6"/>
      <c r="U57" s="2"/>
      <c r="V57" s="7">
        <f t="shared" si="43"/>
        <v>0</v>
      </c>
      <c r="W57" s="2"/>
      <c r="X57" s="6">
        <f t="shared" si="44"/>
        <v>91.31</v>
      </c>
      <c r="Y57" s="2"/>
      <c r="Z57" s="7">
        <f t="shared" si="45"/>
        <v>0</v>
      </c>
    </row>
    <row r="58" spans="1:26" s="29" customFormat="1" outlineLevel="1" collapsed="1" x14ac:dyDescent="0.3">
      <c r="A58" s="28"/>
      <c r="B58" s="14" t="str">
        <f>CONCATENATE("     ","Repair and Maintenance                            ")</f>
        <v xml:space="preserve">     Repair and Maintenance                            </v>
      </c>
      <c r="C58" s="14"/>
      <c r="D58" s="1">
        <f>SUM(OSRRefD22_7x_0)</f>
        <v>142.87</v>
      </c>
      <c r="E58" s="1"/>
      <c r="F58" s="5">
        <f t="shared" si="38"/>
        <v>2.10470335718379E-2</v>
      </c>
      <c r="G58" s="1"/>
      <c r="H58" s="1">
        <f>SUM(OSRRefH22_7x_0)</f>
        <v>5000</v>
      </c>
      <c r="I58" s="1"/>
      <c r="J58" s="5">
        <f t="shared" si="39"/>
        <v>0.32786885245901637</v>
      </c>
      <c r="K58" s="1"/>
      <c r="L58" s="1">
        <f t="shared" si="40"/>
        <v>-4857.13</v>
      </c>
      <c r="M58" s="1"/>
      <c r="N58" s="5">
        <f t="shared" si="41"/>
        <v>-0.97142600000000001</v>
      </c>
      <c r="O58" s="14"/>
      <c r="P58" s="1">
        <f>SUM(OSRRefP22_7x_0)</f>
        <v>12528.02</v>
      </c>
      <c r="Q58" s="1"/>
      <c r="R58" s="5">
        <f t="shared" si="42"/>
        <v>0.13735508557269568</v>
      </c>
      <c r="S58" s="1"/>
      <c r="T58" s="1">
        <f>SUM(OSRRefT22_7x_0)</f>
        <v>27600</v>
      </c>
      <c r="U58" s="1"/>
      <c r="V58" s="5">
        <f t="shared" si="43"/>
        <v>0.24338624338624337</v>
      </c>
      <c r="W58" s="1"/>
      <c r="X58" s="1">
        <f t="shared" si="44"/>
        <v>-15071.98</v>
      </c>
      <c r="Y58" s="1"/>
      <c r="Z58" s="5">
        <f t="shared" si="45"/>
        <v>-0.54608623188405792</v>
      </c>
    </row>
    <row r="59" spans="1:26" s="24" customFormat="1" hidden="1" outlineLevel="2" x14ac:dyDescent="0.3">
      <c r="A59" s="27"/>
      <c r="B59" s="11" t="str">
        <f>CONCATENATE("          ", "6371", " - ", "COMPUTER SOFTWARE MAINTENANCE")</f>
        <v xml:space="preserve">          6371 - COMPUTER SOFTWARE MAINTENANCE</v>
      </c>
      <c r="C59" s="11"/>
      <c r="D59" s="6"/>
      <c r="E59" s="2"/>
      <c r="F59" s="7">
        <f t="shared" si="38"/>
        <v>0</v>
      </c>
      <c r="G59" s="2"/>
      <c r="H59" s="6"/>
      <c r="I59" s="2"/>
      <c r="J59" s="7">
        <f t="shared" si="39"/>
        <v>0</v>
      </c>
      <c r="K59" s="2"/>
      <c r="L59" s="6">
        <f t="shared" si="40"/>
        <v>0</v>
      </c>
      <c r="M59" s="2"/>
      <c r="N59" s="7">
        <f t="shared" si="41"/>
        <v>0</v>
      </c>
      <c r="O59" s="11"/>
      <c r="P59" s="6"/>
      <c r="Q59" s="2"/>
      <c r="R59" s="7">
        <f t="shared" si="42"/>
        <v>0</v>
      </c>
      <c r="S59" s="2"/>
      <c r="T59" s="6">
        <v>100</v>
      </c>
      <c r="U59" s="2"/>
      <c r="V59" s="7">
        <f t="shared" si="43"/>
        <v>8.8183421516754845E-4</v>
      </c>
      <c r="W59" s="2"/>
      <c r="X59" s="6">
        <f t="shared" si="44"/>
        <v>-100</v>
      </c>
      <c r="Y59" s="2"/>
      <c r="Z59" s="7">
        <f t="shared" si="45"/>
        <v>-1</v>
      </c>
    </row>
    <row r="60" spans="1:26" s="24" customFormat="1" hidden="1" outlineLevel="2" x14ac:dyDescent="0.3">
      <c r="A60" s="27"/>
      <c r="B60" s="11" t="str">
        <f>CONCATENATE("          ", "6373", " - ", "MAINTENANCE CONTRACTS")</f>
        <v xml:space="preserve">          6373 - MAINTENANCE CONTRACTS</v>
      </c>
      <c r="C60" s="11"/>
      <c r="D60" s="6">
        <v>142.87</v>
      </c>
      <c r="E60" s="2"/>
      <c r="F60" s="7">
        <f t="shared" si="38"/>
        <v>2.10470335718379E-2</v>
      </c>
      <c r="G60" s="2"/>
      <c r="H60" s="6">
        <v>5000</v>
      </c>
      <c r="I60" s="2"/>
      <c r="J60" s="7">
        <f t="shared" si="39"/>
        <v>0.32786885245901637</v>
      </c>
      <c r="K60" s="2"/>
      <c r="L60" s="6">
        <f t="shared" si="40"/>
        <v>-4857.13</v>
      </c>
      <c r="M60" s="2"/>
      <c r="N60" s="7">
        <f t="shared" si="41"/>
        <v>-0.97142600000000001</v>
      </c>
      <c r="O60" s="11"/>
      <c r="P60" s="6">
        <v>4630.41</v>
      </c>
      <c r="Q60" s="2"/>
      <c r="R60" s="7">
        <f t="shared" si="42"/>
        <v>5.0767029569450381E-2</v>
      </c>
      <c r="S60" s="2"/>
      <c r="T60" s="6">
        <v>27500</v>
      </c>
      <c r="U60" s="2"/>
      <c r="V60" s="7">
        <f t="shared" si="43"/>
        <v>0.24250440917107582</v>
      </c>
      <c r="W60" s="2"/>
      <c r="X60" s="6">
        <f t="shared" si="44"/>
        <v>-22869.59</v>
      </c>
      <c r="Y60" s="2"/>
      <c r="Z60" s="7">
        <f t="shared" si="45"/>
        <v>-0.83162145454545455</v>
      </c>
    </row>
    <row r="61" spans="1:26" s="24" customFormat="1" hidden="1" outlineLevel="2" x14ac:dyDescent="0.3">
      <c r="A61" s="27"/>
      <c r="B61" s="11" t="str">
        <f>CONCATENATE("          ", "6375", " - ", "OUTSIDE REPAIRS &amp; MAINTENANCE")</f>
        <v xml:space="preserve">          6375 - OUTSIDE REPAIRS &amp; MAINTENANCE</v>
      </c>
      <c r="C61" s="11"/>
      <c r="D61" s="6"/>
      <c r="E61" s="2"/>
      <c r="F61" s="7">
        <f t="shared" si="38"/>
        <v>0</v>
      </c>
      <c r="G61" s="2"/>
      <c r="H61" s="6"/>
      <c r="I61" s="2"/>
      <c r="J61" s="7">
        <f t="shared" si="39"/>
        <v>0</v>
      </c>
      <c r="K61" s="2"/>
      <c r="L61" s="6">
        <f t="shared" si="40"/>
        <v>0</v>
      </c>
      <c r="M61" s="2"/>
      <c r="N61" s="7">
        <f t="shared" si="41"/>
        <v>0</v>
      </c>
      <c r="O61" s="11"/>
      <c r="P61" s="6">
        <v>7897.61</v>
      </c>
      <c r="Q61" s="2"/>
      <c r="R61" s="7">
        <f t="shared" si="42"/>
        <v>8.658805600324529E-2</v>
      </c>
      <c r="S61" s="2"/>
      <c r="T61" s="6"/>
      <c r="U61" s="2"/>
      <c r="V61" s="7">
        <f t="shared" si="43"/>
        <v>0</v>
      </c>
      <c r="W61" s="2"/>
      <c r="X61" s="6">
        <f t="shared" si="44"/>
        <v>7897.61</v>
      </c>
      <c r="Y61" s="2"/>
      <c r="Z61" s="7">
        <f t="shared" si="45"/>
        <v>0</v>
      </c>
    </row>
    <row r="62" spans="1:26" s="29" customFormat="1" outlineLevel="1" collapsed="1" x14ac:dyDescent="0.3">
      <c r="A62" s="28"/>
      <c r="B62" s="14" t="str">
        <f>CONCATENATE("     ","Royalty &amp; Commissions                             ")</f>
        <v xml:space="preserve">     Royalty &amp; Commissions                             </v>
      </c>
      <c r="C62" s="14"/>
      <c r="D62" s="1">
        <f>SUM(OSRRefD22_8x_0)</f>
        <v>784.77</v>
      </c>
      <c r="E62" s="1"/>
      <c r="F62" s="5">
        <f t="shared" ref="F62:F68" si="46">IF(D$12=0,0,D62/D$12)</f>
        <v>0.11560915892889499</v>
      </c>
      <c r="G62" s="1"/>
      <c r="H62" s="1">
        <f>SUM(OSRRefH22_8x_0)</f>
        <v>6000</v>
      </c>
      <c r="I62" s="1"/>
      <c r="J62" s="5">
        <f t="shared" ref="J62:J68" si="47">IF(H$12=0,0,H62/H$12)</f>
        <v>0.39344262295081966</v>
      </c>
      <c r="K62" s="1"/>
      <c r="L62" s="1">
        <f t="shared" ref="L62:L68" si="48">+D62-H62</f>
        <v>-5215.2299999999996</v>
      </c>
      <c r="M62" s="1"/>
      <c r="N62" s="5">
        <f t="shared" ref="N62:N68" si="49">IF(H62=0,0,L62/H62)</f>
        <v>-0.86920499999999989</v>
      </c>
      <c r="O62" s="14"/>
      <c r="P62" s="1">
        <f>SUM(OSRRefP22_8x_0)</f>
        <v>4492.91</v>
      </c>
      <c r="Q62" s="1"/>
      <c r="R62" s="5">
        <f t="shared" ref="R62:R68" si="50">IF(P$12=0,0,P62/P$12)</f>
        <v>4.9259502899933118E-2</v>
      </c>
      <c r="S62" s="1"/>
      <c r="T62" s="1">
        <f>SUM(OSRRefT22_8x_0)</f>
        <v>15700</v>
      </c>
      <c r="U62" s="1"/>
      <c r="V62" s="5">
        <f t="shared" ref="V62:V68" si="51">IF(T$12=0,0,T62/T$12)</f>
        <v>0.13844797178130511</v>
      </c>
      <c r="W62" s="1"/>
      <c r="X62" s="1">
        <f t="shared" ref="X62:X68" si="52">+P62-T62</f>
        <v>-11207.09</v>
      </c>
      <c r="Y62" s="1"/>
      <c r="Z62" s="5">
        <f t="shared" ref="Z62:Z68" si="53">IF(T62=0,0,X62/T62)</f>
        <v>-0.7138273885350318</v>
      </c>
    </row>
    <row r="63" spans="1:26" s="24" customFormat="1" hidden="1" outlineLevel="2" x14ac:dyDescent="0.3">
      <c r="A63" s="27"/>
      <c r="B63" s="11" t="str">
        <f>CONCATENATE("          ", "6259", " - ", "ROYALTY &amp; COMMISSIONS")</f>
        <v xml:space="preserve">          6259 - ROYALTY &amp; COMMISSIONS</v>
      </c>
      <c r="C63" s="11"/>
      <c r="D63" s="6">
        <v>784.77</v>
      </c>
      <c r="E63" s="2"/>
      <c r="F63" s="7">
        <f t="shared" si="46"/>
        <v>0.11560915892889499</v>
      </c>
      <c r="G63" s="2"/>
      <c r="H63" s="6">
        <v>6000</v>
      </c>
      <c r="I63" s="2"/>
      <c r="J63" s="7">
        <f t="shared" si="47"/>
        <v>0.39344262295081966</v>
      </c>
      <c r="K63" s="2"/>
      <c r="L63" s="6">
        <f t="shared" si="48"/>
        <v>-5215.2299999999996</v>
      </c>
      <c r="M63" s="2"/>
      <c r="N63" s="7">
        <f t="shared" si="49"/>
        <v>-0.86920499999999989</v>
      </c>
      <c r="O63" s="11"/>
      <c r="P63" s="6">
        <v>4492.91</v>
      </c>
      <c r="Q63" s="2"/>
      <c r="R63" s="7">
        <f t="shared" si="50"/>
        <v>4.9259502899933118E-2</v>
      </c>
      <c r="S63" s="2"/>
      <c r="T63" s="6">
        <v>15700</v>
      </c>
      <c r="U63" s="2"/>
      <c r="V63" s="7">
        <f t="shared" si="51"/>
        <v>0.13844797178130511</v>
      </c>
      <c r="W63" s="2"/>
      <c r="X63" s="6">
        <f t="shared" si="52"/>
        <v>-11207.09</v>
      </c>
      <c r="Y63" s="2"/>
      <c r="Z63" s="7">
        <f t="shared" si="53"/>
        <v>-0.7138273885350318</v>
      </c>
    </row>
    <row r="64" spans="1:26" s="29" customFormat="1" outlineLevel="1" collapsed="1" x14ac:dyDescent="0.3">
      <c r="A64" s="28"/>
      <c r="B64" s="14" t="str">
        <f>CONCATENATE("     ","Supplies                                          ")</f>
        <v xml:space="preserve">     Supplies                                          </v>
      </c>
      <c r="C64" s="14"/>
      <c r="D64" s="1">
        <f>SUM(OSRRefD22_9x_0)</f>
        <v>1938.7199999999998</v>
      </c>
      <c r="E64" s="1"/>
      <c r="F64" s="5">
        <f t="shared" si="46"/>
        <v>0.28560443008604725</v>
      </c>
      <c r="G64" s="1"/>
      <c r="H64" s="1">
        <f>SUM(OSRRefH22_9x_0)</f>
        <v>1680</v>
      </c>
      <c r="I64" s="1"/>
      <c r="J64" s="5">
        <f t="shared" si="47"/>
        <v>0.11016393442622952</v>
      </c>
      <c r="K64" s="1"/>
      <c r="L64" s="1">
        <f t="shared" si="48"/>
        <v>258.7199999999998</v>
      </c>
      <c r="M64" s="1"/>
      <c r="N64" s="5">
        <f t="shared" si="49"/>
        <v>0.15399999999999989</v>
      </c>
      <c r="O64" s="14"/>
      <c r="P64" s="1">
        <f>SUM(OSRRefP22_9x_0)</f>
        <v>18494.150000000001</v>
      </c>
      <c r="Q64" s="1"/>
      <c r="R64" s="5">
        <f t="shared" si="50"/>
        <v>0.20276672258220133</v>
      </c>
      <c r="S64" s="1"/>
      <c r="T64" s="1">
        <f>SUM(OSRRefT22_9x_0)</f>
        <v>20290</v>
      </c>
      <c r="U64" s="1"/>
      <c r="V64" s="5">
        <f t="shared" si="51"/>
        <v>0.17892416225749558</v>
      </c>
      <c r="W64" s="1"/>
      <c r="X64" s="1">
        <f t="shared" si="52"/>
        <v>-1795.8499999999985</v>
      </c>
      <c r="Y64" s="1"/>
      <c r="Z64" s="5">
        <f t="shared" si="53"/>
        <v>-8.8509117792015701E-2</v>
      </c>
    </row>
    <row r="65" spans="1:26" s="24" customFormat="1" hidden="1" outlineLevel="2" x14ac:dyDescent="0.3">
      <c r="A65" s="27"/>
      <c r="B65" s="11" t="str">
        <f>CONCATENATE("          ", "6241", " - ", "OFFICE EXPENSE")</f>
        <v xml:space="preserve">          6241 - OFFICE EXPENSE</v>
      </c>
      <c r="C65" s="11"/>
      <c r="D65" s="6">
        <v>7.16</v>
      </c>
      <c r="E65" s="2"/>
      <c r="F65" s="7">
        <f t="shared" si="46"/>
        <v>1.0547823922052171E-3</v>
      </c>
      <c r="G65" s="2"/>
      <c r="H65" s="6"/>
      <c r="I65" s="2"/>
      <c r="J65" s="7">
        <f t="shared" si="47"/>
        <v>0</v>
      </c>
      <c r="K65" s="2"/>
      <c r="L65" s="6">
        <f t="shared" si="48"/>
        <v>7.16</v>
      </c>
      <c r="M65" s="2"/>
      <c r="N65" s="7">
        <f t="shared" si="49"/>
        <v>0</v>
      </c>
      <c r="O65" s="11"/>
      <c r="P65" s="6">
        <v>4842.87</v>
      </c>
      <c r="Q65" s="2"/>
      <c r="R65" s="7">
        <f t="shared" si="50"/>
        <v>5.3096404960036835E-2</v>
      </c>
      <c r="S65" s="2"/>
      <c r="T65" s="6"/>
      <c r="U65" s="2"/>
      <c r="V65" s="7">
        <f t="shared" si="51"/>
        <v>0</v>
      </c>
      <c r="W65" s="2"/>
      <c r="X65" s="6">
        <f t="shared" si="52"/>
        <v>4842.87</v>
      </c>
      <c r="Y65" s="2"/>
      <c r="Z65" s="7">
        <f t="shared" si="53"/>
        <v>0</v>
      </c>
    </row>
    <row r="66" spans="1:26" s="24" customFormat="1" hidden="1" outlineLevel="2" x14ac:dyDescent="0.3">
      <c r="A66" s="27"/>
      <c r="B66" s="11" t="str">
        <f>CONCATENATE("          ", "6243", " - ", "PAPER SUPPLIES")</f>
        <v xml:space="preserve">          6243 - PAPER SUPPLIES</v>
      </c>
      <c r="C66" s="11"/>
      <c r="D66" s="6">
        <v>284.11</v>
      </c>
      <c r="E66" s="2"/>
      <c r="F66" s="7">
        <f t="shared" si="46"/>
        <v>4.1853942101874889E-2</v>
      </c>
      <c r="G66" s="2"/>
      <c r="H66" s="6">
        <v>1600</v>
      </c>
      <c r="I66" s="2"/>
      <c r="J66" s="7">
        <f t="shared" si="47"/>
        <v>0.10491803278688525</v>
      </c>
      <c r="K66" s="2"/>
      <c r="L66" s="6">
        <f t="shared" si="48"/>
        <v>-1315.8899999999999</v>
      </c>
      <c r="M66" s="2"/>
      <c r="N66" s="7">
        <f t="shared" si="49"/>
        <v>-0.82243124999999995</v>
      </c>
      <c r="O66" s="11"/>
      <c r="P66" s="6">
        <v>4470.8999999999996</v>
      </c>
      <c r="Q66" s="2"/>
      <c r="R66" s="7">
        <f t="shared" si="50"/>
        <v>4.901818899450712E-2</v>
      </c>
      <c r="S66" s="2"/>
      <c r="T66" s="6">
        <v>17700</v>
      </c>
      <c r="U66" s="2"/>
      <c r="V66" s="7">
        <f t="shared" si="51"/>
        <v>0.15608465608465608</v>
      </c>
      <c r="W66" s="2"/>
      <c r="X66" s="6">
        <f t="shared" si="52"/>
        <v>-13229.1</v>
      </c>
      <c r="Y66" s="2"/>
      <c r="Z66" s="7">
        <f t="shared" si="53"/>
        <v>-0.74740677966101698</v>
      </c>
    </row>
    <row r="67" spans="1:26" s="24" customFormat="1" hidden="1" outlineLevel="2" x14ac:dyDescent="0.3">
      <c r="A67" s="27"/>
      <c r="B67" s="11" t="str">
        <f>CONCATENATE("          ", "6245", " - ", "PRINTING")</f>
        <v xml:space="preserve">          6245 - PRINTING</v>
      </c>
      <c r="C67" s="11"/>
      <c r="D67" s="6">
        <v>632.28</v>
      </c>
      <c r="E67" s="2"/>
      <c r="F67" s="7">
        <f t="shared" si="46"/>
        <v>9.3144945662502032E-2</v>
      </c>
      <c r="G67" s="2"/>
      <c r="H67" s="6">
        <v>80</v>
      </c>
      <c r="I67" s="2"/>
      <c r="J67" s="7">
        <f t="shared" si="47"/>
        <v>5.2459016393442623E-3</v>
      </c>
      <c r="K67" s="2"/>
      <c r="L67" s="6">
        <f t="shared" si="48"/>
        <v>552.28</v>
      </c>
      <c r="M67" s="2"/>
      <c r="N67" s="7">
        <f t="shared" si="49"/>
        <v>6.9034999999999993</v>
      </c>
      <c r="O67" s="11"/>
      <c r="P67" s="6">
        <v>269.89</v>
      </c>
      <c r="Q67" s="2"/>
      <c r="R67" s="7">
        <f t="shared" si="50"/>
        <v>2.9590281660801018E-3</v>
      </c>
      <c r="S67" s="2"/>
      <c r="T67" s="6">
        <v>1985</v>
      </c>
      <c r="U67" s="2"/>
      <c r="V67" s="7">
        <f t="shared" si="51"/>
        <v>1.7504409171075836E-2</v>
      </c>
      <c r="W67" s="2"/>
      <c r="X67" s="6">
        <f t="shared" si="52"/>
        <v>-1715.1100000000001</v>
      </c>
      <c r="Y67" s="2"/>
      <c r="Z67" s="7">
        <f t="shared" si="53"/>
        <v>-0.86403526448362722</v>
      </c>
    </row>
    <row r="68" spans="1:26" s="24" customFormat="1" hidden="1" outlineLevel="2" x14ac:dyDescent="0.3">
      <c r="A68" s="27"/>
      <c r="B68" s="11" t="str">
        <f>CONCATENATE("          ", "6247", " - ", "STORE SUPPLIES")</f>
        <v xml:space="preserve">          6247 - STORE SUPPLIES</v>
      </c>
      <c r="C68" s="11"/>
      <c r="D68" s="6">
        <v>1015.17</v>
      </c>
      <c r="E68" s="2"/>
      <c r="F68" s="7">
        <f t="shared" si="46"/>
        <v>0.14955075992946509</v>
      </c>
      <c r="G68" s="2"/>
      <c r="H68" s="6">
        <v>0</v>
      </c>
      <c r="I68" s="2"/>
      <c r="J68" s="7">
        <f t="shared" si="47"/>
        <v>0</v>
      </c>
      <c r="K68" s="2"/>
      <c r="L68" s="6">
        <f t="shared" si="48"/>
        <v>1015.17</v>
      </c>
      <c r="M68" s="2"/>
      <c r="N68" s="7">
        <f t="shared" si="49"/>
        <v>0</v>
      </c>
      <c r="O68" s="11"/>
      <c r="P68" s="6">
        <v>8910.49</v>
      </c>
      <c r="Q68" s="2"/>
      <c r="R68" s="7">
        <f t="shared" si="50"/>
        <v>9.7693100461577254E-2</v>
      </c>
      <c r="S68" s="2"/>
      <c r="T68" s="6">
        <v>605</v>
      </c>
      <c r="U68" s="2"/>
      <c r="V68" s="7">
        <f t="shared" si="51"/>
        <v>5.3350970017636687E-3</v>
      </c>
      <c r="W68" s="2"/>
      <c r="X68" s="6">
        <f t="shared" si="52"/>
        <v>8305.49</v>
      </c>
      <c r="Y68" s="2"/>
      <c r="Z68" s="7">
        <f t="shared" si="53"/>
        <v>13.728082644628099</v>
      </c>
    </row>
    <row r="69" spans="1:26" s="29" customFormat="1" outlineLevel="1" collapsed="1" x14ac:dyDescent="0.3">
      <c r="A69" s="28"/>
      <c r="B69" s="14" t="str">
        <f>CONCATENATE("     ","Telephone/Data Lines                              ")</f>
        <v xml:space="preserve">     Telephone/Data Lines                              </v>
      </c>
      <c r="C69" s="14"/>
      <c r="D69" s="1">
        <f>SUM(OSRRefD22_10x_0)</f>
        <v>46.15</v>
      </c>
      <c r="E69" s="1"/>
      <c r="F69" s="5">
        <f t="shared" ref="F69:F70" si="54">IF(D$12=0,0,D69/D$12)</f>
        <v>6.7986323184735702E-3</v>
      </c>
      <c r="G69" s="1"/>
      <c r="H69" s="1">
        <f>SUM(OSRRefH22_10x_0)</f>
        <v>175</v>
      </c>
      <c r="I69" s="1"/>
      <c r="J69" s="5">
        <f t="shared" ref="J69:J70" si="55">IF(H$12=0,0,H69/H$12)</f>
        <v>1.1475409836065573E-2</v>
      </c>
      <c r="K69" s="1"/>
      <c r="L69" s="1">
        <f t="shared" ref="L69:L70" si="56">+D69-H69</f>
        <v>-128.85</v>
      </c>
      <c r="M69" s="1"/>
      <c r="N69" s="5">
        <f t="shared" ref="N69:N70" si="57">IF(H69=0,0,L69/H69)</f>
        <v>-0.73628571428571421</v>
      </c>
      <c r="O69" s="14"/>
      <c r="P69" s="1">
        <f>SUM(OSRRefP22_10x_0)</f>
        <v>579.04999999999995</v>
      </c>
      <c r="Q69" s="1"/>
      <c r="R69" s="5">
        <f t="shared" ref="R69:R70" si="58">IF(P$12=0,0,P69/P$12)</f>
        <v>6.3486059489743334E-3</v>
      </c>
      <c r="S69" s="1"/>
      <c r="T69" s="1">
        <f>SUM(OSRRefT22_10x_0)</f>
        <v>875</v>
      </c>
      <c r="U69" s="1"/>
      <c r="V69" s="5">
        <f t="shared" ref="V69:V70" si="59">IF(T$12=0,0,T69/T$12)</f>
        <v>7.716049382716049E-3</v>
      </c>
      <c r="W69" s="1"/>
      <c r="X69" s="1">
        <f t="shared" ref="X69:X70" si="60">+P69-T69</f>
        <v>-295.95000000000005</v>
      </c>
      <c r="Y69" s="1"/>
      <c r="Z69" s="5">
        <f t="shared" ref="Z69:Z70" si="61">IF(T69=0,0,X69/T69)</f>
        <v>-0.33822857142857149</v>
      </c>
    </row>
    <row r="70" spans="1:26" s="24" customFormat="1" hidden="1" outlineLevel="2" x14ac:dyDescent="0.3">
      <c r="A70" s="27"/>
      <c r="B70" s="11" t="str">
        <f>CONCATENATE("          ", "6309", " - ", "TELEPHONE")</f>
        <v xml:space="preserve">          6309 - TELEPHONE</v>
      </c>
      <c r="C70" s="11"/>
      <c r="D70" s="6">
        <v>46.15</v>
      </c>
      <c r="E70" s="2"/>
      <c r="F70" s="7">
        <f t="shared" si="54"/>
        <v>6.7986323184735702E-3</v>
      </c>
      <c r="G70" s="2"/>
      <c r="H70" s="6">
        <v>175</v>
      </c>
      <c r="I70" s="2"/>
      <c r="J70" s="7">
        <f t="shared" si="55"/>
        <v>1.1475409836065573E-2</v>
      </c>
      <c r="K70" s="2"/>
      <c r="L70" s="6">
        <f t="shared" si="56"/>
        <v>-128.85</v>
      </c>
      <c r="M70" s="2"/>
      <c r="N70" s="7">
        <f t="shared" si="57"/>
        <v>-0.73628571428571421</v>
      </c>
      <c r="O70" s="11"/>
      <c r="P70" s="6">
        <v>579.04999999999995</v>
      </c>
      <c r="Q70" s="2"/>
      <c r="R70" s="7">
        <f t="shared" si="58"/>
        <v>6.3486059489743334E-3</v>
      </c>
      <c r="S70" s="2"/>
      <c r="T70" s="6">
        <v>875</v>
      </c>
      <c r="U70" s="2"/>
      <c r="V70" s="7">
        <f t="shared" si="59"/>
        <v>7.716049382716049E-3</v>
      </c>
      <c r="W70" s="2"/>
      <c r="X70" s="6">
        <f t="shared" si="60"/>
        <v>-295.95000000000005</v>
      </c>
      <c r="Y70" s="2"/>
      <c r="Z70" s="7">
        <f t="shared" si="61"/>
        <v>-0.33822857142857149</v>
      </c>
    </row>
    <row r="71" spans="1:26" s="63" customFormat="1" x14ac:dyDescent="0.3">
      <c r="A71" s="36"/>
      <c r="B71" s="36"/>
      <c r="C71" s="36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6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collapsed="1" x14ac:dyDescent="0.3">
      <c r="A72" s="10"/>
      <c r="B72" s="25" t="s">
        <v>293</v>
      </c>
      <c r="C72" s="10"/>
      <c r="D72" s="4">
        <f>SUM(OSRRefD25x_0)</f>
        <v>0</v>
      </c>
      <c r="E72" s="4"/>
      <c r="F72" s="12">
        <f t="shared" ref="F72:F73" si="62">IF(D$12=0,0,D72/D$12)</f>
        <v>0</v>
      </c>
      <c r="G72" s="4"/>
      <c r="H72" s="4">
        <f>SUM(OSRRefH25x_0)</f>
        <v>6782</v>
      </c>
      <c r="I72" s="4"/>
      <c r="J72" s="12">
        <f t="shared" ref="J72:J73" si="63">IF(H$12=0,0,H72/H$12)</f>
        <v>0.44472131147540983</v>
      </c>
      <c r="K72" s="4"/>
      <c r="L72" s="4">
        <f t="shared" ref="L72:L73" si="64">+D72-H72</f>
        <v>-6782</v>
      </c>
      <c r="M72" s="4"/>
      <c r="N72" s="12">
        <f t="shared" ref="N72:N73" si="65">IF(H72=0,0,L72/H72)</f>
        <v>-1</v>
      </c>
      <c r="O72" s="10"/>
      <c r="P72" s="4">
        <f>SUM(OSRRefP25x_0)</f>
        <v>14899</v>
      </c>
      <c r="Q72" s="4"/>
      <c r="R72" s="12">
        <f t="shared" ref="R72:R73" si="66">IF(P$12=0,0,P72/P$12)</f>
        <v>0.16335010799372868</v>
      </c>
      <c r="S72" s="4"/>
      <c r="T72" s="4">
        <f>SUM(OSRRefT25x_0)</f>
        <v>33910</v>
      </c>
      <c r="U72" s="4"/>
      <c r="V72" s="12">
        <f t="shared" ref="V72:V73" si="67">IF(T$12=0,0,T72/T$12)</f>
        <v>0.29902998236331568</v>
      </c>
      <c r="W72" s="4"/>
      <c r="X72" s="4">
        <f t="shared" ref="X72:X73" si="68">+P72-T72</f>
        <v>-19011</v>
      </c>
      <c r="Y72" s="4"/>
      <c r="Z72" s="12">
        <f t="shared" ref="Z72:Z73" si="69">IF(T72=0,0,X72/T72)</f>
        <v>-0.56063108227661462</v>
      </c>
    </row>
    <row r="73" spans="1:26" s="24" customFormat="1" hidden="1" outlineLevel="1" x14ac:dyDescent="0.3">
      <c r="A73" s="44"/>
      <c r="B73" s="11" t="str">
        <f>CONCATENATE("          ", "9150", " - ", "MISC. INCOME")</f>
        <v xml:space="preserve">          9150 - MISC. INCOME</v>
      </c>
      <c r="C73" s="11"/>
      <c r="D73" s="2">
        <f>0</f>
        <v>0</v>
      </c>
      <c r="E73" s="2"/>
      <c r="F73" s="19">
        <f t="shared" si="62"/>
        <v>0</v>
      </c>
      <c r="G73" s="2"/>
      <c r="H73" s="2">
        <v>6782</v>
      </c>
      <c r="I73" s="2"/>
      <c r="J73" s="19">
        <f t="shared" si="63"/>
        <v>0.44472131147540983</v>
      </c>
      <c r="K73" s="2"/>
      <c r="L73" s="2">
        <f t="shared" si="64"/>
        <v>-6782</v>
      </c>
      <c r="M73" s="2"/>
      <c r="N73" s="19">
        <f t="shared" si="65"/>
        <v>-1</v>
      </c>
      <c r="O73" s="11"/>
      <c r="P73" s="2">
        <f>--14899</f>
        <v>14899</v>
      </c>
      <c r="Q73" s="2"/>
      <c r="R73" s="19">
        <f t="shared" si="66"/>
        <v>0.16335010799372868</v>
      </c>
      <c r="S73" s="2"/>
      <c r="T73" s="2">
        <v>33910</v>
      </c>
      <c r="U73" s="2"/>
      <c r="V73" s="19">
        <f t="shared" si="67"/>
        <v>0.29902998236331568</v>
      </c>
      <c r="W73" s="2"/>
      <c r="X73" s="2">
        <f t="shared" si="68"/>
        <v>-19011</v>
      </c>
      <c r="Y73" s="2"/>
      <c r="Z73" s="19">
        <f t="shared" si="69"/>
        <v>-0.56063108227661462</v>
      </c>
    </row>
    <row r="74" spans="1:26" x14ac:dyDescent="0.3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3">
      <c r="A75" s="10"/>
      <c r="B75" s="26" t="s">
        <v>277</v>
      </c>
      <c r="C75" s="26"/>
      <c r="D75" s="20">
        <f>+D23-D25+D72</f>
        <v>-5228.7300000000023</v>
      </c>
      <c r="E75" s="13"/>
      <c r="F75" s="22">
        <f>IF(D$12=0,0,D75/D$12)</f>
        <v>-0.7702754661445792</v>
      </c>
      <c r="G75" s="13"/>
      <c r="H75" s="20">
        <f>+H23-H25+H72</f>
        <v>-13132.057119615391</v>
      </c>
      <c r="I75" s="13"/>
      <c r="J75" s="22">
        <f>IF(H$12=0,0,H75/H$12)</f>
        <v>-0.8611184996469109</v>
      </c>
      <c r="K75" s="15"/>
      <c r="L75" s="20">
        <f>+D75-H75</f>
        <v>7903.3271196153883</v>
      </c>
      <c r="M75" s="15"/>
      <c r="N75" s="22">
        <f>IF(H75=0,0,L75/H75)</f>
        <v>-0.60183465908095746</v>
      </c>
      <c r="O75" s="25"/>
      <c r="P75" s="20">
        <f>+P23-P25+P72</f>
        <v>-19273.329999999973</v>
      </c>
      <c r="Q75" s="13"/>
      <c r="R75" s="22">
        <f>IF(P$12=0,0,P75/P$12)</f>
        <v>-0.21130951989386981</v>
      </c>
      <c r="S75" s="13"/>
      <c r="T75" s="20">
        <f>+T23-T25+T72</f>
        <v>-28105.748240577057</v>
      </c>
      <c r="U75" s="13"/>
      <c r="V75" s="22">
        <f>IF(T$12=0,0,T75/T$12)</f>
        <v>-0.24784610441425975</v>
      </c>
      <c r="W75" s="15"/>
      <c r="X75" s="20">
        <f>+P75-T75</f>
        <v>8832.4182405770844</v>
      </c>
      <c r="Y75" s="15"/>
      <c r="Z75" s="22">
        <f>IF(T75=0,0,X75/T75)</f>
        <v>-0.31425664831884725</v>
      </c>
    </row>
    <row r="76" spans="1:26" x14ac:dyDescent="0.3">
      <c r="A76" s="9"/>
      <c r="B76" s="10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3">
      <c r="A77" s="52"/>
      <c r="B77" s="10" t="s">
        <v>128</v>
      </c>
      <c r="C77" s="10"/>
      <c r="D77" s="4">
        <v>1105.7</v>
      </c>
      <c r="E77" s="4"/>
      <c r="F77" s="12">
        <f>IF(D$12=0,0,D77/D$12)</f>
        <v>0.16288727528789226</v>
      </c>
      <c r="G77" s="4"/>
      <c r="H77" s="4">
        <v>2890</v>
      </c>
      <c r="I77" s="4"/>
      <c r="J77" s="12">
        <f>IF(H$12=0,0,H77/H$12)</f>
        <v>0.18950819672131147</v>
      </c>
      <c r="K77" s="4"/>
      <c r="L77" s="4">
        <f>+D77-H77</f>
        <v>-1784.3</v>
      </c>
      <c r="M77" s="4"/>
      <c r="N77" s="12">
        <f>IF(H77=0,0,L77/H77)</f>
        <v>-0.61740484429065745</v>
      </c>
      <c r="O77" s="10"/>
      <c r="P77" s="4">
        <v>10864.06</v>
      </c>
      <c r="Q77" s="4"/>
      <c r="R77" s="12">
        <f>IF(P$12=0,0,P77/P$12)</f>
        <v>0.1191117104671688</v>
      </c>
      <c r="S77" s="4"/>
      <c r="T77" s="4">
        <v>14177</v>
      </c>
      <c r="U77" s="4"/>
      <c r="V77" s="12">
        <f>IF(T$12=0,0,T77/T$12)</f>
        <v>0.12501763668430335</v>
      </c>
      <c r="W77" s="4"/>
      <c r="X77" s="4">
        <f>+P77-T77</f>
        <v>-3312.9400000000005</v>
      </c>
      <c r="Y77" s="4"/>
      <c r="Z77" s="12">
        <f>IF(T77=0,0,X77/T77)</f>
        <v>-0.23368413627706852</v>
      </c>
    </row>
    <row r="78" spans="1:26" x14ac:dyDescent="0.3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" thickBot="1" x14ac:dyDescent="0.35">
      <c r="A79" s="10"/>
      <c r="B79" s="26" t="s">
        <v>126</v>
      </c>
      <c r="C79" s="26"/>
      <c r="D79" s="33">
        <f>+D75-D77</f>
        <v>-6334.4300000000021</v>
      </c>
      <c r="E79" s="13"/>
      <c r="F79" s="34">
        <f>IF(D$12=0,0,D79/D$12)</f>
        <v>-0.93316274143247135</v>
      </c>
      <c r="G79" s="13"/>
      <c r="H79" s="33">
        <f>+H75-H77</f>
        <v>-16022.057119615391</v>
      </c>
      <c r="I79" s="13"/>
      <c r="J79" s="34">
        <f>IF(H$12=0,0,H79/H$12)</f>
        <v>-1.0506266963682223</v>
      </c>
      <c r="K79" s="15"/>
      <c r="L79" s="33">
        <f>D79-H79</f>
        <v>9687.6271196153884</v>
      </c>
      <c r="M79" s="15"/>
      <c r="N79" s="34">
        <f>IF(H79=0,0,L79/H79)</f>
        <v>-0.60464315208033281</v>
      </c>
      <c r="O79" s="25"/>
      <c r="P79" s="33">
        <f>+P75-P77</f>
        <v>-30137.38999999997</v>
      </c>
      <c r="Q79" s="13"/>
      <c r="R79" s="34">
        <f>IF(P$12=0,0,P79/P$12)</f>
        <v>-0.3304212303610386</v>
      </c>
      <c r="S79" s="13"/>
      <c r="T79" s="33">
        <f>+T75-T77</f>
        <v>-42282.748240577057</v>
      </c>
      <c r="U79" s="13"/>
      <c r="V79" s="34">
        <f>IF(T$12=0,0,T79/T$12)</f>
        <v>-0.37286374109856313</v>
      </c>
      <c r="W79" s="15"/>
      <c r="X79" s="33">
        <f>P79-T79</f>
        <v>12145.358240577087</v>
      </c>
      <c r="Y79" s="15"/>
      <c r="Z79" s="34">
        <f>IF(T79=0,0,X79/T79)</f>
        <v>-0.28724145770926202</v>
      </c>
    </row>
    <row r="80" spans="1:26" ht="15" thickTop="1" x14ac:dyDescent="0.3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x14ac:dyDescent="0.3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" thickBot="1" x14ac:dyDescent="0.35">
      <c r="A82" s="10"/>
      <c r="B82" s="26" t="s">
        <v>294</v>
      </c>
      <c r="C82" s="26"/>
      <c r="D82" s="35">
        <f>SUM(D79:D81)</f>
        <v>-6334.4300000000021</v>
      </c>
      <c r="E82" s="13"/>
      <c r="F82" s="32">
        <f>IF(D$12=0,0,D82/D$12)</f>
        <v>-0.93316274143247135</v>
      </c>
      <c r="G82" s="13"/>
      <c r="H82" s="35">
        <f>SUM(H79:H81)</f>
        <v>-16022.057119615391</v>
      </c>
      <c r="I82" s="13"/>
      <c r="J82" s="32">
        <f>IF(H$12=0,0,H82/H$12)</f>
        <v>-1.0506266963682223</v>
      </c>
      <c r="K82" s="15"/>
      <c r="L82" s="35">
        <f>+D82-H82</f>
        <v>9687.6271196153884</v>
      </c>
      <c r="M82" s="15"/>
      <c r="N82" s="32">
        <f>IF(H82=0,0,L82/H82)</f>
        <v>-0.60464315208033281</v>
      </c>
      <c r="O82" s="25"/>
      <c r="P82" s="35">
        <f>SUM(P79:P81)</f>
        <v>-30137.38999999997</v>
      </c>
      <c r="Q82" s="13"/>
      <c r="R82" s="32">
        <f>IF(P$12=0,0,P82/P$12)</f>
        <v>-0.3304212303610386</v>
      </c>
      <c r="S82" s="13"/>
      <c r="T82" s="35">
        <f>SUM(T79:T81)</f>
        <v>-42282.748240577057</v>
      </c>
      <c r="U82" s="13"/>
      <c r="V82" s="32">
        <f>IF(T$12=0,0,T82/T$12)</f>
        <v>-0.37286374109856313</v>
      </c>
      <c r="W82" s="15"/>
      <c r="X82" s="35">
        <f>+P82-T82</f>
        <v>12145.358240577087</v>
      </c>
      <c r="Y82" s="15"/>
      <c r="Z82" s="32">
        <f>IF(T82=0,0,X82/T82)</f>
        <v>-0.28724145770926202</v>
      </c>
    </row>
    <row r="83" spans="1:26" ht="15" thickTop="1" x14ac:dyDescent="0.3">
      <c r="A83" s="9"/>
      <c r="C83" s="9"/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6" x14ac:dyDescent="0.3">
      <c r="A84" s="9"/>
      <c r="B84" s="60">
        <v>44543.753067708334</v>
      </c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6" x14ac:dyDescent="0.3">
      <c r="A85" s="9"/>
      <c r="B85" s="58" t="s">
        <v>56</v>
      </c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3">
      <c r="A86" s="9"/>
      <c r="B86" s="55"/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  <row r="87" spans="1:26" x14ac:dyDescent="0.3"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rgb="FF92D050"/>
    <outlinePr summaryBelow="0" summaryRight="0"/>
  </sheetPr>
  <dimension ref="A2:Z8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","316", " - ", "Campus Copy Center")</f>
        <v>Department 316 - Campus Copy Center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6788.13</v>
      </c>
      <c r="E12" s="4"/>
      <c r="F12" s="12"/>
      <c r="G12" s="4"/>
      <c r="H12" s="4">
        <f>SUM(OSRRefH13x_0)</f>
        <v>15250</v>
      </c>
      <c r="I12" s="4"/>
      <c r="J12" s="12"/>
      <c r="K12" s="4"/>
      <c r="L12" s="4">
        <f t="shared" ref="L12:L17" si="0">+D12-H12</f>
        <v>-8461.869999999999</v>
      </c>
      <c r="M12" s="4"/>
      <c r="N12" s="12">
        <f t="shared" ref="N12:N17" si="1">IF(H12=0,0,L12/H12)</f>
        <v>-0.55487672131147536</v>
      </c>
      <c r="O12" s="10"/>
      <c r="P12" s="4">
        <f>SUM(OSRRefP13x_0)</f>
        <v>91209</v>
      </c>
      <c r="Q12" s="4"/>
      <c r="R12" s="12"/>
      <c r="S12" s="4"/>
      <c r="T12" s="4">
        <f>SUM(OSRRefT13x_0)</f>
        <v>113400</v>
      </c>
      <c r="U12" s="4"/>
      <c r="V12" s="12"/>
      <c r="W12" s="4"/>
      <c r="X12" s="4">
        <f t="shared" ref="X12:X17" si="2">+P12-T12</f>
        <v>-22191</v>
      </c>
      <c r="Y12" s="4"/>
      <c r="Z12" s="12">
        <f t="shared" ref="Z12:Z17" si="3">IF(T12=0,0,X12/T12)</f>
        <v>-0.19568783068783069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--3447.29</f>
        <v>3447.29</v>
      </c>
      <c r="E13" s="2"/>
      <c r="F13" s="19"/>
      <c r="G13" s="2"/>
      <c r="H13" s="2">
        <v>3050</v>
      </c>
      <c r="I13" s="2"/>
      <c r="J13" s="19"/>
      <c r="K13" s="2"/>
      <c r="L13" s="2">
        <f t="shared" si="0"/>
        <v>397.28999999999996</v>
      </c>
      <c r="M13" s="2"/>
      <c r="N13" s="19">
        <f t="shared" si="1"/>
        <v>0.13025901639344262</v>
      </c>
      <c r="O13" s="11"/>
      <c r="P13" s="2">
        <f>--74011.53</f>
        <v>74011.53</v>
      </c>
      <c r="Q13" s="2"/>
      <c r="R13" s="19"/>
      <c r="S13" s="2"/>
      <c r="T13" s="2">
        <v>59200</v>
      </c>
      <c r="U13" s="2"/>
      <c r="V13" s="19"/>
      <c r="W13" s="2"/>
      <c r="X13" s="2">
        <f t="shared" si="2"/>
        <v>14811.529999999999</v>
      </c>
      <c r="Y13" s="2"/>
      <c r="Z13" s="19">
        <f t="shared" si="3"/>
        <v>0.2501947635135135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--3340.84</f>
        <v>3340.84</v>
      </c>
      <c r="E14" s="2"/>
      <c r="F14" s="19"/>
      <c r="G14" s="2"/>
      <c r="H14" s="2">
        <v>12200</v>
      </c>
      <c r="I14" s="2"/>
      <c r="J14" s="19"/>
      <c r="K14" s="2"/>
      <c r="L14" s="2">
        <f t="shared" si="0"/>
        <v>-8859.16</v>
      </c>
      <c r="M14" s="2"/>
      <c r="N14" s="19">
        <f t="shared" si="1"/>
        <v>-0.72616065573770494</v>
      </c>
      <c r="O14" s="11"/>
      <c r="P14" s="2">
        <f>--17600.47</f>
        <v>17600.47</v>
      </c>
      <c r="Q14" s="2"/>
      <c r="R14" s="19"/>
      <c r="S14" s="2"/>
      <c r="T14" s="2">
        <v>54200</v>
      </c>
      <c r="U14" s="2"/>
      <c r="V14" s="19"/>
      <c r="W14" s="2"/>
      <c r="X14" s="2">
        <f t="shared" si="2"/>
        <v>-36599.53</v>
      </c>
      <c r="Y14" s="2"/>
      <c r="Z14" s="19">
        <f t="shared" si="3"/>
        <v>-0.67526808118081183</v>
      </c>
    </row>
    <row r="15" spans="1:26" s="24" customFormat="1" hidden="1" outlineLevel="1" x14ac:dyDescent="0.3">
      <c r="A15" s="44"/>
      <c r="B15" s="11" t="str">
        <f>CONCATENATE("          ", "4141", " - ", "NON-TAXABLE SALES-LOGO GIFTS")</f>
        <v xml:space="preserve">          4141 - NON-TAXABLE SALES-LOGO GIFTS</v>
      </c>
      <c r="C15" s="11"/>
      <c r="D15" s="2">
        <f t="shared" ref="D15:D17" si="4">0</f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ref="P15:P16" si="5">0</f>
        <v>0</v>
      </c>
      <c r="Q15" s="2"/>
      <c r="R15" s="19"/>
      <c r="S15" s="2"/>
      <c r="T15" s="2"/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"4146", " - ", "NON-TAXABLE SALES-COIN OP MACH")</f>
        <v xml:space="preserve">          4146 - NON-TAXABLE SALES-COIN OP MACH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5"/>
        <v>0</v>
      </c>
      <c r="Q16" s="2"/>
      <c r="R16" s="19"/>
      <c r="S16" s="2"/>
      <c r="T16" s="2"/>
      <c r="U16" s="2"/>
      <c r="V16" s="19"/>
      <c r="W16" s="2"/>
      <c r="X16" s="2">
        <f t="shared" si="2"/>
        <v>0</v>
      </c>
      <c r="Y16" s="2"/>
      <c r="Z16" s="19">
        <f t="shared" si="3"/>
        <v>0</v>
      </c>
    </row>
    <row r="17" spans="1:26" s="24" customFormat="1" hidden="1" outlineLevel="1" x14ac:dyDescent="0.3">
      <c r="A17" s="44"/>
      <c r="B17" s="11" t="str">
        <f>CONCATENATE("          ", "4200", " - ", "TAXABLE RETURNS")</f>
        <v xml:space="preserve">          4200 - TAXABLE RETURNS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-403</f>
        <v>-403</v>
      </c>
      <c r="Q17" s="2"/>
      <c r="R17" s="19"/>
      <c r="S17" s="2"/>
      <c r="T17" s="2"/>
      <c r="U17" s="2"/>
      <c r="V17" s="19"/>
      <c r="W17" s="2"/>
      <c r="X17" s="2">
        <f t="shared" si="2"/>
        <v>-403</v>
      </c>
      <c r="Y17" s="2"/>
      <c r="Z17" s="19">
        <f t="shared" si="3"/>
        <v>0</v>
      </c>
    </row>
    <row r="18" spans="1:26" x14ac:dyDescent="0.3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3">
      <c r="A19" s="10"/>
      <c r="B19" s="25" t="s">
        <v>257</v>
      </c>
      <c r="C19" s="10"/>
      <c r="D19" s="4">
        <f>SUM(OSRRefD16x_0)</f>
        <v>8.26</v>
      </c>
      <c r="E19" s="4"/>
      <c r="F19" s="12">
        <f t="shared" ref="F19:F21" si="6">IF(D$12=0,0,D19/D$12)</f>
        <v>1.2168299664266889E-3</v>
      </c>
      <c r="G19" s="4"/>
      <c r="H19" s="4">
        <f>SUM(OSRRefH16x_0)</f>
        <v>0</v>
      </c>
      <c r="I19" s="4"/>
      <c r="J19" s="12">
        <f t="shared" ref="J19:J21" si="7">IF(H$12=0,0,H19/H$12)</f>
        <v>0</v>
      </c>
      <c r="K19" s="4"/>
      <c r="L19" s="4">
        <f t="shared" ref="L19:L21" si="8">+D19-H19</f>
        <v>8.26</v>
      </c>
      <c r="M19" s="4"/>
      <c r="N19" s="12">
        <f t="shared" ref="N19:N21" si="9">IF(H19=0,0,L19/H19)</f>
        <v>0</v>
      </c>
      <c r="O19" s="10"/>
      <c r="P19" s="4">
        <f>SUM(OSRRefP16x_0)</f>
        <v>8.26</v>
      </c>
      <c r="Q19" s="4"/>
      <c r="R19" s="12">
        <f t="shared" ref="R19:R21" si="10">IF(P$12=0,0,P19/P$12)</f>
        <v>9.0561238474273371E-5</v>
      </c>
      <c r="S19" s="4"/>
      <c r="T19" s="4">
        <f>SUM(OSRRefT16x_0)</f>
        <v>0</v>
      </c>
      <c r="U19" s="4"/>
      <c r="V19" s="12">
        <f t="shared" ref="V19:V21" si="11">IF(T$12=0,0,T19/T$12)</f>
        <v>0</v>
      </c>
      <c r="W19" s="4"/>
      <c r="X19" s="4">
        <f t="shared" ref="X19:X21" si="12">+P19-T19</f>
        <v>8.26</v>
      </c>
      <c r="Y19" s="4"/>
      <c r="Z19" s="12">
        <f t="shared" ref="Z19:Z21" si="13">IF(T19=0,0,X19/T19)</f>
        <v>0</v>
      </c>
    </row>
    <row r="20" spans="1:26" s="24" customFormat="1" hidden="1" outlineLevel="1" x14ac:dyDescent="0.3">
      <c r="A20" s="44"/>
      <c r="B20" s="11" t="str">
        <f>CONCATENATE("          ", "5000", " - ", "PURCHASES @ COST")</f>
        <v xml:space="preserve">          5000 - PURCHASES @ COST</v>
      </c>
      <c r="C20" s="11"/>
      <c r="D20" s="2"/>
      <c r="E20" s="2"/>
      <c r="F20" s="19">
        <f t="shared" si="6"/>
        <v>0</v>
      </c>
      <c r="G20" s="2"/>
      <c r="H20" s="2">
        <v>0</v>
      </c>
      <c r="I20" s="2"/>
      <c r="J20" s="19">
        <f t="shared" si="7"/>
        <v>0</v>
      </c>
      <c r="K20" s="2"/>
      <c r="L20" s="2">
        <f t="shared" si="8"/>
        <v>0</v>
      </c>
      <c r="M20" s="2"/>
      <c r="N20" s="19">
        <f t="shared" si="9"/>
        <v>0</v>
      </c>
      <c r="O20" s="11"/>
      <c r="P20" s="2"/>
      <c r="Q20" s="2"/>
      <c r="R20" s="19">
        <f t="shared" si="10"/>
        <v>0</v>
      </c>
      <c r="S20" s="2"/>
      <c r="T20" s="2">
        <v>0</v>
      </c>
      <c r="U20" s="2"/>
      <c r="V20" s="19">
        <f t="shared" si="11"/>
        <v>0</v>
      </c>
      <c r="W20" s="2"/>
      <c r="X20" s="2">
        <f t="shared" si="12"/>
        <v>0</v>
      </c>
      <c r="Y20" s="2"/>
      <c r="Z20" s="19">
        <f t="shared" si="13"/>
        <v>0</v>
      </c>
    </row>
    <row r="21" spans="1:26" s="24" customFormat="1" hidden="1" outlineLevel="1" x14ac:dyDescent="0.3">
      <c r="A21" s="44"/>
      <c r="B21" s="11" t="str">
        <f>CONCATENATE("          ", "5500", " - ", "FREIGHT-IN")</f>
        <v xml:space="preserve">          5500 - FREIGHT-IN</v>
      </c>
      <c r="C21" s="11"/>
      <c r="D21" s="2">
        <v>8.26</v>
      </c>
      <c r="E21" s="2"/>
      <c r="F21" s="19">
        <f t="shared" si="6"/>
        <v>1.2168299664266889E-3</v>
      </c>
      <c r="G21" s="2"/>
      <c r="H21" s="2"/>
      <c r="I21" s="2"/>
      <c r="J21" s="19">
        <f t="shared" si="7"/>
        <v>0</v>
      </c>
      <c r="K21" s="2"/>
      <c r="L21" s="2">
        <f t="shared" si="8"/>
        <v>8.26</v>
      </c>
      <c r="M21" s="2"/>
      <c r="N21" s="19">
        <f t="shared" si="9"/>
        <v>0</v>
      </c>
      <c r="O21" s="11"/>
      <c r="P21" s="2">
        <v>8.26</v>
      </c>
      <c r="Q21" s="2"/>
      <c r="R21" s="19">
        <f t="shared" si="10"/>
        <v>9.0561238474273371E-5</v>
      </c>
      <c r="S21" s="2"/>
      <c r="T21" s="2"/>
      <c r="U21" s="2"/>
      <c r="V21" s="19">
        <f t="shared" si="11"/>
        <v>0</v>
      </c>
      <c r="W21" s="2"/>
      <c r="X21" s="2">
        <f t="shared" si="12"/>
        <v>8.26</v>
      </c>
      <c r="Y21" s="2"/>
      <c r="Z21" s="19">
        <f t="shared" si="13"/>
        <v>0</v>
      </c>
    </row>
    <row r="22" spans="1:26" x14ac:dyDescent="0.3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3">
      <c r="A23" s="10"/>
      <c r="B23" s="26" t="s">
        <v>108</v>
      </c>
      <c r="C23" s="26"/>
      <c r="D23" s="20">
        <f>D12-D19</f>
        <v>6779.87</v>
      </c>
      <c r="E23" s="13"/>
      <c r="F23" s="22">
        <f>IF(D$12=0,0,D23/D$12)</f>
        <v>0.99878317003357331</v>
      </c>
      <c r="G23" s="13"/>
      <c r="H23" s="20">
        <f>H12-H19</f>
        <v>15250</v>
      </c>
      <c r="I23" s="13"/>
      <c r="J23" s="22">
        <f>IF(H$12=0,0,H23/H$12)</f>
        <v>1</v>
      </c>
      <c r="K23" s="15"/>
      <c r="L23" s="20">
        <f>+D23-H23</f>
        <v>-8470.130000000001</v>
      </c>
      <c r="M23" s="15"/>
      <c r="N23" s="22">
        <f>IF(H23=0,0,L23/H23)</f>
        <v>-0.5554183606557378</v>
      </c>
      <c r="O23" s="25"/>
      <c r="P23" s="20">
        <f>P12-P19</f>
        <v>91200.74</v>
      </c>
      <c r="Q23" s="13"/>
      <c r="R23" s="22">
        <f>IF(P$12=0,0,P23/P$12)</f>
        <v>0.99990943876152583</v>
      </c>
      <c r="S23" s="13"/>
      <c r="T23" s="20">
        <f>T12-T19</f>
        <v>113400</v>
      </c>
      <c r="U23" s="13"/>
      <c r="V23" s="22">
        <f>IF(T$12=0,0,T23/T$12)</f>
        <v>1</v>
      </c>
      <c r="W23" s="15"/>
      <c r="X23" s="20">
        <f>+P23-T23</f>
        <v>-22199.259999999995</v>
      </c>
      <c r="Y23" s="15"/>
      <c r="Z23" s="22">
        <f>IF(T23=0,0,X23/T23)</f>
        <v>-0.19576067019400348</v>
      </c>
    </row>
    <row r="24" spans="1:26" x14ac:dyDescent="0.3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">
      <c r="A25" s="10"/>
      <c r="B25" s="25" t="s">
        <v>295</v>
      </c>
      <c r="C25" s="10"/>
      <c r="D25" s="21">
        <f>SUM(OSRRefD22x_0)</f>
        <v>12008.600000000002</v>
      </c>
      <c r="E25" s="21"/>
      <c r="F25" s="30">
        <f t="shared" ref="F25:F35" si="14">IF(D$12=0,0,D25/D$12)</f>
        <v>1.7690586361781524</v>
      </c>
      <c r="G25" s="21"/>
      <c r="H25" s="21">
        <f>SUM(OSRRefH22x_0)</f>
        <v>35164.057119615391</v>
      </c>
      <c r="I25" s="21"/>
      <c r="J25" s="30">
        <f t="shared" ref="J25:J35" si="15">IF(H$12=0,0,H25/H$12)</f>
        <v>2.3058398111223206</v>
      </c>
      <c r="K25" s="4"/>
      <c r="L25" s="21">
        <f t="shared" ref="L25:L35" si="16">+D25-H25</f>
        <v>-23155.457119615388</v>
      </c>
      <c r="M25" s="4"/>
      <c r="N25" s="30">
        <f t="shared" ref="N25:N35" si="17">IF(H25=0,0,L25/H25)</f>
        <v>-0.65849788153991751</v>
      </c>
      <c r="O25" s="10"/>
      <c r="P25" s="21">
        <f>SUM(OSRRefP22x_0)</f>
        <v>125373.06999999998</v>
      </c>
      <c r="Q25" s="21"/>
      <c r="R25" s="30">
        <f t="shared" ref="R25:R35" si="18">IF(P$12=0,0,P25/P$12)</f>
        <v>1.3745690666491244</v>
      </c>
      <c r="S25" s="21"/>
      <c r="T25" s="21">
        <f>SUM(OSRRefT22x_0)</f>
        <v>175415.74824057706</v>
      </c>
      <c r="U25" s="21"/>
      <c r="V25" s="30">
        <f t="shared" ref="V25:V35" si="19">IF(T$12=0,0,T25/T$12)</f>
        <v>1.5468760867775755</v>
      </c>
      <c r="W25" s="4"/>
      <c r="X25" s="21">
        <f t="shared" ref="X25:X35" si="20">+P25-T25</f>
        <v>-50042.678240577079</v>
      </c>
      <c r="Y25" s="4"/>
      <c r="Z25" s="30">
        <f t="shared" ref="Z25:Z35" si="21">IF(T25=0,0,X25/T25)</f>
        <v>-0.28528041947491029</v>
      </c>
    </row>
    <row r="26" spans="1:26" s="29" customFormat="1" outlineLevel="1" collapsed="1" x14ac:dyDescent="0.3">
      <c r="A26" s="28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11414.57</v>
      </c>
      <c r="E26" s="1"/>
      <c r="F26" s="5">
        <f t="shared" si="14"/>
        <v>1.6815485266192602</v>
      </c>
      <c r="G26" s="1"/>
      <c r="H26" s="1">
        <f>SUM(OSRRefH22_0x_0)</f>
        <v>4440.9609657692326</v>
      </c>
      <c r="I26" s="1"/>
      <c r="J26" s="5">
        <f t="shared" si="15"/>
        <v>0.29121055513240868</v>
      </c>
      <c r="K26" s="1"/>
      <c r="L26" s="1">
        <f t="shared" si="16"/>
        <v>6973.6090342307671</v>
      </c>
      <c r="M26" s="1"/>
      <c r="N26" s="5">
        <f t="shared" si="17"/>
        <v>1.5702928010363286</v>
      </c>
      <c r="O26" s="14"/>
      <c r="P26" s="1">
        <f>SUM(OSRRefP22_0x_0)</f>
        <v>47835.28</v>
      </c>
      <c r="Q26" s="1"/>
      <c r="R26" s="5">
        <f t="shared" si="18"/>
        <v>0.52445789340964155</v>
      </c>
      <c r="S26" s="1"/>
      <c r="T26" s="1">
        <f>SUM(OSRRefT22_0x_0)</f>
        <v>35421.632855961543</v>
      </c>
      <c r="U26" s="1"/>
      <c r="V26" s="5">
        <f t="shared" si="19"/>
        <v>0.31236007809489896</v>
      </c>
      <c r="W26" s="1"/>
      <c r="X26" s="1">
        <f t="shared" si="20"/>
        <v>12413.647144038456</v>
      </c>
      <c r="Y26" s="1"/>
      <c r="Z26" s="5">
        <f t="shared" si="21"/>
        <v>0.35045383691139498</v>
      </c>
    </row>
    <row r="27" spans="1:26" s="24" customFormat="1" hidden="1" outlineLevel="2" x14ac:dyDescent="0.3">
      <c r="A27" s="27"/>
      <c r="B27" s="11" t="str">
        <f>CONCATENATE("          ", "6111", " - ", "F.I.C.A.")</f>
        <v xml:space="preserve">          6111 - F.I.C.A.</v>
      </c>
      <c r="C27" s="11"/>
      <c r="D27" s="6">
        <v>2780.09</v>
      </c>
      <c r="E27" s="2"/>
      <c r="F27" s="7">
        <f t="shared" si="14"/>
        <v>0.40955167328851982</v>
      </c>
      <c r="G27" s="2"/>
      <c r="H27" s="6">
        <v>743.09746961538497</v>
      </c>
      <c r="I27" s="2"/>
      <c r="J27" s="7">
        <f t="shared" si="15"/>
        <v>4.8727702925599012E-2</v>
      </c>
      <c r="K27" s="2"/>
      <c r="L27" s="6">
        <f t="shared" si="16"/>
        <v>2036.9925303846153</v>
      </c>
      <c r="M27" s="2"/>
      <c r="N27" s="7">
        <f t="shared" si="17"/>
        <v>2.741218499154531</v>
      </c>
      <c r="O27" s="11"/>
      <c r="P27" s="6">
        <v>8471.68</v>
      </c>
      <c r="Q27" s="2"/>
      <c r="R27" s="7">
        <f t="shared" si="18"/>
        <v>9.2882062077207297E-2</v>
      </c>
      <c r="S27" s="2"/>
      <c r="T27" s="6">
        <v>5704.4829155769303</v>
      </c>
      <c r="U27" s="2"/>
      <c r="V27" s="7">
        <f t="shared" si="19"/>
        <v>5.0304082147944712E-2</v>
      </c>
      <c r="W27" s="2"/>
      <c r="X27" s="6">
        <f t="shared" si="20"/>
        <v>2767.19708442307</v>
      </c>
      <c r="Y27" s="2"/>
      <c r="Z27" s="7">
        <f t="shared" si="21"/>
        <v>0.4850916595554754</v>
      </c>
    </row>
    <row r="28" spans="1:26" s="24" customFormat="1" hidden="1" outlineLevel="2" x14ac:dyDescent="0.3">
      <c r="A28" s="27"/>
      <c r="B28" s="11" t="str">
        <f>CONCATENATE("          ", "6112", " - ", "COMPENSATION INSURANCE")</f>
        <v xml:space="preserve">          6112 - COMPENSATION INSURANCE</v>
      </c>
      <c r="C28" s="11"/>
      <c r="D28" s="6">
        <v>567.87</v>
      </c>
      <c r="E28" s="2"/>
      <c r="F28" s="7">
        <f t="shared" si="14"/>
        <v>8.3656323611952035E-2</v>
      </c>
      <c r="G28" s="2"/>
      <c r="H28" s="6">
        <v>151.4742</v>
      </c>
      <c r="I28" s="2"/>
      <c r="J28" s="7">
        <f t="shared" si="15"/>
        <v>9.9327344262295086E-3</v>
      </c>
      <c r="K28" s="2"/>
      <c r="L28" s="6">
        <f t="shared" si="16"/>
        <v>416.39580000000001</v>
      </c>
      <c r="M28" s="2"/>
      <c r="N28" s="7">
        <f t="shared" si="17"/>
        <v>2.7489552676297353</v>
      </c>
      <c r="O28" s="11"/>
      <c r="P28" s="6">
        <v>1838.04</v>
      </c>
      <c r="Q28" s="2"/>
      <c r="R28" s="7">
        <f t="shared" si="18"/>
        <v>2.0151958688287341E-2</v>
      </c>
      <c r="S28" s="2"/>
      <c r="T28" s="6">
        <v>1162.8110999999999</v>
      </c>
      <c r="U28" s="2"/>
      <c r="V28" s="7">
        <f t="shared" si="19"/>
        <v>1.0254066137566136E-2</v>
      </c>
      <c r="W28" s="2"/>
      <c r="X28" s="6">
        <f t="shared" si="20"/>
        <v>675.22890000000007</v>
      </c>
      <c r="Y28" s="2"/>
      <c r="Z28" s="7">
        <f t="shared" si="21"/>
        <v>0.58068666527177126</v>
      </c>
    </row>
    <row r="29" spans="1:26" s="24" customFormat="1" hidden="1" outlineLevel="2" x14ac:dyDescent="0.3">
      <c r="A29" s="27"/>
      <c r="B29" s="11" t="str">
        <f>CONCATENATE("          ", "6113", " - ", "GROUP INSURANCE")</f>
        <v xml:space="preserve">          6113 - GROUP INSURANCE</v>
      </c>
      <c r="C29" s="11"/>
      <c r="D29" s="6">
        <v>2817.93</v>
      </c>
      <c r="E29" s="2"/>
      <c r="F29" s="7">
        <f t="shared" si="14"/>
        <v>0.41512610984173842</v>
      </c>
      <c r="G29" s="2"/>
      <c r="H29" s="6">
        <v>1326</v>
      </c>
      <c r="I29" s="2"/>
      <c r="J29" s="7">
        <f t="shared" si="15"/>
        <v>8.6950819672131141E-2</v>
      </c>
      <c r="K29" s="2"/>
      <c r="L29" s="6">
        <f t="shared" si="16"/>
        <v>1491.9299999999998</v>
      </c>
      <c r="M29" s="2"/>
      <c r="N29" s="7">
        <f t="shared" si="17"/>
        <v>1.1251357466063348</v>
      </c>
      <c r="O29" s="11"/>
      <c r="P29" s="6">
        <v>16492.599999999999</v>
      </c>
      <c r="Q29" s="2"/>
      <c r="R29" s="7">
        <f t="shared" si="18"/>
        <v>0.18082206799767564</v>
      </c>
      <c r="S29" s="2"/>
      <c r="T29" s="6">
        <v>11572.5</v>
      </c>
      <c r="U29" s="2"/>
      <c r="V29" s="7">
        <f t="shared" si="19"/>
        <v>0.10205026455026454</v>
      </c>
      <c r="W29" s="2"/>
      <c r="X29" s="6">
        <f t="shared" si="20"/>
        <v>4920.0999999999985</v>
      </c>
      <c r="Y29" s="2"/>
      <c r="Z29" s="7">
        <f t="shared" si="21"/>
        <v>0.42515446100669679</v>
      </c>
    </row>
    <row r="30" spans="1:26" s="24" customFormat="1" hidden="1" outlineLevel="2" x14ac:dyDescent="0.3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99.76</v>
      </c>
      <c r="E30" s="2"/>
      <c r="F30" s="7">
        <f t="shared" si="14"/>
        <v>1.4696241822121852E-2</v>
      </c>
      <c r="G30" s="2"/>
      <c r="H30" s="6">
        <v>20.390757692307702</v>
      </c>
      <c r="I30" s="2"/>
      <c r="J30" s="7">
        <f t="shared" si="15"/>
        <v>1.3370988650693574E-3</v>
      </c>
      <c r="K30" s="2"/>
      <c r="L30" s="6">
        <f t="shared" si="16"/>
        <v>79.369242307692303</v>
      </c>
      <c r="M30" s="2"/>
      <c r="N30" s="7">
        <f t="shared" si="17"/>
        <v>3.8924126069937022</v>
      </c>
      <c r="O30" s="11"/>
      <c r="P30" s="6">
        <v>322.89999999999998</v>
      </c>
      <c r="Q30" s="2"/>
      <c r="R30" s="7">
        <f t="shared" si="18"/>
        <v>3.5402208115427203E-3</v>
      </c>
      <c r="S30" s="2"/>
      <c r="T30" s="6">
        <v>156.53226346153801</v>
      </c>
      <c r="U30" s="2"/>
      <c r="V30" s="7">
        <f t="shared" si="19"/>
        <v>1.380355056980053E-3</v>
      </c>
      <c r="W30" s="2"/>
      <c r="X30" s="6">
        <f t="shared" si="20"/>
        <v>166.36773653846197</v>
      </c>
      <c r="Y30" s="2"/>
      <c r="Z30" s="7">
        <f t="shared" si="21"/>
        <v>1.0628335198087815</v>
      </c>
    </row>
    <row r="31" spans="1:26" s="24" customFormat="1" hidden="1" outlineLevel="2" x14ac:dyDescent="0.3">
      <c r="A31" s="27"/>
      <c r="B31" s="11" t="str">
        <f>CONCATENATE("          ", "6115", " - ", "P.E.R.S.")</f>
        <v xml:space="preserve">          6115 - P.E.R.S.</v>
      </c>
      <c r="C31" s="11"/>
      <c r="D31" s="6">
        <v>3677.36</v>
      </c>
      <c r="E31" s="2"/>
      <c r="F31" s="7">
        <f t="shared" si="14"/>
        <v>0.54173387958097441</v>
      </c>
      <c r="G31" s="2"/>
      <c r="H31" s="6">
        <v>762.81007692307799</v>
      </c>
      <c r="I31" s="2"/>
      <c r="J31" s="7">
        <f t="shared" si="15"/>
        <v>5.002033291298872E-2</v>
      </c>
      <c r="K31" s="2"/>
      <c r="L31" s="6">
        <f t="shared" si="16"/>
        <v>2914.5499230769219</v>
      </c>
      <c r="M31" s="2"/>
      <c r="N31" s="7">
        <f t="shared" si="17"/>
        <v>3.8208067922139235</v>
      </c>
      <c r="O31" s="11"/>
      <c r="P31" s="6">
        <v>10835.91</v>
      </c>
      <c r="Q31" s="2"/>
      <c r="R31" s="7">
        <f t="shared" si="18"/>
        <v>0.11880307864355491</v>
      </c>
      <c r="S31" s="2"/>
      <c r="T31" s="6">
        <v>6013.0488846153803</v>
      </c>
      <c r="U31" s="2"/>
      <c r="V31" s="7">
        <f t="shared" si="19"/>
        <v>5.3025122439289071E-2</v>
      </c>
      <c r="W31" s="2"/>
      <c r="X31" s="6">
        <f t="shared" si="20"/>
        <v>4822.8611153846196</v>
      </c>
      <c r="Y31" s="2"/>
      <c r="Z31" s="7">
        <f t="shared" si="21"/>
        <v>0.8020658417935197</v>
      </c>
    </row>
    <row r="32" spans="1:26" s="24" customFormat="1" hidden="1" outlineLevel="2" x14ac:dyDescent="0.3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4"/>
        <v>0</v>
      </c>
      <c r="G32" s="2"/>
      <c r="H32" s="6">
        <v>0</v>
      </c>
      <c r="I32" s="2"/>
      <c r="J32" s="7">
        <f t="shared" si="15"/>
        <v>0</v>
      </c>
      <c r="K32" s="2"/>
      <c r="L32" s="6">
        <f t="shared" si="16"/>
        <v>0</v>
      </c>
      <c r="M32" s="2"/>
      <c r="N32" s="7">
        <f t="shared" si="17"/>
        <v>0</v>
      </c>
      <c r="O32" s="11"/>
      <c r="P32" s="6"/>
      <c r="Q32" s="2"/>
      <c r="R32" s="7">
        <f t="shared" si="18"/>
        <v>0</v>
      </c>
      <c r="S32" s="2"/>
      <c r="T32" s="6">
        <v>0</v>
      </c>
      <c r="U32" s="2"/>
      <c r="V32" s="7">
        <f t="shared" si="19"/>
        <v>0</v>
      </c>
      <c r="W32" s="2"/>
      <c r="X32" s="6">
        <f t="shared" si="20"/>
        <v>0</v>
      </c>
      <c r="Y32" s="2"/>
      <c r="Z32" s="7">
        <f t="shared" si="21"/>
        <v>0</v>
      </c>
    </row>
    <row r="33" spans="1:26" s="24" customFormat="1" hidden="1" outlineLevel="2" x14ac:dyDescent="0.3">
      <c r="A33" s="27"/>
      <c r="B33" s="11" t="str">
        <f>CONCATENATE("          ", "6118", " - ", "VACATION")</f>
        <v xml:space="preserve">          6118 - VACATION</v>
      </c>
      <c r="C33" s="11"/>
      <c r="D33" s="6">
        <v>639.32000000000005</v>
      </c>
      <c r="E33" s="2"/>
      <c r="F33" s="7">
        <f t="shared" si="14"/>
        <v>9.4182050137519471E-2</v>
      </c>
      <c r="G33" s="2"/>
      <c r="H33" s="6">
        <v>620.89192307692304</v>
      </c>
      <c r="I33" s="2"/>
      <c r="J33" s="7">
        <f t="shared" si="15"/>
        <v>4.0714224464060526E-2</v>
      </c>
      <c r="K33" s="2"/>
      <c r="L33" s="6">
        <f t="shared" si="16"/>
        <v>18.428076923077015</v>
      </c>
      <c r="M33" s="2"/>
      <c r="N33" s="7">
        <f t="shared" si="17"/>
        <v>2.9680007483031696E-2</v>
      </c>
      <c r="O33" s="11"/>
      <c r="P33" s="6">
        <v>4603.24</v>
      </c>
      <c r="Q33" s="2"/>
      <c r="R33" s="7">
        <f t="shared" si="18"/>
        <v>5.0469142299553772E-2</v>
      </c>
      <c r="S33" s="2"/>
      <c r="T33" s="6">
        <v>5528.3863461538403</v>
      </c>
      <c r="U33" s="2"/>
      <c r="V33" s="7">
        <f t="shared" si="19"/>
        <v>4.875120234703563E-2</v>
      </c>
      <c r="W33" s="2"/>
      <c r="X33" s="6">
        <f t="shared" si="20"/>
        <v>-925.14634615384057</v>
      </c>
      <c r="Y33" s="2"/>
      <c r="Z33" s="7">
        <f t="shared" si="21"/>
        <v>-0.16734473465254018</v>
      </c>
    </row>
    <row r="34" spans="1:26" s="24" customFormat="1" hidden="1" outlineLevel="2" x14ac:dyDescent="0.3">
      <c r="A34" s="27"/>
      <c r="B34" s="11" t="str">
        <f>CONCATENATE("          ", "6119", " - ", "SICK LEAVE")</f>
        <v xml:space="preserve">          6119 - SICK LEAVE</v>
      </c>
      <c r="C34" s="11"/>
      <c r="D34" s="6">
        <v>410.1</v>
      </c>
      <c r="E34" s="2"/>
      <c r="F34" s="7">
        <f t="shared" si="14"/>
        <v>6.041428198929602E-2</v>
      </c>
      <c r="G34" s="2"/>
      <c r="H34" s="6">
        <v>291.296538461539</v>
      </c>
      <c r="I34" s="2"/>
      <c r="J34" s="7">
        <f t="shared" si="15"/>
        <v>1.9101412358133705E-2</v>
      </c>
      <c r="K34" s="2"/>
      <c r="L34" s="6">
        <f t="shared" si="16"/>
        <v>118.80346153846102</v>
      </c>
      <c r="M34" s="2"/>
      <c r="N34" s="7">
        <f t="shared" si="17"/>
        <v>0.40784371199847641</v>
      </c>
      <c r="O34" s="11"/>
      <c r="P34" s="6">
        <v>3045.03</v>
      </c>
      <c r="Q34" s="2"/>
      <c r="R34" s="7">
        <f t="shared" si="18"/>
        <v>3.3385192250764729E-2</v>
      </c>
      <c r="S34" s="2"/>
      <c r="T34" s="6">
        <v>2658.87134615385</v>
      </c>
      <c r="U34" s="2"/>
      <c r="V34" s="7">
        <f t="shared" si="19"/>
        <v>2.3446837267670634E-2</v>
      </c>
      <c r="W34" s="2"/>
      <c r="X34" s="6">
        <f t="shared" si="20"/>
        <v>386.15865384615017</v>
      </c>
      <c r="Y34" s="2"/>
      <c r="Z34" s="7">
        <f t="shared" si="21"/>
        <v>0.14523404993052488</v>
      </c>
    </row>
    <row r="35" spans="1:26" s="24" customFormat="1" hidden="1" outlineLevel="2" x14ac:dyDescent="0.3">
      <c r="A35" s="27"/>
      <c r="B35" s="11" t="str">
        <f>CONCATENATE("          ", "6156", " - ", "EMPLOYEE MEALS")</f>
        <v xml:space="preserve">          6156 - EMPLOYEE MEALS</v>
      </c>
      <c r="C35" s="11"/>
      <c r="D35" s="6">
        <v>422.14</v>
      </c>
      <c r="E35" s="2"/>
      <c r="F35" s="7">
        <f t="shared" si="14"/>
        <v>6.2187966347138308E-2</v>
      </c>
      <c r="G35" s="2"/>
      <c r="H35" s="6">
        <v>525</v>
      </c>
      <c r="I35" s="2"/>
      <c r="J35" s="7">
        <f t="shared" si="15"/>
        <v>3.4426229508196723E-2</v>
      </c>
      <c r="K35" s="2"/>
      <c r="L35" s="6">
        <f t="shared" si="16"/>
        <v>-102.86000000000001</v>
      </c>
      <c r="M35" s="2"/>
      <c r="N35" s="7">
        <f t="shared" si="17"/>
        <v>-0.19592380952380956</v>
      </c>
      <c r="O35" s="11"/>
      <c r="P35" s="6">
        <v>2225.88</v>
      </c>
      <c r="Q35" s="2"/>
      <c r="R35" s="7">
        <f t="shared" si="18"/>
        <v>2.440417064105516E-2</v>
      </c>
      <c r="S35" s="2"/>
      <c r="T35" s="6">
        <v>2625</v>
      </c>
      <c r="U35" s="2"/>
      <c r="V35" s="7">
        <f t="shared" si="19"/>
        <v>2.3148148148148147E-2</v>
      </c>
      <c r="W35" s="2"/>
      <c r="X35" s="6">
        <f t="shared" si="20"/>
        <v>-399.11999999999989</v>
      </c>
      <c r="Y35" s="2"/>
      <c r="Z35" s="7">
        <f t="shared" si="21"/>
        <v>-0.15204571428571426</v>
      </c>
    </row>
    <row r="36" spans="1:26" s="29" customFormat="1" outlineLevel="1" collapsed="1" x14ac:dyDescent="0.3">
      <c r="A36" s="28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SUM(OSRRefD22_1x_0)</f>
        <v>91.619999999999891</v>
      </c>
      <c r="E36" s="1"/>
      <c r="F36" s="5">
        <f t="shared" ref="F36:F46" si="22">IF(D$12=0,0,D36/D$12)</f>
        <v>1.3497089772882942E-2</v>
      </c>
      <c r="G36" s="1"/>
      <c r="H36" s="1">
        <f>SUM(OSRRefH22_1x_0)</f>
        <v>8848.0961538461597</v>
      </c>
      <c r="I36" s="1"/>
      <c r="J36" s="5">
        <f t="shared" ref="J36:J46" si="23">IF(H$12=0,0,H36/H$12)</f>
        <v>0.5802030264817154</v>
      </c>
      <c r="K36" s="1"/>
      <c r="L36" s="1">
        <f t="shared" ref="L36:L46" si="24">+D36-H36</f>
        <v>-8756.4761538461607</v>
      </c>
      <c r="M36" s="1"/>
      <c r="N36" s="5">
        <f t="shared" ref="N36:N46" si="25">IF(H36=0,0,L36/H36)</f>
        <v>-0.98964523006905014</v>
      </c>
      <c r="O36" s="14"/>
      <c r="P36" s="1">
        <f>SUM(OSRRefP22_1x_0)</f>
        <v>77350.159999999989</v>
      </c>
      <c r="Q36" s="1"/>
      <c r="R36" s="5">
        <f t="shared" ref="R36:R46" si="26">IF(P$12=0,0,P36/P$12)</f>
        <v>0.84805402975583533</v>
      </c>
      <c r="S36" s="1"/>
      <c r="T36" s="1">
        <f>SUM(OSRRefT22_1x_0)</f>
        <v>66629.115384615507</v>
      </c>
      <c r="U36" s="1"/>
      <c r="V36" s="5">
        <f t="shared" ref="V36:V46" si="27">IF(T$12=0,0,T36/T$12)</f>
        <v>0.58755833672500446</v>
      </c>
      <c r="W36" s="1"/>
      <c r="X36" s="1">
        <f t="shared" ref="X36:X46" si="28">+P36-T36</f>
        <v>10721.044615384482</v>
      </c>
      <c r="Y36" s="1"/>
      <c r="Z36" s="5">
        <f t="shared" ref="Z36:Z46" si="29">IF(T36=0,0,X36/T36)</f>
        <v>0.16090630280017112</v>
      </c>
    </row>
    <row r="37" spans="1:26" s="24" customFormat="1" hidden="1" outlineLevel="2" x14ac:dyDescent="0.3">
      <c r="A37" s="27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2"/>
        <v>0</v>
      </c>
      <c r="G37" s="2"/>
      <c r="H37" s="6">
        <v>0</v>
      </c>
      <c r="I37" s="2"/>
      <c r="J37" s="7">
        <f t="shared" si="23"/>
        <v>0</v>
      </c>
      <c r="K37" s="2"/>
      <c r="L37" s="6">
        <f t="shared" si="24"/>
        <v>0</v>
      </c>
      <c r="M37" s="2"/>
      <c r="N37" s="7">
        <f t="shared" si="25"/>
        <v>0</v>
      </c>
      <c r="O37" s="11"/>
      <c r="P37" s="6"/>
      <c r="Q37" s="2"/>
      <c r="R37" s="7">
        <f t="shared" si="26"/>
        <v>0</v>
      </c>
      <c r="S37" s="2"/>
      <c r="T37" s="6">
        <v>0</v>
      </c>
      <c r="U37" s="2"/>
      <c r="V37" s="7">
        <f t="shared" si="27"/>
        <v>0</v>
      </c>
      <c r="W37" s="2"/>
      <c r="X37" s="6">
        <f t="shared" si="28"/>
        <v>0</v>
      </c>
      <c r="Y37" s="2"/>
      <c r="Z37" s="7">
        <f t="shared" si="29"/>
        <v>0</v>
      </c>
    </row>
    <row r="38" spans="1:26" s="24" customFormat="1" hidden="1" outlineLevel="2" x14ac:dyDescent="0.3">
      <c r="A38" s="27"/>
      <c r="B38" s="11" t="str">
        <f>CONCATENATE("          ", "6002", " - ", "STAFF SALARIES")</f>
        <v xml:space="preserve">          6002 - STAFF SALARIES</v>
      </c>
      <c r="C38" s="11"/>
      <c r="D38" s="6">
        <v>-1936.7</v>
      </c>
      <c r="E38" s="2"/>
      <c r="F38" s="7">
        <f t="shared" si="22"/>
        <v>-0.285306851813386</v>
      </c>
      <c r="G38" s="2"/>
      <c r="H38" s="6">
        <v>7982.8961538461599</v>
      </c>
      <c r="I38" s="2"/>
      <c r="J38" s="7">
        <f t="shared" si="23"/>
        <v>0.52346860025220721</v>
      </c>
      <c r="K38" s="2"/>
      <c r="L38" s="6">
        <f t="shared" si="24"/>
        <v>-9919.5961538461597</v>
      </c>
      <c r="M38" s="2"/>
      <c r="N38" s="7">
        <f t="shared" si="25"/>
        <v>-1.2426061873630785</v>
      </c>
      <c r="O38" s="11"/>
      <c r="P38" s="6">
        <v>66261.009999999995</v>
      </c>
      <c r="Q38" s="2"/>
      <c r="R38" s="7">
        <f t="shared" si="26"/>
        <v>0.72647447072109106</v>
      </c>
      <c r="S38" s="2"/>
      <c r="T38" s="6">
        <v>61870.515384615501</v>
      </c>
      <c r="U38" s="2"/>
      <c r="V38" s="7">
        <f t="shared" si="27"/>
        <v>0.54559537376204148</v>
      </c>
      <c r="W38" s="2"/>
      <c r="X38" s="6">
        <f t="shared" si="28"/>
        <v>4390.494615384494</v>
      </c>
      <c r="Y38" s="2"/>
      <c r="Z38" s="7">
        <f t="shared" si="29"/>
        <v>7.0962632008011658E-2</v>
      </c>
    </row>
    <row r="39" spans="1:26" s="24" customFormat="1" hidden="1" outlineLevel="2" x14ac:dyDescent="0.3">
      <c r="A39" s="27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2"/>
        <v>0</v>
      </c>
      <c r="G39" s="2"/>
      <c r="H39" s="6">
        <v>0</v>
      </c>
      <c r="I39" s="2"/>
      <c r="J39" s="7">
        <f t="shared" si="23"/>
        <v>0</v>
      </c>
      <c r="K39" s="2"/>
      <c r="L39" s="6">
        <f t="shared" si="24"/>
        <v>0</v>
      </c>
      <c r="M39" s="2"/>
      <c r="N39" s="7">
        <f t="shared" si="25"/>
        <v>0</v>
      </c>
      <c r="O39" s="11"/>
      <c r="P39" s="6"/>
      <c r="Q39" s="2"/>
      <c r="R39" s="7">
        <f t="shared" si="26"/>
        <v>0</v>
      </c>
      <c r="S39" s="2"/>
      <c r="T39" s="6">
        <v>0</v>
      </c>
      <c r="U39" s="2"/>
      <c r="V39" s="7">
        <f t="shared" si="27"/>
        <v>0</v>
      </c>
      <c r="W39" s="2"/>
      <c r="X39" s="6">
        <f t="shared" si="28"/>
        <v>0</v>
      </c>
      <c r="Y39" s="2"/>
      <c r="Z39" s="7">
        <f t="shared" si="29"/>
        <v>0</v>
      </c>
    </row>
    <row r="40" spans="1:26" s="24" customFormat="1" hidden="1" outlineLevel="2" x14ac:dyDescent="0.3">
      <c r="A40" s="27"/>
      <c r="B40" s="11" t="str">
        <f>CONCATENATE("          ", "6004", " - ", "STAFF HOURLY")</f>
        <v xml:space="preserve">          6004 - STAFF HOURLY</v>
      </c>
      <c r="C40" s="11"/>
      <c r="D40" s="6"/>
      <c r="E40" s="2"/>
      <c r="F40" s="7">
        <f t="shared" si="22"/>
        <v>0</v>
      </c>
      <c r="G40" s="2"/>
      <c r="H40" s="6">
        <v>0</v>
      </c>
      <c r="I40" s="2"/>
      <c r="J40" s="7">
        <f t="shared" si="23"/>
        <v>0</v>
      </c>
      <c r="K40" s="2"/>
      <c r="L40" s="6">
        <f t="shared" si="24"/>
        <v>0</v>
      </c>
      <c r="M40" s="2"/>
      <c r="N40" s="7">
        <f t="shared" si="25"/>
        <v>0</v>
      </c>
      <c r="O40" s="11"/>
      <c r="P40" s="6"/>
      <c r="Q40" s="2"/>
      <c r="R40" s="7">
        <f t="shared" si="26"/>
        <v>0</v>
      </c>
      <c r="S40" s="2"/>
      <c r="T40" s="6">
        <v>0</v>
      </c>
      <c r="U40" s="2"/>
      <c r="V40" s="7">
        <f t="shared" si="27"/>
        <v>0</v>
      </c>
      <c r="W40" s="2"/>
      <c r="X40" s="6">
        <f t="shared" si="28"/>
        <v>0</v>
      </c>
      <c r="Y40" s="2"/>
      <c r="Z40" s="7">
        <f t="shared" si="29"/>
        <v>0</v>
      </c>
    </row>
    <row r="41" spans="1:26" s="24" customFormat="1" hidden="1" outlineLevel="2" x14ac:dyDescent="0.3">
      <c r="A41" s="27"/>
      <c r="B41" s="11" t="str">
        <f>CONCATENATE("          ", "6005", " - ", "TEMPORARY WAGES-HOURLY")</f>
        <v xml:space="preserve">          6005 - TEMPORARY WAGES-HOURLY</v>
      </c>
      <c r="C41" s="11"/>
      <c r="D41" s="6"/>
      <c r="E41" s="2"/>
      <c r="F41" s="7">
        <f t="shared" si="22"/>
        <v>0</v>
      </c>
      <c r="G41" s="2"/>
      <c r="H41" s="6">
        <v>0</v>
      </c>
      <c r="I41" s="2"/>
      <c r="J41" s="7">
        <f t="shared" si="23"/>
        <v>0</v>
      </c>
      <c r="K41" s="2"/>
      <c r="L41" s="6">
        <f t="shared" si="24"/>
        <v>0</v>
      </c>
      <c r="M41" s="2"/>
      <c r="N41" s="7">
        <f t="shared" si="25"/>
        <v>0</v>
      </c>
      <c r="O41" s="11"/>
      <c r="P41" s="6"/>
      <c r="Q41" s="2"/>
      <c r="R41" s="7">
        <f t="shared" si="26"/>
        <v>0</v>
      </c>
      <c r="S41" s="2"/>
      <c r="T41" s="6">
        <v>0</v>
      </c>
      <c r="U41" s="2"/>
      <c r="V41" s="7">
        <f t="shared" si="27"/>
        <v>0</v>
      </c>
      <c r="W41" s="2"/>
      <c r="X41" s="6">
        <f t="shared" si="28"/>
        <v>0</v>
      </c>
      <c r="Y41" s="2"/>
      <c r="Z41" s="7">
        <f t="shared" si="29"/>
        <v>0</v>
      </c>
    </row>
    <row r="42" spans="1:26" s="24" customFormat="1" hidden="1" outlineLevel="2" x14ac:dyDescent="0.3">
      <c r="A42" s="27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2"/>
        <v>0</v>
      </c>
      <c r="G42" s="2"/>
      <c r="H42" s="6">
        <v>0</v>
      </c>
      <c r="I42" s="2"/>
      <c r="J42" s="7">
        <f t="shared" si="23"/>
        <v>0</v>
      </c>
      <c r="K42" s="2"/>
      <c r="L42" s="6">
        <f t="shared" si="24"/>
        <v>0</v>
      </c>
      <c r="M42" s="2"/>
      <c r="N42" s="7">
        <f t="shared" si="25"/>
        <v>0</v>
      </c>
      <c r="O42" s="11"/>
      <c r="P42" s="6"/>
      <c r="Q42" s="2"/>
      <c r="R42" s="7">
        <f t="shared" si="26"/>
        <v>0</v>
      </c>
      <c r="S42" s="2"/>
      <c r="T42" s="6">
        <v>0</v>
      </c>
      <c r="U42" s="2"/>
      <c r="V42" s="7">
        <f t="shared" si="27"/>
        <v>0</v>
      </c>
      <c r="W42" s="2"/>
      <c r="X42" s="6">
        <f t="shared" si="28"/>
        <v>0</v>
      </c>
      <c r="Y42" s="2"/>
      <c r="Z42" s="7">
        <f t="shared" si="29"/>
        <v>0</v>
      </c>
    </row>
    <row r="43" spans="1:26" s="24" customFormat="1" hidden="1" outlineLevel="2" x14ac:dyDescent="0.3">
      <c r="A43" s="27"/>
      <c r="B43" s="11" t="str">
        <f>CONCATENATE("          ", "6007", " - ", "STUDENT HOURLY")</f>
        <v xml:space="preserve">          6007 - STUDENT HOURLY</v>
      </c>
      <c r="C43" s="11"/>
      <c r="D43" s="6">
        <v>2028.32</v>
      </c>
      <c r="E43" s="2"/>
      <c r="F43" s="7">
        <f t="shared" si="22"/>
        <v>0.29880394158626894</v>
      </c>
      <c r="G43" s="2"/>
      <c r="H43" s="6">
        <v>865.2</v>
      </c>
      <c r="I43" s="2"/>
      <c r="J43" s="7">
        <f t="shared" si="23"/>
        <v>5.6734426229508202E-2</v>
      </c>
      <c r="K43" s="2"/>
      <c r="L43" s="6">
        <f t="shared" si="24"/>
        <v>1163.1199999999999</v>
      </c>
      <c r="M43" s="2"/>
      <c r="N43" s="7">
        <f t="shared" si="25"/>
        <v>1.3443365695792879</v>
      </c>
      <c r="O43" s="11"/>
      <c r="P43" s="6">
        <v>11089.15</v>
      </c>
      <c r="Q43" s="2"/>
      <c r="R43" s="7">
        <f t="shared" si="26"/>
        <v>0.12157955903474438</v>
      </c>
      <c r="S43" s="2"/>
      <c r="T43" s="6">
        <v>4758.6000000000004</v>
      </c>
      <c r="U43" s="2"/>
      <c r="V43" s="7">
        <f t="shared" si="27"/>
        <v>4.1962962962962966E-2</v>
      </c>
      <c r="W43" s="2"/>
      <c r="X43" s="6">
        <f t="shared" si="28"/>
        <v>6330.5499999999993</v>
      </c>
      <c r="Y43" s="2"/>
      <c r="Z43" s="7">
        <f t="shared" si="29"/>
        <v>1.3303387550960364</v>
      </c>
    </row>
    <row r="44" spans="1:26" s="24" customFormat="1" hidden="1" outlineLevel="2" x14ac:dyDescent="0.3">
      <c r="A44" s="27"/>
      <c r="B44" s="11" t="str">
        <f>CONCATENATE("          ", "6008", " - ", "STUDENT HOURLY-FICA EXEMPT")</f>
        <v xml:space="preserve">          6008 - STUDENT HOURLY-FICA EXEMPT</v>
      </c>
      <c r="C44" s="11"/>
      <c r="D44" s="6"/>
      <c r="E44" s="2"/>
      <c r="F44" s="7">
        <f t="shared" si="22"/>
        <v>0</v>
      </c>
      <c r="G44" s="2"/>
      <c r="H44" s="6">
        <v>0</v>
      </c>
      <c r="I44" s="2"/>
      <c r="J44" s="7">
        <f t="shared" si="23"/>
        <v>0</v>
      </c>
      <c r="K44" s="2"/>
      <c r="L44" s="6">
        <f t="shared" si="24"/>
        <v>0</v>
      </c>
      <c r="M44" s="2"/>
      <c r="N44" s="7">
        <f t="shared" si="25"/>
        <v>0</v>
      </c>
      <c r="O44" s="11"/>
      <c r="P44" s="6"/>
      <c r="Q44" s="2"/>
      <c r="R44" s="7">
        <f t="shared" si="26"/>
        <v>0</v>
      </c>
      <c r="S44" s="2"/>
      <c r="T44" s="6">
        <v>0</v>
      </c>
      <c r="U44" s="2"/>
      <c r="V44" s="7">
        <f t="shared" si="27"/>
        <v>0</v>
      </c>
      <c r="W44" s="2"/>
      <c r="X44" s="6">
        <f t="shared" si="28"/>
        <v>0</v>
      </c>
      <c r="Y44" s="2"/>
      <c r="Z44" s="7">
        <f t="shared" si="29"/>
        <v>0</v>
      </c>
    </row>
    <row r="45" spans="1:26" s="24" customFormat="1" hidden="1" outlineLevel="2" x14ac:dyDescent="0.3">
      <c r="A45" s="27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2"/>
        <v>0</v>
      </c>
      <c r="G45" s="2"/>
      <c r="H45" s="6">
        <v>0</v>
      </c>
      <c r="I45" s="2"/>
      <c r="J45" s="7">
        <f t="shared" si="23"/>
        <v>0</v>
      </c>
      <c r="K45" s="2"/>
      <c r="L45" s="6">
        <f t="shared" si="24"/>
        <v>0</v>
      </c>
      <c r="M45" s="2"/>
      <c r="N45" s="7">
        <f t="shared" si="25"/>
        <v>0</v>
      </c>
      <c r="O45" s="11"/>
      <c r="P45" s="6"/>
      <c r="Q45" s="2"/>
      <c r="R45" s="7">
        <f t="shared" si="26"/>
        <v>0</v>
      </c>
      <c r="S45" s="2"/>
      <c r="T45" s="6">
        <v>0</v>
      </c>
      <c r="U45" s="2"/>
      <c r="V45" s="7">
        <f t="shared" si="27"/>
        <v>0</v>
      </c>
      <c r="W45" s="2"/>
      <c r="X45" s="6">
        <f t="shared" si="28"/>
        <v>0</v>
      </c>
      <c r="Y45" s="2"/>
      <c r="Z45" s="7">
        <f t="shared" si="29"/>
        <v>0</v>
      </c>
    </row>
    <row r="46" spans="1:26" s="24" customFormat="1" hidden="1" outlineLevel="2" x14ac:dyDescent="0.3">
      <c r="A46" s="27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2"/>
        <v>0</v>
      </c>
      <c r="G46" s="2"/>
      <c r="H46" s="6">
        <v>0</v>
      </c>
      <c r="I46" s="2"/>
      <c r="J46" s="7">
        <f t="shared" si="23"/>
        <v>0</v>
      </c>
      <c r="K46" s="2"/>
      <c r="L46" s="6">
        <f t="shared" si="24"/>
        <v>0</v>
      </c>
      <c r="M46" s="2"/>
      <c r="N46" s="7">
        <f t="shared" si="25"/>
        <v>0</v>
      </c>
      <c r="O46" s="11"/>
      <c r="P46" s="6"/>
      <c r="Q46" s="2"/>
      <c r="R46" s="7">
        <f t="shared" si="26"/>
        <v>0</v>
      </c>
      <c r="S46" s="2"/>
      <c r="T46" s="6">
        <v>0</v>
      </c>
      <c r="U46" s="2"/>
      <c r="V46" s="7">
        <f t="shared" si="27"/>
        <v>0</v>
      </c>
      <c r="W46" s="2"/>
      <c r="X46" s="6">
        <f t="shared" si="28"/>
        <v>0</v>
      </c>
      <c r="Y46" s="2"/>
      <c r="Z46" s="7">
        <f t="shared" si="29"/>
        <v>0</v>
      </c>
    </row>
    <row r="47" spans="1:26" s="29" customFormat="1" outlineLevel="1" collapsed="1" x14ac:dyDescent="0.3">
      <c r="A47" s="28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SUM(OSRRefD22_2x_0)</f>
        <v>0</v>
      </c>
      <c r="E47" s="1"/>
      <c r="F47" s="5">
        <f t="shared" ref="F47:F55" si="30">IF(D$12=0,0,D47/D$12)</f>
        <v>0</v>
      </c>
      <c r="G47" s="1"/>
      <c r="H47" s="1">
        <f>SUM(OSRRefH22_2x_0)</f>
        <v>50</v>
      </c>
      <c r="I47" s="1"/>
      <c r="J47" s="5">
        <f t="shared" ref="J47:J55" si="31">IF(H$12=0,0,H47/H$12)</f>
        <v>3.2786885245901639E-3</v>
      </c>
      <c r="K47" s="1"/>
      <c r="L47" s="1">
        <f t="shared" ref="L47:L55" si="32">+D47-H47</f>
        <v>-50</v>
      </c>
      <c r="M47" s="1"/>
      <c r="N47" s="5">
        <f t="shared" ref="N47:N55" si="33">IF(H47=0,0,L47/H47)</f>
        <v>-1</v>
      </c>
      <c r="O47" s="14"/>
      <c r="P47" s="1">
        <f>SUM(OSRRefP22_2x_0)</f>
        <v>97.75</v>
      </c>
      <c r="Q47" s="1"/>
      <c r="R47" s="5">
        <f t="shared" ref="R47:R55" si="34">IF(P$12=0,0,P47/P$12)</f>
        <v>1.0717144141477266E-3</v>
      </c>
      <c r="S47" s="1"/>
      <c r="T47" s="1">
        <f>SUM(OSRRefT22_2x_0)</f>
        <v>250</v>
      </c>
      <c r="U47" s="1"/>
      <c r="V47" s="5">
        <f t="shared" ref="V47:V55" si="35">IF(T$12=0,0,T47/T$12)</f>
        <v>2.2045855379188711E-3</v>
      </c>
      <c r="W47" s="1"/>
      <c r="X47" s="1">
        <f t="shared" ref="X47:X55" si="36">+P47-T47</f>
        <v>-152.25</v>
      </c>
      <c r="Y47" s="1"/>
      <c r="Z47" s="5">
        <f t="shared" ref="Z47:Z55" si="37">IF(T47=0,0,X47/T47)</f>
        <v>-0.60899999999999999</v>
      </c>
    </row>
    <row r="48" spans="1:26" s="24" customFormat="1" hidden="1" outlineLevel="2" x14ac:dyDescent="0.3">
      <c r="A48" s="27"/>
      <c r="B48" s="11" t="str">
        <f>CONCATENATE("          ", "6362", " - ", "ADVERTISING EXPENSE")</f>
        <v xml:space="preserve">          6362 - ADVERTISING EXPENSE</v>
      </c>
      <c r="C48" s="11"/>
      <c r="D48" s="6"/>
      <c r="E48" s="2"/>
      <c r="F48" s="7">
        <f t="shared" si="30"/>
        <v>0</v>
      </c>
      <c r="G48" s="2"/>
      <c r="H48" s="6">
        <v>50</v>
      </c>
      <c r="I48" s="2"/>
      <c r="J48" s="7">
        <f t="shared" si="31"/>
        <v>3.2786885245901639E-3</v>
      </c>
      <c r="K48" s="2"/>
      <c r="L48" s="6">
        <f t="shared" si="32"/>
        <v>-50</v>
      </c>
      <c r="M48" s="2"/>
      <c r="N48" s="7">
        <f t="shared" si="33"/>
        <v>-1</v>
      </c>
      <c r="O48" s="11"/>
      <c r="P48" s="6">
        <v>97.75</v>
      </c>
      <c r="Q48" s="2"/>
      <c r="R48" s="7">
        <f t="shared" si="34"/>
        <v>1.0717144141477266E-3</v>
      </c>
      <c r="S48" s="2"/>
      <c r="T48" s="6">
        <v>250</v>
      </c>
      <c r="U48" s="2"/>
      <c r="V48" s="7">
        <f t="shared" si="35"/>
        <v>2.2045855379188711E-3</v>
      </c>
      <c r="W48" s="2"/>
      <c r="X48" s="6">
        <f t="shared" si="36"/>
        <v>-152.25</v>
      </c>
      <c r="Y48" s="2"/>
      <c r="Z48" s="7">
        <f t="shared" si="37"/>
        <v>-0.60899999999999999</v>
      </c>
    </row>
    <row r="49" spans="1:26" s="29" customFormat="1" outlineLevel="1" collapsed="1" x14ac:dyDescent="0.3">
      <c r="A49" s="28"/>
      <c r="B49" s="14" t="str">
        <f>CONCATENATE("     ","Depreciation                                      ")</f>
        <v xml:space="preserve">     Depreciation                                      </v>
      </c>
      <c r="C49" s="14"/>
      <c r="D49" s="1">
        <f>SUM(OSRRefD22_3x_0)</f>
        <v>169.88</v>
      </c>
      <c r="E49" s="1"/>
      <c r="F49" s="5">
        <f t="shared" si="30"/>
        <v>2.502603809885786E-2</v>
      </c>
      <c r="G49" s="1"/>
      <c r="H49" s="1">
        <f>SUM(OSRRefH22_3x_0)</f>
        <v>170</v>
      </c>
      <c r="I49" s="1"/>
      <c r="J49" s="5">
        <f t="shared" si="31"/>
        <v>1.1147540983606558E-2</v>
      </c>
      <c r="K49" s="1"/>
      <c r="L49" s="1">
        <f t="shared" si="32"/>
        <v>-0.12000000000000455</v>
      </c>
      <c r="M49" s="1"/>
      <c r="N49" s="5">
        <f t="shared" si="33"/>
        <v>-7.0588235294120319E-4</v>
      </c>
      <c r="O49" s="14"/>
      <c r="P49" s="1">
        <f>SUM(OSRRefP22_3x_0)</f>
        <v>849.4</v>
      </c>
      <c r="Q49" s="1"/>
      <c r="R49" s="5">
        <f t="shared" si="34"/>
        <v>9.3126774770033657E-3</v>
      </c>
      <c r="S49" s="1"/>
      <c r="T49" s="1">
        <f>SUM(OSRRefT22_3x_0)</f>
        <v>850</v>
      </c>
      <c r="U49" s="1"/>
      <c r="V49" s="5">
        <f t="shared" si="35"/>
        <v>7.4955908289241618E-3</v>
      </c>
      <c r="W49" s="1"/>
      <c r="X49" s="1">
        <f t="shared" si="36"/>
        <v>-0.60000000000002274</v>
      </c>
      <c r="Y49" s="1"/>
      <c r="Z49" s="5">
        <f t="shared" si="37"/>
        <v>-7.0588235294120319E-4</v>
      </c>
    </row>
    <row r="50" spans="1:26" s="24" customFormat="1" hidden="1" outlineLevel="2" x14ac:dyDescent="0.3">
      <c r="A50" s="27"/>
      <c r="B50" s="11" t="str">
        <f>CONCATENATE("          ", "6322", " - ", "EQUIPMENT DEPRECIATION EXPENSE")</f>
        <v xml:space="preserve">          6322 - EQUIPMENT DEPRECIATION EXPENSE</v>
      </c>
      <c r="C50" s="11"/>
      <c r="D50" s="6">
        <v>169.88</v>
      </c>
      <c r="E50" s="2"/>
      <c r="F50" s="7">
        <f t="shared" si="30"/>
        <v>2.502603809885786E-2</v>
      </c>
      <c r="G50" s="2"/>
      <c r="H50" s="6">
        <v>170</v>
      </c>
      <c r="I50" s="2"/>
      <c r="J50" s="7">
        <f t="shared" si="31"/>
        <v>1.1147540983606558E-2</v>
      </c>
      <c r="K50" s="2"/>
      <c r="L50" s="6">
        <f t="shared" si="32"/>
        <v>-0.12000000000000455</v>
      </c>
      <c r="M50" s="2"/>
      <c r="N50" s="7">
        <f t="shared" si="33"/>
        <v>-7.0588235294120319E-4</v>
      </c>
      <c r="O50" s="11"/>
      <c r="P50" s="6">
        <v>849.4</v>
      </c>
      <c r="Q50" s="2"/>
      <c r="R50" s="7">
        <f t="shared" si="34"/>
        <v>9.3126774770033657E-3</v>
      </c>
      <c r="S50" s="2"/>
      <c r="T50" s="6">
        <v>850</v>
      </c>
      <c r="U50" s="2"/>
      <c r="V50" s="7">
        <f t="shared" si="35"/>
        <v>7.4955908289241618E-3</v>
      </c>
      <c r="W50" s="2"/>
      <c r="X50" s="6">
        <f t="shared" si="36"/>
        <v>-0.60000000000002274</v>
      </c>
      <c r="Y50" s="2"/>
      <c r="Z50" s="7">
        <f t="shared" si="37"/>
        <v>-7.0588235294120319E-4</v>
      </c>
    </row>
    <row r="51" spans="1:26" s="29" customFormat="1" outlineLevel="1" collapsed="1" x14ac:dyDescent="0.3">
      <c r="A51" s="28"/>
      <c r="B51" s="14" t="str">
        <f>CONCATENATE("     ","Equipment Rental                                  ")</f>
        <v xml:space="preserve">     Equipment Rental                                  </v>
      </c>
      <c r="C51" s="14"/>
      <c r="D51" s="1">
        <f>SUM(OSRRefD22_4x_0)</f>
        <v>1205.6400000000001</v>
      </c>
      <c r="E51" s="1"/>
      <c r="F51" s="5">
        <f t="shared" si="30"/>
        <v>0.17761003398579581</v>
      </c>
      <c r="G51" s="1"/>
      <c r="H51" s="1">
        <f>SUM(OSRRefH22_4x_0)</f>
        <v>1300</v>
      </c>
      <c r="I51" s="1"/>
      <c r="J51" s="5">
        <f t="shared" si="31"/>
        <v>8.5245901639344257E-2</v>
      </c>
      <c r="K51" s="1"/>
      <c r="L51" s="1">
        <f t="shared" si="32"/>
        <v>-94.3599999999999</v>
      </c>
      <c r="M51" s="1"/>
      <c r="N51" s="5">
        <f t="shared" si="33"/>
        <v>-7.2584615384615303E-2</v>
      </c>
      <c r="O51" s="14"/>
      <c r="P51" s="1">
        <f>SUM(OSRRefP22_4x_0)</f>
        <v>6028.2</v>
      </c>
      <c r="Q51" s="1"/>
      <c r="R51" s="5">
        <f t="shared" si="34"/>
        <v>6.609216195770154E-2</v>
      </c>
      <c r="S51" s="1"/>
      <c r="T51" s="1">
        <f>SUM(OSRRefT22_4x_0)</f>
        <v>6300</v>
      </c>
      <c r="U51" s="1"/>
      <c r="V51" s="5">
        <f t="shared" si="35"/>
        <v>5.5555555555555552E-2</v>
      </c>
      <c r="W51" s="1"/>
      <c r="X51" s="1">
        <f t="shared" si="36"/>
        <v>-271.80000000000018</v>
      </c>
      <c r="Y51" s="1"/>
      <c r="Z51" s="5">
        <f t="shared" si="37"/>
        <v>-4.314285714285717E-2</v>
      </c>
    </row>
    <row r="52" spans="1:26" s="24" customFormat="1" hidden="1" outlineLevel="2" x14ac:dyDescent="0.3">
      <c r="A52" s="27"/>
      <c r="B52" s="11" t="str">
        <f>CONCATENATE("          ", "6351", " - ", "EQUIPMENT RENTAL")</f>
        <v xml:space="preserve">          6351 - EQUIPMENT RENTAL</v>
      </c>
      <c r="C52" s="11"/>
      <c r="D52" s="6">
        <v>1205.6400000000001</v>
      </c>
      <c r="E52" s="2"/>
      <c r="F52" s="7">
        <f t="shared" si="30"/>
        <v>0.17761003398579581</v>
      </c>
      <c r="G52" s="2"/>
      <c r="H52" s="6">
        <v>1300</v>
      </c>
      <c r="I52" s="2"/>
      <c r="J52" s="7">
        <f t="shared" si="31"/>
        <v>8.5245901639344257E-2</v>
      </c>
      <c r="K52" s="2"/>
      <c r="L52" s="6">
        <f t="shared" si="32"/>
        <v>-94.3599999999999</v>
      </c>
      <c r="M52" s="2"/>
      <c r="N52" s="7">
        <f t="shared" si="33"/>
        <v>-7.2584615384615303E-2</v>
      </c>
      <c r="O52" s="11"/>
      <c r="P52" s="6">
        <v>6028.2</v>
      </c>
      <c r="Q52" s="2"/>
      <c r="R52" s="7">
        <f t="shared" si="34"/>
        <v>6.609216195770154E-2</v>
      </c>
      <c r="S52" s="2"/>
      <c r="T52" s="6">
        <v>6300</v>
      </c>
      <c r="U52" s="2"/>
      <c r="V52" s="7">
        <f t="shared" si="35"/>
        <v>5.5555555555555552E-2</v>
      </c>
      <c r="W52" s="2"/>
      <c r="X52" s="6">
        <f t="shared" si="36"/>
        <v>-271.80000000000018</v>
      </c>
      <c r="Y52" s="2"/>
      <c r="Z52" s="7">
        <f t="shared" si="37"/>
        <v>-4.314285714285717E-2</v>
      </c>
    </row>
    <row r="53" spans="1:26" s="29" customFormat="1" outlineLevel="1" collapsed="1" x14ac:dyDescent="0.3">
      <c r="A53" s="28"/>
      <c r="B53" s="14" t="str">
        <f>CONCATENATE("     ","Freight out/Postage                               ")</f>
        <v xml:space="preserve">     Freight out/Postage                               </v>
      </c>
      <c r="C53" s="14"/>
      <c r="D53" s="1">
        <f>SUM(OSRRefD22_5x_0)</f>
        <v>-3785.619999999999</v>
      </c>
      <c r="E53" s="1"/>
      <c r="F53" s="5">
        <f t="shared" si="30"/>
        <v>-0.55768230720389844</v>
      </c>
      <c r="G53" s="1"/>
      <c r="H53" s="1">
        <f>SUM(OSRRefH22_5x_0)</f>
        <v>7500</v>
      </c>
      <c r="I53" s="1"/>
      <c r="J53" s="5">
        <f t="shared" si="31"/>
        <v>0.49180327868852458</v>
      </c>
      <c r="K53" s="1"/>
      <c r="L53" s="1">
        <f t="shared" si="32"/>
        <v>-11285.619999999999</v>
      </c>
      <c r="M53" s="1"/>
      <c r="N53" s="5">
        <f t="shared" si="33"/>
        <v>-1.5047493333333333</v>
      </c>
      <c r="O53" s="14"/>
      <c r="P53" s="1">
        <f>SUM(OSRRefP22_5x_0)</f>
        <v>-42973.159999999996</v>
      </c>
      <c r="Q53" s="1"/>
      <c r="R53" s="5">
        <f t="shared" si="34"/>
        <v>-0.47115043471587231</v>
      </c>
      <c r="S53" s="1"/>
      <c r="T53" s="1">
        <f>SUM(OSRRefT22_5x_0)</f>
        <v>1500</v>
      </c>
      <c r="U53" s="1"/>
      <c r="V53" s="5">
        <f t="shared" si="35"/>
        <v>1.3227513227513227E-2</v>
      </c>
      <c r="W53" s="1"/>
      <c r="X53" s="1">
        <f t="shared" si="36"/>
        <v>-44473.159999999996</v>
      </c>
      <c r="Y53" s="1"/>
      <c r="Z53" s="5">
        <f t="shared" si="37"/>
        <v>-29.648773333333331</v>
      </c>
    </row>
    <row r="54" spans="1:26" s="24" customFormat="1" hidden="1" outlineLevel="2" x14ac:dyDescent="0.3">
      <c r="A54" s="27"/>
      <c r="B54" s="11" t="str">
        <f>CONCATENATE("          ", "6305", " - ", "FREIGHT OUT")</f>
        <v xml:space="preserve">          6305 - FREIGHT OUT</v>
      </c>
      <c r="C54" s="11"/>
      <c r="D54" s="6">
        <v>8941.11</v>
      </c>
      <c r="E54" s="2"/>
      <c r="F54" s="7">
        <f t="shared" si="30"/>
        <v>1.3171683512248586</v>
      </c>
      <c r="G54" s="2"/>
      <c r="H54" s="6">
        <v>12000</v>
      </c>
      <c r="I54" s="2"/>
      <c r="J54" s="7">
        <f t="shared" si="31"/>
        <v>0.78688524590163933</v>
      </c>
      <c r="K54" s="2"/>
      <c r="L54" s="6">
        <f t="shared" si="32"/>
        <v>-3058.8899999999994</v>
      </c>
      <c r="M54" s="2"/>
      <c r="N54" s="7">
        <f t="shared" si="33"/>
        <v>-0.25490749999999995</v>
      </c>
      <c r="O54" s="11"/>
      <c r="P54" s="6">
        <v>62421.9</v>
      </c>
      <c r="Q54" s="2"/>
      <c r="R54" s="7">
        <f t="shared" si="34"/>
        <v>0.68438312008683355</v>
      </c>
      <c r="S54" s="2"/>
      <c r="T54" s="6">
        <v>83300</v>
      </c>
      <c r="U54" s="2"/>
      <c r="V54" s="7">
        <f t="shared" si="35"/>
        <v>0.73456790123456794</v>
      </c>
      <c r="W54" s="2"/>
      <c r="X54" s="6">
        <f t="shared" si="36"/>
        <v>-20878.099999999999</v>
      </c>
      <c r="Y54" s="2"/>
      <c r="Z54" s="7">
        <f t="shared" si="37"/>
        <v>-0.2506374549819928</v>
      </c>
    </row>
    <row r="55" spans="1:26" s="24" customFormat="1" hidden="1" outlineLevel="2" x14ac:dyDescent="0.3">
      <c r="A55" s="27"/>
      <c r="B55" s="11" t="str">
        <f>CONCATENATE("          ", "6307", " - ", "POSTAGE")</f>
        <v xml:space="preserve">          6307 - POSTAGE</v>
      </c>
      <c r="C55" s="11"/>
      <c r="D55" s="6">
        <v>-12726.73</v>
      </c>
      <c r="E55" s="2"/>
      <c r="F55" s="7">
        <f t="shared" si="30"/>
        <v>-1.8748506584287572</v>
      </c>
      <c r="G55" s="2"/>
      <c r="H55" s="6">
        <v>-4500</v>
      </c>
      <c r="I55" s="2"/>
      <c r="J55" s="7">
        <f t="shared" si="31"/>
        <v>-0.29508196721311475</v>
      </c>
      <c r="K55" s="2"/>
      <c r="L55" s="6">
        <f t="shared" si="32"/>
        <v>-8226.73</v>
      </c>
      <c r="M55" s="2"/>
      <c r="N55" s="7">
        <f t="shared" si="33"/>
        <v>1.828162222222222</v>
      </c>
      <c r="O55" s="11"/>
      <c r="P55" s="6">
        <v>-105395.06</v>
      </c>
      <c r="Q55" s="2"/>
      <c r="R55" s="7">
        <f t="shared" si="34"/>
        <v>-1.1555335548027059</v>
      </c>
      <c r="S55" s="2"/>
      <c r="T55" s="6">
        <v>-81800</v>
      </c>
      <c r="U55" s="2"/>
      <c r="V55" s="7">
        <f t="shared" si="35"/>
        <v>-0.72134038800705469</v>
      </c>
      <c r="W55" s="2"/>
      <c r="X55" s="6">
        <f t="shared" si="36"/>
        <v>-23595.059999999998</v>
      </c>
      <c r="Y55" s="2"/>
      <c r="Z55" s="7">
        <f t="shared" si="37"/>
        <v>0.28844816625916869</v>
      </c>
    </row>
    <row r="56" spans="1:26" s="29" customFormat="1" outlineLevel="1" collapsed="1" x14ac:dyDescent="0.3">
      <c r="A56" s="28"/>
      <c r="B56" s="14" t="str">
        <f>CONCATENATE("     ","General                                           ")</f>
        <v xml:space="preserve">     General                                           </v>
      </c>
      <c r="C56" s="14"/>
      <c r="D56" s="1">
        <f>SUM(OSRRefD22_6x_0)</f>
        <v>0</v>
      </c>
      <c r="E56" s="1"/>
      <c r="F56" s="5">
        <f t="shared" ref="F56:F61" si="38">IF(D$12=0,0,D56/D$12)</f>
        <v>0</v>
      </c>
      <c r="G56" s="1"/>
      <c r="H56" s="1">
        <f>SUM(OSRRefH22_6x_0)</f>
        <v>0</v>
      </c>
      <c r="I56" s="1"/>
      <c r="J56" s="5">
        <f t="shared" ref="J56:J61" si="39">IF(H$12=0,0,H56/H$12)</f>
        <v>0</v>
      </c>
      <c r="K56" s="1"/>
      <c r="L56" s="1">
        <f t="shared" ref="L56:L61" si="40">+D56-H56</f>
        <v>0</v>
      </c>
      <c r="M56" s="1"/>
      <c r="N56" s="5">
        <f t="shared" ref="N56:N61" si="41">IF(H56=0,0,L56/H56)</f>
        <v>0</v>
      </c>
      <c r="O56" s="14"/>
      <c r="P56" s="1">
        <f>SUM(OSRRefP22_6x_0)</f>
        <v>91.31</v>
      </c>
      <c r="Q56" s="1"/>
      <c r="R56" s="5">
        <f t="shared" ref="R56:R61" si="42">IF(P$12=0,0,P56/P$12)</f>
        <v>1.0011073468627E-3</v>
      </c>
      <c r="S56" s="1"/>
      <c r="T56" s="1">
        <f>SUM(OSRRefT22_6x_0)</f>
        <v>0</v>
      </c>
      <c r="U56" s="1"/>
      <c r="V56" s="5">
        <f t="shared" ref="V56:V61" si="43">IF(T$12=0,0,T56/T$12)</f>
        <v>0</v>
      </c>
      <c r="W56" s="1"/>
      <c r="X56" s="1">
        <f t="shared" ref="X56:X61" si="44">+P56-T56</f>
        <v>91.31</v>
      </c>
      <c r="Y56" s="1"/>
      <c r="Z56" s="5">
        <f t="shared" ref="Z56:Z61" si="45">IF(T56=0,0,X56/T56)</f>
        <v>0</v>
      </c>
    </row>
    <row r="57" spans="1:26" s="24" customFormat="1" hidden="1" outlineLevel="2" x14ac:dyDescent="0.3">
      <c r="A57" s="27"/>
      <c r="B57" s="11" t="str">
        <f>CONCATENATE("          ", "6279", " - ", "GENERAL EXPENSE")</f>
        <v xml:space="preserve">          6279 - GENERAL EXPENSE</v>
      </c>
      <c r="C57" s="11"/>
      <c r="D57" s="6"/>
      <c r="E57" s="2"/>
      <c r="F57" s="7">
        <f t="shared" si="38"/>
        <v>0</v>
      </c>
      <c r="G57" s="2"/>
      <c r="H57" s="6"/>
      <c r="I57" s="2"/>
      <c r="J57" s="7">
        <f t="shared" si="39"/>
        <v>0</v>
      </c>
      <c r="K57" s="2"/>
      <c r="L57" s="6">
        <f t="shared" si="40"/>
        <v>0</v>
      </c>
      <c r="M57" s="2"/>
      <c r="N57" s="7">
        <f t="shared" si="41"/>
        <v>0</v>
      </c>
      <c r="O57" s="11"/>
      <c r="P57" s="6">
        <v>91.31</v>
      </c>
      <c r="Q57" s="2"/>
      <c r="R57" s="7">
        <f t="shared" si="42"/>
        <v>1.0011073468627E-3</v>
      </c>
      <c r="S57" s="2"/>
      <c r="T57" s="6"/>
      <c r="U57" s="2"/>
      <c r="V57" s="7">
        <f t="shared" si="43"/>
        <v>0</v>
      </c>
      <c r="W57" s="2"/>
      <c r="X57" s="6">
        <f t="shared" si="44"/>
        <v>91.31</v>
      </c>
      <c r="Y57" s="2"/>
      <c r="Z57" s="7">
        <f t="shared" si="45"/>
        <v>0</v>
      </c>
    </row>
    <row r="58" spans="1:26" s="29" customFormat="1" outlineLevel="1" collapsed="1" x14ac:dyDescent="0.3">
      <c r="A58" s="28"/>
      <c r="B58" s="14" t="str">
        <f>CONCATENATE("     ","Repair and Maintenance                            ")</f>
        <v xml:space="preserve">     Repair and Maintenance                            </v>
      </c>
      <c r="C58" s="14"/>
      <c r="D58" s="1">
        <f>SUM(OSRRefD22_7x_0)</f>
        <v>142.87</v>
      </c>
      <c r="E58" s="1"/>
      <c r="F58" s="5">
        <f t="shared" si="38"/>
        <v>2.10470335718379E-2</v>
      </c>
      <c r="G58" s="1"/>
      <c r="H58" s="1">
        <f>SUM(OSRRefH22_7x_0)</f>
        <v>5000</v>
      </c>
      <c r="I58" s="1"/>
      <c r="J58" s="5">
        <f t="shared" si="39"/>
        <v>0.32786885245901637</v>
      </c>
      <c r="K58" s="1"/>
      <c r="L58" s="1">
        <f t="shared" si="40"/>
        <v>-4857.13</v>
      </c>
      <c r="M58" s="1"/>
      <c r="N58" s="5">
        <f t="shared" si="41"/>
        <v>-0.97142600000000001</v>
      </c>
      <c r="O58" s="14"/>
      <c r="P58" s="1">
        <f>SUM(OSRRefP22_7x_0)</f>
        <v>12528.02</v>
      </c>
      <c r="Q58" s="1"/>
      <c r="R58" s="5">
        <f t="shared" si="42"/>
        <v>0.13735508557269568</v>
      </c>
      <c r="S58" s="1"/>
      <c r="T58" s="1">
        <f>SUM(OSRRefT22_7x_0)</f>
        <v>27600</v>
      </c>
      <c r="U58" s="1"/>
      <c r="V58" s="5">
        <f t="shared" si="43"/>
        <v>0.24338624338624337</v>
      </c>
      <c r="W58" s="1"/>
      <c r="X58" s="1">
        <f t="shared" si="44"/>
        <v>-15071.98</v>
      </c>
      <c r="Y58" s="1"/>
      <c r="Z58" s="5">
        <f t="shared" si="45"/>
        <v>-0.54608623188405792</v>
      </c>
    </row>
    <row r="59" spans="1:26" s="24" customFormat="1" hidden="1" outlineLevel="2" x14ac:dyDescent="0.3">
      <c r="A59" s="27"/>
      <c r="B59" s="11" t="str">
        <f>CONCATENATE("          ", "6371", " - ", "COMPUTER SOFTWARE MAINTENANCE")</f>
        <v xml:space="preserve">          6371 - COMPUTER SOFTWARE MAINTENANCE</v>
      </c>
      <c r="C59" s="11"/>
      <c r="D59" s="6"/>
      <c r="E59" s="2"/>
      <c r="F59" s="7">
        <f t="shared" si="38"/>
        <v>0</v>
      </c>
      <c r="G59" s="2"/>
      <c r="H59" s="6"/>
      <c r="I59" s="2"/>
      <c r="J59" s="7">
        <f t="shared" si="39"/>
        <v>0</v>
      </c>
      <c r="K59" s="2"/>
      <c r="L59" s="6">
        <f t="shared" si="40"/>
        <v>0</v>
      </c>
      <c r="M59" s="2"/>
      <c r="N59" s="7">
        <f t="shared" si="41"/>
        <v>0</v>
      </c>
      <c r="O59" s="11"/>
      <c r="P59" s="6"/>
      <c r="Q59" s="2"/>
      <c r="R59" s="7">
        <f t="shared" si="42"/>
        <v>0</v>
      </c>
      <c r="S59" s="2"/>
      <c r="T59" s="6">
        <v>100</v>
      </c>
      <c r="U59" s="2"/>
      <c r="V59" s="7">
        <f t="shared" si="43"/>
        <v>8.8183421516754845E-4</v>
      </c>
      <c r="W59" s="2"/>
      <c r="X59" s="6">
        <f t="shared" si="44"/>
        <v>-100</v>
      </c>
      <c r="Y59" s="2"/>
      <c r="Z59" s="7">
        <f t="shared" si="45"/>
        <v>-1</v>
      </c>
    </row>
    <row r="60" spans="1:26" s="24" customFormat="1" hidden="1" outlineLevel="2" x14ac:dyDescent="0.3">
      <c r="A60" s="27"/>
      <c r="B60" s="11" t="str">
        <f>CONCATENATE("          ", "6373", " - ", "MAINTENANCE CONTRACTS")</f>
        <v xml:space="preserve">          6373 - MAINTENANCE CONTRACTS</v>
      </c>
      <c r="C60" s="11"/>
      <c r="D60" s="6">
        <v>142.87</v>
      </c>
      <c r="E60" s="2"/>
      <c r="F60" s="7">
        <f t="shared" si="38"/>
        <v>2.10470335718379E-2</v>
      </c>
      <c r="G60" s="2"/>
      <c r="H60" s="6">
        <v>5000</v>
      </c>
      <c r="I60" s="2"/>
      <c r="J60" s="7">
        <f t="shared" si="39"/>
        <v>0.32786885245901637</v>
      </c>
      <c r="K60" s="2"/>
      <c r="L60" s="6">
        <f t="shared" si="40"/>
        <v>-4857.13</v>
      </c>
      <c r="M60" s="2"/>
      <c r="N60" s="7">
        <f t="shared" si="41"/>
        <v>-0.97142600000000001</v>
      </c>
      <c r="O60" s="11"/>
      <c r="P60" s="6">
        <v>4630.41</v>
      </c>
      <c r="Q60" s="2"/>
      <c r="R60" s="7">
        <f t="shared" si="42"/>
        <v>5.0767029569450381E-2</v>
      </c>
      <c r="S60" s="2"/>
      <c r="T60" s="6">
        <v>27500</v>
      </c>
      <c r="U60" s="2"/>
      <c r="V60" s="7">
        <f t="shared" si="43"/>
        <v>0.24250440917107582</v>
      </c>
      <c r="W60" s="2"/>
      <c r="X60" s="6">
        <f t="shared" si="44"/>
        <v>-22869.59</v>
      </c>
      <c r="Y60" s="2"/>
      <c r="Z60" s="7">
        <f t="shared" si="45"/>
        <v>-0.83162145454545455</v>
      </c>
    </row>
    <row r="61" spans="1:26" s="24" customFormat="1" hidden="1" outlineLevel="2" x14ac:dyDescent="0.3">
      <c r="A61" s="27"/>
      <c r="B61" s="11" t="str">
        <f>CONCATENATE("          ", "6375", " - ", "OUTSIDE REPAIRS &amp; MAINTENANCE")</f>
        <v xml:space="preserve">          6375 - OUTSIDE REPAIRS &amp; MAINTENANCE</v>
      </c>
      <c r="C61" s="11"/>
      <c r="D61" s="6"/>
      <c r="E61" s="2"/>
      <c r="F61" s="7">
        <f t="shared" si="38"/>
        <v>0</v>
      </c>
      <c r="G61" s="2"/>
      <c r="H61" s="6"/>
      <c r="I61" s="2"/>
      <c r="J61" s="7">
        <f t="shared" si="39"/>
        <v>0</v>
      </c>
      <c r="K61" s="2"/>
      <c r="L61" s="6">
        <f t="shared" si="40"/>
        <v>0</v>
      </c>
      <c r="M61" s="2"/>
      <c r="N61" s="7">
        <f t="shared" si="41"/>
        <v>0</v>
      </c>
      <c r="O61" s="11"/>
      <c r="P61" s="6">
        <v>7897.61</v>
      </c>
      <c r="Q61" s="2"/>
      <c r="R61" s="7">
        <f t="shared" si="42"/>
        <v>8.658805600324529E-2</v>
      </c>
      <c r="S61" s="2"/>
      <c r="T61" s="6"/>
      <c r="U61" s="2"/>
      <c r="V61" s="7">
        <f t="shared" si="43"/>
        <v>0</v>
      </c>
      <c r="W61" s="2"/>
      <c r="X61" s="6">
        <f t="shared" si="44"/>
        <v>7897.61</v>
      </c>
      <c r="Y61" s="2"/>
      <c r="Z61" s="7">
        <f t="shared" si="45"/>
        <v>0</v>
      </c>
    </row>
    <row r="62" spans="1:26" s="29" customFormat="1" outlineLevel="1" collapsed="1" x14ac:dyDescent="0.3">
      <c r="A62" s="28"/>
      <c r="B62" s="14" t="str">
        <f>CONCATENATE("     ","Royalty &amp; Commissions                             ")</f>
        <v xml:space="preserve">     Royalty &amp; Commissions                             </v>
      </c>
      <c r="C62" s="14"/>
      <c r="D62" s="1">
        <f>SUM(OSRRefD22_8x_0)</f>
        <v>784.77</v>
      </c>
      <c r="E62" s="1"/>
      <c r="F62" s="5">
        <f t="shared" ref="F62:F68" si="46">IF(D$12=0,0,D62/D$12)</f>
        <v>0.11560915892889499</v>
      </c>
      <c r="G62" s="1"/>
      <c r="H62" s="1">
        <f>SUM(OSRRefH22_8x_0)</f>
        <v>6000</v>
      </c>
      <c r="I62" s="1"/>
      <c r="J62" s="5">
        <f t="shared" ref="J62:J68" si="47">IF(H$12=0,0,H62/H$12)</f>
        <v>0.39344262295081966</v>
      </c>
      <c r="K62" s="1"/>
      <c r="L62" s="1">
        <f t="shared" ref="L62:L68" si="48">+D62-H62</f>
        <v>-5215.2299999999996</v>
      </c>
      <c r="M62" s="1"/>
      <c r="N62" s="5">
        <f t="shared" ref="N62:N68" si="49">IF(H62=0,0,L62/H62)</f>
        <v>-0.86920499999999989</v>
      </c>
      <c r="O62" s="14"/>
      <c r="P62" s="1">
        <f>SUM(OSRRefP22_8x_0)</f>
        <v>4492.91</v>
      </c>
      <c r="Q62" s="1"/>
      <c r="R62" s="5">
        <f t="shared" ref="R62:R68" si="50">IF(P$12=0,0,P62/P$12)</f>
        <v>4.9259502899933118E-2</v>
      </c>
      <c r="S62" s="1"/>
      <c r="T62" s="1">
        <f>SUM(OSRRefT22_8x_0)</f>
        <v>15700</v>
      </c>
      <c r="U62" s="1"/>
      <c r="V62" s="5">
        <f t="shared" ref="V62:V68" si="51">IF(T$12=0,0,T62/T$12)</f>
        <v>0.13844797178130511</v>
      </c>
      <c r="W62" s="1"/>
      <c r="X62" s="1">
        <f t="shared" ref="X62:X68" si="52">+P62-T62</f>
        <v>-11207.09</v>
      </c>
      <c r="Y62" s="1"/>
      <c r="Z62" s="5">
        <f t="shared" ref="Z62:Z68" si="53">IF(T62=0,0,X62/T62)</f>
        <v>-0.7138273885350318</v>
      </c>
    </row>
    <row r="63" spans="1:26" s="24" customFormat="1" hidden="1" outlineLevel="2" x14ac:dyDescent="0.3">
      <c r="A63" s="27"/>
      <c r="B63" s="11" t="str">
        <f>CONCATENATE("          ", "6259", " - ", "ROYALTY &amp; COMMISSIONS")</f>
        <v xml:space="preserve">          6259 - ROYALTY &amp; COMMISSIONS</v>
      </c>
      <c r="C63" s="11"/>
      <c r="D63" s="6">
        <v>784.77</v>
      </c>
      <c r="E63" s="2"/>
      <c r="F63" s="7">
        <f t="shared" si="46"/>
        <v>0.11560915892889499</v>
      </c>
      <c r="G63" s="2"/>
      <c r="H63" s="6">
        <v>6000</v>
      </c>
      <c r="I63" s="2"/>
      <c r="J63" s="7">
        <f t="shared" si="47"/>
        <v>0.39344262295081966</v>
      </c>
      <c r="K63" s="2"/>
      <c r="L63" s="6">
        <f t="shared" si="48"/>
        <v>-5215.2299999999996</v>
      </c>
      <c r="M63" s="2"/>
      <c r="N63" s="7">
        <f t="shared" si="49"/>
        <v>-0.86920499999999989</v>
      </c>
      <c r="O63" s="11"/>
      <c r="P63" s="6">
        <v>4492.91</v>
      </c>
      <c r="Q63" s="2"/>
      <c r="R63" s="7">
        <f t="shared" si="50"/>
        <v>4.9259502899933118E-2</v>
      </c>
      <c r="S63" s="2"/>
      <c r="T63" s="6">
        <v>15700</v>
      </c>
      <c r="U63" s="2"/>
      <c r="V63" s="7">
        <f t="shared" si="51"/>
        <v>0.13844797178130511</v>
      </c>
      <c r="W63" s="2"/>
      <c r="X63" s="6">
        <f t="shared" si="52"/>
        <v>-11207.09</v>
      </c>
      <c r="Y63" s="2"/>
      <c r="Z63" s="7">
        <f t="shared" si="53"/>
        <v>-0.7138273885350318</v>
      </c>
    </row>
    <row r="64" spans="1:26" s="29" customFormat="1" outlineLevel="1" collapsed="1" x14ac:dyDescent="0.3">
      <c r="A64" s="28"/>
      <c r="B64" s="14" t="str">
        <f>CONCATENATE("     ","Supplies                                          ")</f>
        <v xml:space="preserve">     Supplies                                          </v>
      </c>
      <c r="C64" s="14"/>
      <c r="D64" s="1">
        <f>SUM(OSRRefD22_9x_0)</f>
        <v>1938.7199999999998</v>
      </c>
      <c r="E64" s="1"/>
      <c r="F64" s="5">
        <f t="shared" si="46"/>
        <v>0.28560443008604725</v>
      </c>
      <c r="G64" s="1"/>
      <c r="H64" s="1">
        <f>SUM(OSRRefH22_9x_0)</f>
        <v>1680</v>
      </c>
      <c r="I64" s="1"/>
      <c r="J64" s="5">
        <f t="shared" si="47"/>
        <v>0.11016393442622952</v>
      </c>
      <c r="K64" s="1"/>
      <c r="L64" s="1">
        <f t="shared" si="48"/>
        <v>258.7199999999998</v>
      </c>
      <c r="M64" s="1"/>
      <c r="N64" s="5">
        <f t="shared" si="49"/>
        <v>0.15399999999999989</v>
      </c>
      <c r="O64" s="14"/>
      <c r="P64" s="1">
        <f>SUM(OSRRefP22_9x_0)</f>
        <v>18494.150000000001</v>
      </c>
      <c r="Q64" s="1"/>
      <c r="R64" s="5">
        <f t="shared" si="50"/>
        <v>0.20276672258220133</v>
      </c>
      <c r="S64" s="1"/>
      <c r="T64" s="1">
        <f>SUM(OSRRefT22_9x_0)</f>
        <v>20290</v>
      </c>
      <c r="U64" s="1"/>
      <c r="V64" s="5">
        <f t="shared" si="51"/>
        <v>0.17892416225749558</v>
      </c>
      <c r="W64" s="1"/>
      <c r="X64" s="1">
        <f t="shared" si="52"/>
        <v>-1795.8499999999985</v>
      </c>
      <c r="Y64" s="1"/>
      <c r="Z64" s="5">
        <f t="shared" si="53"/>
        <v>-8.8509117792015701E-2</v>
      </c>
    </row>
    <row r="65" spans="1:26" s="24" customFormat="1" hidden="1" outlineLevel="2" x14ac:dyDescent="0.3">
      <c r="A65" s="27"/>
      <c r="B65" s="11" t="str">
        <f>CONCATENATE("          ", "6241", " - ", "OFFICE EXPENSE")</f>
        <v xml:space="preserve">          6241 - OFFICE EXPENSE</v>
      </c>
      <c r="C65" s="11"/>
      <c r="D65" s="6">
        <v>7.16</v>
      </c>
      <c r="E65" s="2"/>
      <c r="F65" s="7">
        <f t="shared" si="46"/>
        <v>1.0547823922052171E-3</v>
      </c>
      <c r="G65" s="2"/>
      <c r="H65" s="6"/>
      <c r="I65" s="2"/>
      <c r="J65" s="7">
        <f t="shared" si="47"/>
        <v>0</v>
      </c>
      <c r="K65" s="2"/>
      <c r="L65" s="6">
        <f t="shared" si="48"/>
        <v>7.16</v>
      </c>
      <c r="M65" s="2"/>
      <c r="N65" s="7">
        <f t="shared" si="49"/>
        <v>0</v>
      </c>
      <c r="O65" s="11"/>
      <c r="P65" s="6">
        <v>4842.87</v>
      </c>
      <c r="Q65" s="2"/>
      <c r="R65" s="7">
        <f t="shared" si="50"/>
        <v>5.3096404960036835E-2</v>
      </c>
      <c r="S65" s="2"/>
      <c r="T65" s="6"/>
      <c r="U65" s="2"/>
      <c r="V65" s="7">
        <f t="shared" si="51"/>
        <v>0</v>
      </c>
      <c r="W65" s="2"/>
      <c r="X65" s="6">
        <f t="shared" si="52"/>
        <v>4842.87</v>
      </c>
      <c r="Y65" s="2"/>
      <c r="Z65" s="7">
        <f t="shared" si="53"/>
        <v>0</v>
      </c>
    </row>
    <row r="66" spans="1:26" s="24" customFormat="1" hidden="1" outlineLevel="2" x14ac:dyDescent="0.3">
      <c r="A66" s="27"/>
      <c r="B66" s="11" t="str">
        <f>CONCATENATE("          ", "6243", " - ", "PAPER SUPPLIES")</f>
        <v xml:space="preserve">          6243 - PAPER SUPPLIES</v>
      </c>
      <c r="C66" s="11"/>
      <c r="D66" s="6">
        <v>284.11</v>
      </c>
      <c r="E66" s="2"/>
      <c r="F66" s="7">
        <f t="shared" si="46"/>
        <v>4.1853942101874889E-2</v>
      </c>
      <c r="G66" s="2"/>
      <c r="H66" s="6">
        <v>1600</v>
      </c>
      <c r="I66" s="2"/>
      <c r="J66" s="7">
        <f t="shared" si="47"/>
        <v>0.10491803278688525</v>
      </c>
      <c r="K66" s="2"/>
      <c r="L66" s="6">
        <f t="shared" si="48"/>
        <v>-1315.8899999999999</v>
      </c>
      <c r="M66" s="2"/>
      <c r="N66" s="7">
        <f t="shared" si="49"/>
        <v>-0.82243124999999995</v>
      </c>
      <c r="O66" s="11"/>
      <c r="P66" s="6">
        <v>4470.8999999999996</v>
      </c>
      <c r="Q66" s="2"/>
      <c r="R66" s="7">
        <f t="shared" si="50"/>
        <v>4.901818899450712E-2</v>
      </c>
      <c r="S66" s="2"/>
      <c r="T66" s="6">
        <v>17700</v>
      </c>
      <c r="U66" s="2"/>
      <c r="V66" s="7">
        <f t="shared" si="51"/>
        <v>0.15608465608465608</v>
      </c>
      <c r="W66" s="2"/>
      <c r="X66" s="6">
        <f t="shared" si="52"/>
        <v>-13229.1</v>
      </c>
      <c r="Y66" s="2"/>
      <c r="Z66" s="7">
        <f t="shared" si="53"/>
        <v>-0.74740677966101698</v>
      </c>
    </row>
    <row r="67" spans="1:26" s="24" customFormat="1" hidden="1" outlineLevel="2" x14ac:dyDescent="0.3">
      <c r="A67" s="27"/>
      <c r="B67" s="11" t="str">
        <f>CONCATENATE("          ", "6245", " - ", "PRINTING")</f>
        <v xml:space="preserve">          6245 - PRINTING</v>
      </c>
      <c r="C67" s="11"/>
      <c r="D67" s="6">
        <v>632.28</v>
      </c>
      <c r="E67" s="2"/>
      <c r="F67" s="7">
        <f t="shared" si="46"/>
        <v>9.3144945662502032E-2</v>
      </c>
      <c r="G67" s="2"/>
      <c r="H67" s="6">
        <v>80</v>
      </c>
      <c r="I67" s="2"/>
      <c r="J67" s="7">
        <f t="shared" si="47"/>
        <v>5.2459016393442623E-3</v>
      </c>
      <c r="K67" s="2"/>
      <c r="L67" s="6">
        <f t="shared" si="48"/>
        <v>552.28</v>
      </c>
      <c r="M67" s="2"/>
      <c r="N67" s="7">
        <f t="shared" si="49"/>
        <v>6.9034999999999993</v>
      </c>
      <c r="O67" s="11"/>
      <c r="P67" s="6">
        <v>269.89</v>
      </c>
      <c r="Q67" s="2"/>
      <c r="R67" s="7">
        <f t="shared" si="50"/>
        <v>2.9590281660801018E-3</v>
      </c>
      <c r="S67" s="2"/>
      <c r="T67" s="6">
        <v>1985</v>
      </c>
      <c r="U67" s="2"/>
      <c r="V67" s="7">
        <f t="shared" si="51"/>
        <v>1.7504409171075836E-2</v>
      </c>
      <c r="W67" s="2"/>
      <c r="X67" s="6">
        <f t="shared" si="52"/>
        <v>-1715.1100000000001</v>
      </c>
      <c r="Y67" s="2"/>
      <c r="Z67" s="7">
        <f t="shared" si="53"/>
        <v>-0.86403526448362722</v>
      </c>
    </row>
    <row r="68" spans="1:26" s="24" customFormat="1" hidden="1" outlineLevel="2" x14ac:dyDescent="0.3">
      <c r="A68" s="27"/>
      <c r="B68" s="11" t="str">
        <f>CONCATENATE("          ", "6247", " - ", "STORE SUPPLIES")</f>
        <v xml:space="preserve">          6247 - STORE SUPPLIES</v>
      </c>
      <c r="C68" s="11"/>
      <c r="D68" s="6">
        <v>1015.17</v>
      </c>
      <c r="E68" s="2"/>
      <c r="F68" s="7">
        <f t="shared" si="46"/>
        <v>0.14955075992946509</v>
      </c>
      <c r="G68" s="2"/>
      <c r="H68" s="6">
        <v>0</v>
      </c>
      <c r="I68" s="2"/>
      <c r="J68" s="7">
        <f t="shared" si="47"/>
        <v>0</v>
      </c>
      <c r="K68" s="2"/>
      <c r="L68" s="6">
        <f t="shared" si="48"/>
        <v>1015.17</v>
      </c>
      <c r="M68" s="2"/>
      <c r="N68" s="7">
        <f t="shared" si="49"/>
        <v>0</v>
      </c>
      <c r="O68" s="11"/>
      <c r="P68" s="6">
        <v>8910.49</v>
      </c>
      <c r="Q68" s="2"/>
      <c r="R68" s="7">
        <f t="shared" si="50"/>
        <v>9.7693100461577254E-2</v>
      </c>
      <c r="S68" s="2"/>
      <c r="T68" s="6">
        <v>605</v>
      </c>
      <c r="U68" s="2"/>
      <c r="V68" s="7">
        <f t="shared" si="51"/>
        <v>5.3350970017636687E-3</v>
      </c>
      <c r="W68" s="2"/>
      <c r="X68" s="6">
        <f t="shared" si="52"/>
        <v>8305.49</v>
      </c>
      <c r="Y68" s="2"/>
      <c r="Z68" s="7">
        <f t="shared" si="53"/>
        <v>13.728082644628099</v>
      </c>
    </row>
    <row r="69" spans="1:26" s="29" customFormat="1" outlineLevel="1" collapsed="1" x14ac:dyDescent="0.3">
      <c r="A69" s="28"/>
      <c r="B69" s="14" t="str">
        <f>CONCATENATE("     ","Telephone/Data Lines                              ")</f>
        <v xml:space="preserve">     Telephone/Data Lines                              </v>
      </c>
      <c r="C69" s="14"/>
      <c r="D69" s="1">
        <f>SUM(OSRRefD22_10x_0)</f>
        <v>46.15</v>
      </c>
      <c r="E69" s="1"/>
      <c r="F69" s="5">
        <f t="shared" ref="F69:F70" si="54">IF(D$12=0,0,D69/D$12)</f>
        <v>6.7986323184735702E-3</v>
      </c>
      <c r="G69" s="1"/>
      <c r="H69" s="1">
        <f>SUM(OSRRefH22_10x_0)</f>
        <v>175</v>
      </c>
      <c r="I69" s="1"/>
      <c r="J69" s="5">
        <f t="shared" ref="J69:J70" si="55">IF(H$12=0,0,H69/H$12)</f>
        <v>1.1475409836065573E-2</v>
      </c>
      <c r="K69" s="1"/>
      <c r="L69" s="1">
        <f t="shared" ref="L69:L70" si="56">+D69-H69</f>
        <v>-128.85</v>
      </c>
      <c r="M69" s="1"/>
      <c r="N69" s="5">
        <f t="shared" ref="N69:N70" si="57">IF(H69=0,0,L69/H69)</f>
        <v>-0.73628571428571421</v>
      </c>
      <c r="O69" s="14"/>
      <c r="P69" s="1">
        <f>SUM(OSRRefP22_10x_0)</f>
        <v>579.04999999999995</v>
      </c>
      <c r="Q69" s="1"/>
      <c r="R69" s="5">
        <f t="shared" ref="R69:R70" si="58">IF(P$12=0,0,P69/P$12)</f>
        <v>6.3486059489743334E-3</v>
      </c>
      <c r="S69" s="1"/>
      <c r="T69" s="1">
        <f>SUM(OSRRefT22_10x_0)</f>
        <v>875</v>
      </c>
      <c r="U69" s="1"/>
      <c r="V69" s="5">
        <f t="shared" ref="V69:V70" si="59">IF(T$12=0,0,T69/T$12)</f>
        <v>7.716049382716049E-3</v>
      </c>
      <c r="W69" s="1"/>
      <c r="X69" s="1">
        <f t="shared" ref="X69:X70" si="60">+P69-T69</f>
        <v>-295.95000000000005</v>
      </c>
      <c r="Y69" s="1"/>
      <c r="Z69" s="5">
        <f t="shared" ref="Z69:Z70" si="61">IF(T69=0,0,X69/T69)</f>
        <v>-0.33822857142857149</v>
      </c>
    </row>
    <row r="70" spans="1:26" s="24" customFormat="1" hidden="1" outlineLevel="2" x14ac:dyDescent="0.3">
      <c r="A70" s="27"/>
      <c r="B70" s="11" t="str">
        <f>CONCATENATE("          ", "6309", " - ", "TELEPHONE")</f>
        <v xml:space="preserve">          6309 - TELEPHONE</v>
      </c>
      <c r="C70" s="11"/>
      <c r="D70" s="6">
        <v>46.15</v>
      </c>
      <c r="E70" s="2"/>
      <c r="F70" s="7">
        <f t="shared" si="54"/>
        <v>6.7986323184735702E-3</v>
      </c>
      <c r="G70" s="2"/>
      <c r="H70" s="6">
        <v>175</v>
      </c>
      <c r="I70" s="2"/>
      <c r="J70" s="7">
        <f t="shared" si="55"/>
        <v>1.1475409836065573E-2</v>
      </c>
      <c r="K70" s="2"/>
      <c r="L70" s="6">
        <f t="shared" si="56"/>
        <v>-128.85</v>
      </c>
      <c r="M70" s="2"/>
      <c r="N70" s="7">
        <f t="shared" si="57"/>
        <v>-0.73628571428571421</v>
      </c>
      <c r="O70" s="11"/>
      <c r="P70" s="6">
        <v>579.04999999999995</v>
      </c>
      <c r="Q70" s="2"/>
      <c r="R70" s="7">
        <f t="shared" si="58"/>
        <v>6.3486059489743334E-3</v>
      </c>
      <c r="S70" s="2"/>
      <c r="T70" s="6">
        <v>875</v>
      </c>
      <c r="U70" s="2"/>
      <c r="V70" s="7">
        <f t="shared" si="59"/>
        <v>7.716049382716049E-3</v>
      </c>
      <c r="W70" s="2"/>
      <c r="X70" s="6">
        <f t="shared" si="60"/>
        <v>-295.95000000000005</v>
      </c>
      <c r="Y70" s="2"/>
      <c r="Z70" s="7">
        <f t="shared" si="61"/>
        <v>-0.33822857142857149</v>
      </c>
    </row>
    <row r="71" spans="1:26" s="63" customFormat="1" x14ac:dyDescent="0.3">
      <c r="A71" s="36"/>
      <c r="B71" s="36"/>
      <c r="C71" s="36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6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collapsed="1" x14ac:dyDescent="0.3">
      <c r="A72" s="10"/>
      <c r="B72" s="25" t="s">
        <v>293</v>
      </c>
      <c r="C72" s="10"/>
      <c r="D72" s="4">
        <f>SUM(OSRRefD25x_0)</f>
        <v>0</v>
      </c>
      <c r="E72" s="4"/>
      <c r="F72" s="12">
        <f t="shared" ref="F72:F73" si="62">IF(D$12=0,0,D72/D$12)</f>
        <v>0</v>
      </c>
      <c r="G72" s="4"/>
      <c r="H72" s="4">
        <f>SUM(OSRRefH25x_0)</f>
        <v>6782</v>
      </c>
      <c r="I72" s="4"/>
      <c r="J72" s="12">
        <f t="shared" ref="J72:J73" si="63">IF(H$12=0,0,H72/H$12)</f>
        <v>0.44472131147540983</v>
      </c>
      <c r="K72" s="4"/>
      <c r="L72" s="4">
        <f t="shared" ref="L72:L73" si="64">+D72-H72</f>
        <v>-6782</v>
      </c>
      <c r="M72" s="4"/>
      <c r="N72" s="12">
        <f t="shared" ref="N72:N73" si="65">IF(H72=0,0,L72/H72)</f>
        <v>-1</v>
      </c>
      <c r="O72" s="10"/>
      <c r="P72" s="4">
        <f>SUM(OSRRefP25x_0)</f>
        <v>14899</v>
      </c>
      <c r="Q72" s="4"/>
      <c r="R72" s="12">
        <f t="shared" ref="R72:R73" si="66">IF(P$12=0,0,P72/P$12)</f>
        <v>0.16335010799372868</v>
      </c>
      <c r="S72" s="4"/>
      <c r="T72" s="4">
        <f>SUM(OSRRefT25x_0)</f>
        <v>33910</v>
      </c>
      <c r="U72" s="4"/>
      <c r="V72" s="12">
        <f t="shared" ref="V72:V73" si="67">IF(T$12=0,0,T72/T$12)</f>
        <v>0.29902998236331568</v>
      </c>
      <c r="W72" s="4"/>
      <c r="X72" s="4">
        <f t="shared" ref="X72:X73" si="68">+P72-T72</f>
        <v>-19011</v>
      </c>
      <c r="Y72" s="4"/>
      <c r="Z72" s="12">
        <f t="shared" ref="Z72:Z73" si="69">IF(T72=0,0,X72/T72)</f>
        <v>-0.56063108227661462</v>
      </c>
    </row>
    <row r="73" spans="1:26" s="24" customFormat="1" hidden="1" outlineLevel="1" x14ac:dyDescent="0.3">
      <c r="A73" s="44"/>
      <c r="B73" s="11" t="str">
        <f>CONCATENATE("          ", "9150", " - ", "MISC. INCOME")</f>
        <v xml:space="preserve">          9150 - MISC. INCOME</v>
      </c>
      <c r="C73" s="11"/>
      <c r="D73" s="2">
        <f>0</f>
        <v>0</v>
      </c>
      <c r="E73" s="2"/>
      <c r="F73" s="19">
        <f t="shared" si="62"/>
        <v>0</v>
      </c>
      <c r="G73" s="2"/>
      <c r="H73" s="2">
        <v>6782</v>
      </c>
      <c r="I73" s="2"/>
      <c r="J73" s="19">
        <f t="shared" si="63"/>
        <v>0.44472131147540983</v>
      </c>
      <c r="K73" s="2"/>
      <c r="L73" s="2">
        <f t="shared" si="64"/>
        <v>-6782</v>
      </c>
      <c r="M73" s="2"/>
      <c r="N73" s="19">
        <f t="shared" si="65"/>
        <v>-1</v>
      </c>
      <c r="O73" s="11"/>
      <c r="P73" s="2">
        <f>--14899</f>
        <v>14899</v>
      </c>
      <c r="Q73" s="2"/>
      <c r="R73" s="19">
        <f t="shared" si="66"/>
        <v>0.16335010799372868</v>
      </c>
      <c r="S73" s="2"/>
      <c r="T73" s="2">
        <v>33910</v>
      </c>
      <c r="U73" s="2"/>
      <c r="V73" s="19">
        <f t="shared" si="67"/>
        <v>0.29902998236331568</v>
      </c>
      <c r="W73" s="2"/>
      <c r="X73" s="2">
        <f t="shared" si="68"/>
        <v>-19011</v>
      </c>
      <c r="Y73" s="2"/>
      <c r="Z73" s="19">
        <f t="shared" si="69"/>
        <v>-0.56063108227661462</v>
      </c>
    </row>
    <row r="74" spans="1:26" x14ac:dyDescent="0.3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3">
      <c r="A75" s="10"/>
      <c r="B75" s="26" t="s">
        <v>277</v>
      </c>
      <c r="C75" s="26"/>
      <c r="D75" s="20">
        <f>+D23-D25+D72</f>
        <v>-5228.7300000000023</v>
      </c>
      <c r="E75" s="13"/>
      <c r="F75" s="22">
        <f>IF(D$12=0,0,D75/D$12)</f>
        <v>-0.7702754661445792</v>
      </c>
      <c r="G75" s="13"/>
      <c r="H75" s="20">
        <f>+H23-H25+H72</f>
        <v>-13132.057119615391</v>
      </c>
      <c r="I75" s="13"/>
      <c r="J75" s="22">
        <f>IF(H$12=0,0,H75/H$12)</f>
        <v>-0.8611184996469109</v>
      </c>
      <c r="K75" s="15"/>
      <c r="L75" s="20">
        <f>+D75-H75</f>
        <v>7903.3271196153883</v>
      </c>
      <c r="M75" s="15"/>
      <c r="N75" s="22">
        <f>IF(H75=0,0,L75/H75)</f>
        <v>-0.60183465908095746</v>
      </c>
      <c r="O75" s="25"/>
      <c r="P75" s="20">
        <f>+P23-P25+P72</f>
        <v>-19273.329999999973</v>
      </c>
      <c r="Q75" s="13"/>
      <c r="R75" s="22">
        <f>IF(P$12=0,0,P75/P$12)</f>
        <v>-0.21130951989386981</v>
      </c>
      <c r="S75" s="13"/>
      <c r="T75" s="20">
        <f>+T23-T25+T72</f>
        <v>-28105.748240577057</v>
      </c>
      <c r="U75" s="13"/>
      <c r="V75" s="22">
        <f>IF(T$12=0,0,T75/T$12)</f>
        <v>-0.24784610441425975</v>
      </c>
      <c r="W75" s="15"/>
      <c r="X75" s="20">
        <f>+P75-T75</f>
        <v>8832.4182405770844</v>
      </c>
      <c r="Y75" s="15"/>
      <c r="Z75" s="22">
        <f>IF(T75=0,0,X75/T75)</f>
        <v>-0.31425664831884725</v>
      </c>
    </row>
    <row r="76" spans="1:26" x14ac:dyDescent="0.3">
      <c r="A76" s="9"/>
      <c r="B76" s="10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3">
      <c r="A77" s="52"/>
      <c r="B77" s="10" t="s">
        <v>128</v>
      </c>
      <c r="C77" s="10"/>
      <c r="D77" s="4">
        <v>1105.7</v>
      </c>
      <c r="E77" s="4"/>
      <c r="F77" s="12">
        <f>IF(D$12=0,0,D77/D$12)</f>
        <v>0.16288727528789226</v>
      </c>
      <c r="G77" s="4"/>
      <c r="H77" s="4">
        <v>2890</v>
      </c>
      <c r="I77" s="4"/>
      <c r="J77" s="12">
        <f>IF(H$12=0,0,H77/H$12)</f>
        <v>0.18950819672131147</v>
      </c>
      <c r="K77" s="4"/>
      <c r="L77" s="4">
        <f>+D77-H77</f>
        <v>-1784.3</v>
      </c>
      <c r="M77" s="4"/>
      <c r="N77" s="12">
        <f>IF(H77=0,0,L77/H77)</f>
        <v>-0.61740484429065745</v>
      </c>
      <c r="O77" s="10"/>
      <c r="P77" s="4">
        <v>10864.06</v>
      </c>
      <c r="Q77" s="4"/>
      <c r="R77" s="12">
        <f>IF(P$12=0,0,P77/P$12)</f>
        <v>0.1191117104671688</v>
      </c>
      <c r="S77" s="4"/>
      <c r="T77" s="4">
        <v>14177</v>
      </c>
      <c r="U77" s="4"/>
      <c r="V77" s="12">
        <f>IF(T$12=0,0,T77/T$12)</f>
        <v>0.12501763668430335</v>
      </c>
      <c r="W77" s="4"/>
      <c r="X77" s="4">
        <f>+P77-T77</f>
        <v>-3312.9400000000005</v>
      </c>
      <c r="Y77" s="4"/>
      <c r="Z77" s="12">
        <f>IF(T77=0,0,X77/T77)</f>
        <v>-0.23368413627706852</v>
      </c>
    </row>
    <row r="78" spans="1:26" x14ac:dyDescent="0.3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" thickBot="1" x14ac:dyDescent="0.35">
      <c r="A79" s="10"/>
      <c r="B79" s="26" t="s">
        <v>126</v>
      </c>
      <c r="C79" s="26"/>
      <c r="D79" s="33">
        <f>+D75-D77</f>
        <v>-6334.4300000000021</v>
      </c>
      <c r="E79" s="13"/>
      <c r="F79" s="34">
        <f>IF(D$12=0,0,D79/D$12)</f>
        <v>-0.93316274143247135</v>
      </c>
      <c r="G79" s="13"/>
      <c r="H79" s="33">
        <f>+H75-H77</f>
        <v>-16022.057119615391</v>
      </c>
      <c r="I79" s="13"/>
      <c r="J79" s="34">
        <f>IF(H$12=0,0,H79/H$12)</f>
        <v>-1.0506266963682223</v>
      </c>
      <c r="K79" s="15"/>
      <c r="L79" s="33">
        <f>D79-H79</f>
        <v>9687.6271196153884</v>
      </c>
      <c r="M79" s="15"/>
      <c r="N79" s="34">
        <f>IF(H79=0,0,L79/H79)</f>
        <v>-0.60464315208033281</v>
      </c>
      <c r="O79" s="25"/>
      <c r="P79" s="33">
        <f>+P75-P77</f>
        <v>-30137.38999999997</v>
      </c>
      <c r="Q79" s="13"/>
      <c r="R79" s="34">
        <f>IF(P$12=0,0,P79/P$12)</f>
        <v>-0.3304212303610386</v>
      </c>
      <c r="S79" s="13"/>
      <c r="T79" s="33">
        <f>+T75-T77</f>
        <v>-42282.748240577057</v>
      </c>
      <c r="U79" s="13"/>
      <c r="V79" s="34">
        <f>IF(T$12=0,0,T79/T$12)</f>
        <v>-0.37286374109856313</v>
      </c>
      <c r="W79" s="15"/>
      <c r="X79" s="33">
        <f>P79-T79</f>
        <v>12145.358240577087</v>
      </c>
      <c r="Y79" s="15"/>
      <c r="Z79" s="34">
        <f>IF(T79=0,0,X79/T79)</f>
        <v>-0.28724145770926202</v>
      </c>
    </row>
    <row r="80" spans="1:26" ht="15" thickTop="1" x14ac:dyDescent="0.3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x14ac:dyDescent="0.3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" thickBot="1" x14ac:dyDescent="0.35">
      <c r="A82" s="10"/>
      <c r="B82" s="26" t="s">
        <v>294</v>
      </c>
      <c r="C82" s="26"/>
      <c r="D82" s="35">
        <f>SUM(D79:D81)</f>
        <v>-6334.4300000000021</v>
      </c>
      <c r="E82" s="13"/>
      <c r="F82" s="32">
        <f>IF(D$12=0,0,D82/D$12)</f>
        <v>-0.93316274143247135</v>
      </c>
      <c r="G82" s="13"/>
      <c r="H82" s="35">
        <f>SUM(H79:H81)</f>
        <v>-16022.057119615391</v>
      </c>
      <c r="I82" s="13"/>
      <c r="J82" s="32">
        <f>IF(H$12=0,0,H82/H$12)</f>
        <v>-1.0506266963682223</v>
      </c>
      <c r="K82" s="15"/>
      <c r="L82" s="35">
        <f>+D82-H82</f>
        <v>9687.6271196153884</v>
      </c>
      <c r="M82" s="15"/>
      <c r="N82" s="32">
        <f>IF(H82=0,0,L82/H82)</f>
        <v>-0.60464315208033281</v>
      </c>
      <c r="O82" s="25"/>
      <c r="P82" s="35">
        <f>SUM(P79:P81)</f>
        <v>-30137.38999999997</v>
      </c>
      <c r="Q82" s="13"/>
      <c r="R82" s="32">
        <f>IF(P$12=0,0,P82/P$12)</f>
        <v>-0.3304212303610386</v>
      </c>
      <c r="S82" s="13"/>
      <c r="T82" s="35">
        <f>SUM(T79:T81)</f>
        <v>-42282.748240577057</v>
      </c>
      <c r="U82" s="13"/>
      <c r="V82" s="32">
        <f>IF(T$12=0,0,T82/T$12)</f>
        <v>-0.37286374109856313</v>
      </c>
      <c r="W82" s="15"/>
      <c r="X82" s="35">
        <f>+P82-T82</f>
        <v>12145.358240577087</v>
      </c>
      <c r="Y82" s="15"/>
      <c r="Z82" s="32">
        <f>IF(T82=0,0,X82/T82)</f>
        <v>-0.28724145770926202</v>
      </c>
    </row>
    <row r="83" spans="1:26" ht="15" thickTop="1" x14ac:dyDescent="0.3">
      <c r="A83" s="9"/>
      <c r="C83" s="9"/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6" x14ac:dyDescent="0.3">
      <c r="A84" s="9"/>
      <c r="B84" s="60">
        <v>44543.753113078703</v>
      </c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6" x14ac:dyDescent="0.3">
      <c r="A85" s="9"/>
      <c r="B85" s="58" t="s">
        <v>56</v>
      </c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3">
      <c r="A86" s="9"/>
      <c r="B86" s="55"/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  <row r="87" spans="1:26" x14ac:dyDescent="0.3"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FFC000"/>
    <outlinePr summaryBelow="0" summaryRight="0"/>
  </sheetPr>
  <dimension ref="A2:Z9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219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92527.76</v>
      </c>
      <c r="E12" s="4"/>
      <c r="F12" s="12"/>
      <c r="G12" s="4"/>
      <c r="H12" s="4">
        <f>SUM(OSRRefH13x_0)</f>
        <v>120360</v>
      </c>
      <c r="I12" s="4"/>
      <c r="J12" s="12"/>
      <c r="K12" s="4"/>
      <c r="L12" s="4">
        <f t="shared" ref="L12:L17" si="0">+D12-H12</f>
        <v>-27832.240000000005</v>
      </c>
      <c r="M12" s="4"/>
      <c r="N12" s="12">
        <f t="shared" ref="N12:N17" si="1">IF(H12=0,0,L12/H12)</f>
        <v>-0.23124160850780995</v>
      </c>
      <c r="O12" s="10"/>
      <c r="P12" s="4">
        <f>SUM(OSRRefP13x_0)</f>
        <v>833107.47</v>
      </c>
      <c r="Q12" s="4"/>
      <c r="R12" s="12"/>
      <c r="S12" s="4"/>
      <c r="T12" s="4">
        <f>SUM(OSRRefT13x_0)</f>
        <v>1124165</v>
      </c>
      <c r="U12" s="4"/>
      <c r="V12" s="12"/>
      <c r="W12" s="4"/>
      <c r="X12" s="4">
        <f t="shared" ref="X12:X17" si="2">+P12-T12</f>
        <v>-291057.53000000003</v>
      </c>
      <c r="Y12" s="4"/>
      <c r="Z12" s="12">
        <f t="shared" ref="Z12:Z17" si="3">IF(T12=0,0,X12/T12)</f>
        <v>-0.25890997318009368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--101601.44</f>
        <v>101601.44</v>
      </c>
      <c r="E13" s="2"/>
      <c r="F13" s="19"/>
      <c r="G13" s="2"/>
      <c r="H13" s="2">
        <v>114547</v>
      </c>
      <c r="I13" s="2"/>
      <c r="J13" s="19"/>
      <c r="K13" s="2"/>
      <c r="L13" s="2">
        <f t="shared" si="0"/>
        <v>-12945.559999999998</v>
      </c>
      <c r="M13" s="2"/>
      <c r="N13" s="19">
        <f t="shared" si="1"/>
        <v>-0.11301526884161085</v>
      </c>
      <c r="O13" s="11"/>
      <c r="P13" s="2">
        <f>--684111.95</f>
        <v>684111.95</v>
      </c>
      <c r="Q13" s="2"/>
      <c r="R13" s="19"/>
      <c r="S13" s="2"/>
      <c r="T13" s="2">
        <v>1064759</v>
      </c>
      <c r="U13" s="2"/>
      <c r="V13" s="19"/>
      <c r="W13" s="2"/>
      <c r="X13" s="2">
        <f t="shared" si="2"/>
        <v>-380647.05000000005</v>
      </c>
      <c r="Y13" s="2"/>
      <c r="Z13" s="19">
        <f t="shared" si="3"/>
        <v>-0.35749596857129179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--34580</f>
        <v>34580</v>
      </c>
      <c r="E14" s="2"/>
      <c r="F14" s="19"/>
      <c r="G14" s="2"/>
      <c r="H14" s="2">
        <v>5813</v>
      </c>
      <c r="I14" s="2"/>
      <c r="J14" s="19"/>
      <c r="K14" s="2"/>
      <c r="L14" s="2">
        <f t="shared" si="0"/>
        <v>28767</v>
      </c>
      <c r="M14" s="2"/>
      <c r="N14" s="19">
        <f t="shared" si="1"/>
        <v>4.9487355926371928</v>
      </c>
      <c r="O14" s="11"/>
      <c r="P14" s="2">
        <f>--301761.89</f>
        <v>301761.89</v>
      </c>
      <c r="Q14" s="2"/>
      <c r="R14" s="19"/>
      <c r="S14" s="2"/>
      <c r="T14" s="2">
        <v>59406</v>
      </c>
      <c r="U14" s="2"/>
      <c r="V14" s="19"/>
      <c r="W14" s="2"/>
      <c r="X14" s="2">
        <f t="shared" si="2"/>
        <v>242355.89</v>
      </c>
      <c r="Y14" s="2"/>
      <c r="Z14" s="19">
        <f t="shared" si="3"/>
        <v>4.0796534020132649</v>
      </c>
    </row>
    <row r="15" spans="1:26" s="24" customFormat="1" hidden="1" outlineLevel="1" x14ac:dyDescent="0.3">
      <c r="A15" s="44"/>
      <c r="B15" s="11" t="str">
        <f>CONCATENATE("          ", "4200", " - ", "TAXABLE RETURNS")</f>
        <v xml:space="preserve">          4200 - TAXABLE RETURNS</v>
      </c>
      <c r="C15" s="11"/>
      <c r="D15" s="2">
        <f>-43602.29</f>
        <v>-43602.29</v>
      </c>
      <c r="E15" s="2"/>
      <c r="F15" s="19"/>
      <c r="G15" s="2"/>
      <c r="H15" s="2"/>
      <c r="I15" s="2"/>
      <c r="J15" s="19"/>
      <c r="K15" s="2"/>
      <c r="L15" s="2">
        <f t="shared" si="0"/>
        <v>-43602.29</v>
      </c>
      <c r="M15" s="2"/>
      <c r="N15" s="19">
        <f t="shared" si="1"/>
        <v>0</v>
      </c>
      <c r="O15" s="11"/>
      <c r="P15" s="2">
        <f>-151969.64</f>
        <v>-151969.64000000001</v>
      </c>
      <c r="Q15" s="2"/>
      <c r="R15" s="19"/>
      <c r="S15" s="2"/>
      <c r="T15" s="2"/>
      <c r="U15" s="2"/>
      <c r="V15" s="19"/>
      <c r="W15" s="2"/>
      <c r="X15" s="2">
        <f t="shared" si="2"/>
        <v>-151969.64000000001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"4300", " - ", "NON-TAX RETURNS")</f>
        <v xml:space="preserve">          4300 - NON-TAX RETURNS</v>
      </c>
      <c r="C16" s="11"/>
      <c r="D16" s="2">
        <f>-14.99</f>
        <v>-14.99</v>
      </c>
      <c r="E16" s="2"/>
      <c r="F16" s="19"/>
      <c r="G16" s="2"/>
      <c r="H16" s="2"/>
      <c r="I16" s="2"/>
      <c r="J16" s="19"/>
      <c r="K16" s="2"/>
      <c r="L16" s="2">
        <f t="shared" si="0"/>
        <v>-14.99</v>
      </c>
      <c r="M16" s="2"/>
      <c r="N16" s="19">
        <f t="shared" si="1"/>
        <v>0</v>
      </c>
      <c r="O16" s="11"/>
      <c r="P16" s="2">
        <f>-704.79</f>
        <v>-704.79</v>
      </c>
      <c r="Q16" s="2"/>
      <c r="R16" s="19"/>
      <c r="S16" s="2"/>
      <c r="T16" s="2"/>
      <c r="U16" s="2"/>
      <c r="V16" s="19"/>
      <c r="W16" s="2"/>
      <c r="X16" s="2">
        <f t="shared" si="2"/>
        <v>-704.79</v>
      </c>
      <c r="Y16" s="2"/>
      <c r="Z16" s="19">
        <f t="shared" si="3"/>
        <v>0</v>
      </c>
    </row>
    <row r="17" spans="1:26" s="24" customFormat="1" hidden="1" outlineLevel="1" x14ac:dyDescent="0.3">
      <c r="A17" s="44"/>
      <c r="B17" s="11" t="str">
        <f>CONCATENATE("          ", "4500", " - ", "SALES DISCOUNT")</f>
        <v xml:space="preserve">          4500 - SALES DISCOUNT</v>
      </c>
      <c r="C17" s="11"/>
      <c r="D17" s="2">
        <f>-36.4</f>
        <v>-36.4</v>
      </c>
      <c r="E17" s="2"/>
      <c r="F17" s="19"/>
      <c r="G17" s="2"/>
      <c r="H17" s="2"/>
      <c r="I17" s="2"/>
      <c r="J17" s="19"/>
      <c r="K17" s="2"/>
      <c r="L17" s="2">
        <f t="shared" si="0"/>
        <v>-36.4</v>
      </c>
      <c r="M17" s="2"/>
      <c r="N17" s="19">
        <f t="shared" si="1"/>
        <v>0</v>
      </c>
      <c r="O17" s="11"/>
      <c r="P17" s="2">
        <f>-91.94</f>
        <v>-91.94</v>
      </c>
      <c r="Q17" s="2"/>
      <c r="R17" s="19"/>
      <c r="S17" s="2"/>
      <c r="T17" s="2"/>
      <c r="U17" s="2"/>
      <c r="V17" s="19"/>
      <c r="W17" s="2"/>
      <c r="X17" s="2">
        <f t="shared" si="2"/>
        <v>-91.94</v>
      </c>
      <c r="Y17" s="2"/>
      <c r="Z17" s="19">
        <f t="shared" si="3"/>
        <v>0</v>
      </c>
    </row>
    <row r="18" spans="1:26" x14ac:dyDescent="0.3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3">
      <c r="A19" s="10"/>
      <c r="B19" s="25" t="s">
        <v>257</v>
      </c>
      <c r="C19" s="10"/>
      <c r="D19" s="4">
        <f>SUM(OSRRefD16x_0)</f>
        <v>82925.39</v>
      </c>
      <c r="E19" s="4"/>
      <c r="F19" s="12">
        <f t="shared" ref="F19:F29" si="4">IF(D$12=0,0,D19/D$12)</f>
        <v>0.89622173929207849</v>
      </c>
      <c r="G19" s="4"/>
      <c r="H19" s="4">
        <f>SUM(OSRRefH16x_0)</f>
        <v>107722</v>
      </c>
      <c r="I19" s="4"/>
      <c r="J19" s="12">
        <f t="shared" ref="J19:J29" si="5">IF(H$12=0,0,H19/H$12)</f>
        <v>0.89499833831837816</v>
      </c>
      <c r="K19" s="4"/>
      <c r="L19" s="4">
        <f t="shared" ref="L19:L29" si="6">+D19-H19</f>
        <v>-24796.61</v>
      </c>
      <c r="M19" s="4"/>
      <c r="N19" s="12">
        <f t="shared" ref="N19:N29" si="7">IF(H19=0,0,L19/H19)</f>
        <v>-0.23019076883087949</v>
      </c>
      <c r="O19" s="10"/>
      <c r="P19" s="4">
        <f>SUM(OSRRefP16x_0)</f>
        <v>702659.7300000001</v>
      </c>
      <c r="Q19" s="4"/>
      <c r="R19" s="12">
        <f t="shared" ref="R19:R29" si="8">IF(P$12=0,0,P19/P$12)</f>
        <v>0.84342027325718272</v>
      </c>
      <c r="S19" s="4"/>
      <c r="T19" s="4">
        <f>SUM(OSRRefT16x_0)</f>
        <v>1006126</v>
      </c>
      <c r="U19" s="4"/>
      <c r="V19" s="12">
        <f t="shared" ref="V19:V29" si="9">IF(T$12=0,0,T19/T$12)</f>
        <v>0.89499851000520392</v>
      </c>
      <c r="W19" s="4"/>
      <c r="X19" s="4">
        <f t="shared" ref="X19:X29" si="10">+P19-T19</f>
        <v>-303466.2699999999</v>
      </c>
      <c r="Y19" s="4"/>
      <c r="Z19" s="12">
        <f t="shared" ref="Z19:Z29" si="11">IF(T19=0,0,X19/T19)</f>
        <v>-0.30161855473370125</v>
      </c>
    </row>
    <row r="20" spans="1:26" s="24" customFormat="1" hidden="1" outlineLevel="1" x14ac:dyDescent="0.3">
      <c r="A20" s="44"/>
      <c r="B20" s="11" t="str">
        <f>CONCATENATE("          ", "5000", " - ", "PURCHASES @ COST")</f>
        <v xml:space="preserve">          5000 - PURCHASES @ COST</v>
      </c>
      <c r="C20" s="11"/>
      <c r="D20" s="2">
        <v>56710.32</v>
      </c>
      <c r="E20" s="2"/>
      <c r="F20" s="19">
        <f t="shared" si="4"/>
        <v>0.61290060409978586</v>
      </c>
      <c r="G20" s="2"/>
      <c r="H20" s="2">
        <v>107722</v>
      </c>
      <c r="I20" s="2"/>
      <c r="J20" s="19">
        <f t="shared" si="5"/>
        <v>0.89499833831837816</v>
      </c>
      <c r="K20" s="2"/>
      <c r="L20" s="2">
        <f t="shared" si="6"/>
        <v>-51011.68</v>
      </c>
      <c r="M20" s="2"/>
      <c r="N20" s="19">
        <f t="shared" si="7"/>
        <v>-0.47354932140138506</v>
      </c>
      <c r="O20" s="11"/>
      <c r="P20" s="2">
        <v>743562.51</v>
      </c>
      <c r="Q20" s="2"/>
      <c r="R20" s="19">
        <f t="shared" si="8"/>
        <v>0.89251691621490326</v>
      </c>
      <c r="S20" s="2"/>
      <c r="T20" s="2">
        <v>1006126</v>
      </c>
      <c r="U20" s="2"/>
      <c r="V20" s="19">
        <f t="shared" si="9"/>
        <v>0.89499851000520392</v>
      </c>
      <c r="W20" s="2"/>
      <c r="X20" s="2">
        <f t="shared" si="10"/>
        <v>-262563.49</v>
      </c>
      <c r="Y20" s="2"/>
      <c r="Z20" s="19">
        <f t="shared" si="11"/>
        <v>-0.26096481951564715</v>
      </c>
    </row>
    <row r="21" spans="1:26" s="24" customFormat="1" hidden="1" outlineLevel="1" x14ac:dyDescent="0.3">
      <c r="A21" s="44"/>
      <c r="B21" s="11" t="str">
        <f>CONCATENATE("          ", "5081", " - ", "PURCHASES @ COST-ELECTRONICS")</f>
        <v xml:space="preserve">          5081 - PURCHASES @ COST-ELECTRONICS</v>
      </c>
      <c r="C21" s="11"/>
      <c r="D21" s="2"/>
      <c r="E21" s="2"/>
      <c r="F21" s="19">
        <f t="shared" si="4"/>
        <v>0</v>
      </c>
      <c r="G21" s="2"/>
      <c r="H21" s="2"/>
      <c r="I21" s="2"/>
      <c r="J21" s="19">
        <f t="shared" si="5"/>
        <v>0</v>
      </c>
      <c r="K21" s="2"/>
      <c r="L21" s="2">
        <f t="shared" si="6"/>
        <v>0</v>
      </c>
      <c r="M21" s="2"/>
      <c r="N21" s="19">
        <f t="shared" si="7"/>
        <v>0</v>
      </c>
      <c r="O21" s="11"/>
      <c r="P21" s="2">
        <v>0</v>
      </c>
      <c r="Q21" s="2"/>
      <c r="R21" s="19">
        <f t="shared" si="8"/>
        <v>0</v>
      </c>
      <c r="S21" s="2"/>
      <c r="T21" s="2"/>
      <c r="U21" s="2"/>
      <c r="V21" s="19">
        <f t="shared" si="9"/>
        <v>0</v>
      </c>
      <c r="W21" s="2"/>
      <c r="X21" s="2">
        <f t="shared" si="10"/>
        <v>0</v>
      </c>
      <c r="Y21" s="2"/>
      <c r="Z21" s="19">
        <f t="shared" si="11"/>
        <v>0</v>
      </c>
    </row>
    <row r="22" spans="1:26" s="24" customFormat="1" hidden="1" outlineLevel="1" x14ac:dyDescent="0.3">
      <c r="A22" s="44"/>
      <c r="B22" s="11" t="str">
        <f>CONCATENATE("          ", "5082", " - ", "PURCHASES @ COST-COMPUTER HARD")</f>
        <v xml:space="preserve">          5082 - PURCHASES @ COST-COMPUTER HARD</v>
      </c>
      <c r="C22" s="11"/>
      <c r="D22" s="2">
        <v>-3384.72</v>
      </c>
      <c r="E22" s="2"/>
      <c r="F22" s="19">
        <f t="shared" si="4"/>
        <v>-3.6580589436078427E-2</v>
      </c>
      <c r="G22" s="2"/>
      <c r="H22" s="2"/>
      <c r="I22" s="2"/>
      <c r="J22" s="19">
        <f t="shared" si="5"/>
        <v>0</v>
      </c>
      <c r="K22" s="2"/>
      <c r="L22" s="2">
        <f t="shared" si="6"/>
        <v>-3384.72</v>
      </c>
      <c r="M22" s="2"/>
      <c r="N22" s="19">
        <f t="shared" si="7"/>
        <v>0</v>
      </c>
      <c r="O22" s="11"/>
      <c r="P22" s="2">
        <v>-80709.45</v>
      </c>
      <c r="Q22" s="2"/>
      <c r="R22" s="19">
        <f t="shared" si="8"/>
        <v>-9.6877597316466266E-2</v>
      </c>
      <c r="S22" s="2"/>
      <c r="T22" s="2"/>
      <c r="U22" s="2"/>
      <c r="V22" s="19">
        <f t="shared" si="9"/>
        <v>0</v>
      </c>
      <c r="W22" s="2"/>
      <c r="X22" s="2">
        <f t="shared" si="10"/>
        <v>-80709.45</v>
      </c>
      <c r="Y22" s="2"/>
      <c r="Z22" s="19">
        <f t="shared" si="11"/>
        <v>0</v>
      </c>
    </row>
    <row r="23" spans="1:26" s="24" customFormat="1" hidden="1" outlineLevel="1" x14ac:dyDescent="0.3">
      <c r="A23" s="44"/>
      <c r="B23" s="11" t="str">
        <f>CONCATENATE("          ", "5083", " - ", "PURCHASES @ COST-COMPUTER EQUI")</f>
        <v xml:space="preserve">          5083 - PURCHASES @ COST-COMPUTER EQUI</v>
      </c>
      <c r="C23" s="11"/>
      <c r="D23" s="2"/>
      <c r="E23" s="2"/>
      <c r="F23" s="19">
        <f t="shared" si="4"/>
        <v>0</v>
      </c>
      <c r="G23" s="2"/>
      <c r="H23" s="2"/>
      <c r="I23" s="2"/>
      <c r="J23" s="19">
        <f t="shared" si="5"/>
        <v>0</v>
      </c>
      <c r="K23" s="2"/>
      <c r="L23" s="2">
        <f t="shared" si="6"/>
        <v>0</v>
      </c>
      <c r="M23" s="2"/>
      <c r="N23" s="19">
        <f t="shared" si="7"/>
        <v>0</v>
      </c>
      <c r="O23" s="11"/>
      <c r="P23" s="2">
        <v>0</v>
      </c>
      <c r="Q23" s="2"/>
      <c r="R23" s="19">
        <f t="shared" si="8"/>
        <v>0</v>
      </c>
      <c r="S23" s="2"/>
      <c r="T23" s="2"/>
      <c r="U23" s="2"/>
      <c r="V23" s="19">
        <f t="shared" si="9"/>
        <v>0</v>
      </c>
      <c r="W23" s="2"/>
      <c r="X23" s="2">
        <f t="shared" si="10"/>
        <v>0</v>
      </c>
      <c r="Y23" s="2"/>
      <c r="Z23" s="19">
        <f t="shared" si="11"/>
        <v>0</v>
      </c>
    </row>
    <row r="24" spans="1:26" s="24" customFormat="1" hidden="1" outlineLevel="1" x14ac:dyDescent="0.3">
      <c r="A24" s="44"/>
      <c r="B24" s="11" t="str">
        <f>CONCATENATE("          ", "5085", " - ", "PURCHASES @ COST-SOFTWARE")</f>
        <v xml:space="preserve">          5085 - PURCHASES @ COST-SOFTWARE</v>
      </c>
      <c r="C24" s="11"/>
      <c r="D24" s="2"/>
      <c r="E24" s="2"/>
      <c r="F24" s="19">
        <f t="shared" si="4"/>
        <v>0</v>
      </c>
      <c r="G24" s="2"/>
      <c r="H24" s="2"/>
      <c r="I24" s="2"/>
      <c r="J24" s="19">
        <f t="shared" si="5"/>
        <v>0</v>
      </c>
      <c r="K24" s="2"/>
      <c r="L24" s="2">
        <f t="shared" si="6"/>
        <v>0</v>
      </c>
      <c r="M24" s="2"/>
      <c r="N24" s="19">
        <f t="shared" si="7"/>
        <v>0</v>
      </c>
      <c r="O24" s="11"/>
      <c r="P24" s="2">
        <v>0</v>
      </c>
      <c r="Q24" s="2"/>
      <c r="R24" s="19">
        <f t="shared" si="8"/>
        <v>0</v>
      </c>
      <c r="S24" s="2"/>
      <c r="T24" s="2"/>
      <c r="U24" s="2"/>
      <c r="V24" s="19">
        <f t="shared" si="9"/>
        <v>0</v>
      </c>
      <c r="W24" s="2"/>
      <c r="X24" s="2">
        <f t="shared" si="10"/>
        <v>0</v>
      </c>
      <c r="Y24" s="2"/>
      <c r="Z24" s="19">
        <f t="shared" si="11"/>
        <v>0</v>
      </c>
    </row>
    <row r="25" spans="1:26" s="24" customFormat="1" hidden="1" outlineLevel="1" x14ac:dyDescent="0.3">
      <c r="A25" s="44"/>
      <c r="B25" s="11" t="str">
        <f>CONCATENATE("          ", "5086", " - ", "PURCHASES @ COST-COMPUTER SUPP")</f>
        <v xml:space="preserve">          5086 - PURCHASES @ COST-COMPUTER SUPP</v>
      </c>
      <c r="C25" s="11"/>
      <c r="D25" s="2"/>
      <c r="E25" s="2"/>
      <c r="F25" s="19">
        <f t="shared" si="4"/>
        <v>0</v>
      </c>
      <c r="G25" s="2"/>
      <c r="H25" s="2"/>
      <c r="I25" s="2"/>
      <c r="J25" s="19">
        <f t="shared" si="5"/>
        <v>0</v>
      </c>
      <c r="K25" s="2"/>
      <c r="L25" s="2">
        <f t="shared" si="6"/>
        <v>0</v>
      </c>
      <c r="M25" s="2"/>
      <c r="N25" s="19">
        <f t="shared" si="7"/>
        <v>0</v>
      </c>
      <c r="O25" s="11"/>
      <c r="P25" s="2">
        <v>0</v>
      </c>
      <c r="Q25" s="2"/>
      <c r="R25" s="19">
        <f t="shared" si="8"/>
        <v>0</v>
      </c>
      <c r="S25" s="2"/>
      <c r="T25" s="2"/>
      <c r="U25" s="2"/>
      <c r="V25" s="19">
        <f t="shared" si="9"/>
        <v>0</v>
      </c>
      <c r="W25" s="2"/>
      <c r="X25" s="2">
        <f t="shared" si="10"/>
        <v>0</v>
      </c>
      <c r="Y25" s="2"/>
      <c r="Z25" s="19">
        <f t="shared" si="11"/>
        <v>0</v>
      </c>
    </row>
    <row r="26" spans="1:26" s="24" customFormat="1" hidden="1" outlineLevel="1" x14ac:dyDescent="0.3">
      <c r="A26" s="44"/>
      <c r="B26" s="11" t="str">
        <f>CONCATENATE("          ", "5200", " - ", "PURCHASES OFFSET")</f>
        <v xml:space="preserve">          5200 - PURCHASES OFFSET</v>
      </c>
      <c r="C26" s="11"/>
      <c r="D26" s="2">
        <v>-56710.32</v>
      </c>
      <c r="E26" s="2"/>
      <c r="F26" s="19">
        <f t="shared" si="4"/>
        <v>-0.61290060409978586</v>
      </c>
      <c r="G26" s="2"/>
      <c r="H26" s="2"/>
      <c r="I26" s="2"/>
      <c r="J26" s="19">
        <f t="shared" si="5"/>
        <v>0</v>
      </c>
      <c r="K26" s="2"/>
      <c r="L26" s="2">
        <f t="shared" si="6"/>
        <v>-56710.32</v>
      </c>
      <c r="M26" s="2"/>
      <c r="N26" s="19">
        <f t="shared" si="7"/>
        <v>0</v>
      </c>
      <c r="O26" s="11"/>
      <c r="P26" s="2">
        <v>-743606.7</v>
      </c>
      <c r="Q26" s="2"/>
      <c r="R26" s="19">
        <f t="shared" si="8"/>
        <v>-0.89256995859129673</v>
      </c>
      <c r="S26" s="2"/>
      <c r="T26" s="2"/>
      <c r="U26" s="2"/>
      <c r="V26" s="19">
        <f t="shared" si="9"/>
        <v>0</v>
      </c>
      <c r="W26" s="2"/>
      <c r="X26" s="2">
        <f t="shared" si="10"/>
        <v>-743606.7</v>
      </c>
      <c r="Y26" s="2"/>
      <c r="Z26" s="19">
        <f t="shared" si="11"/>
        <v>0</v>
      </c>
    </row>
    <row r="27" spans="1:26" s="24" customFormat="1" hidden="1" outlineLevel="1" x14ac:dyDescent="0.3">
      <c r="A27" s="44"/>
      <c r="B27" s="11" t="str">
        <f>CONCATENATE("          ", "5300", " - ", "COG$ OFFSET")</f>
        <v xml:space="preserve">          5300 - COG$ OFFSET</v>
      </c>
      <c r="C27" s="11"/>
      <c r="D27" s="2">
        <v>86310.11</v>
      </c>
      <c r="E27" s="2"/>
      <c r="F27" s="19">
        <f t="shared" si="4"/>
        <v>0.93280232872815694</v>
      </c>
      <c r="G27" s="2"/>
      <c r="H27" s="2"/>
      <c r="I27" s="2"/>
      <c r="J27" s="19">
        <f t="shared" si="5"/>
        <v>0</v>
      </c>
      <c r="K27" s="2"/>
      <c r="L27" s="2">
        <f t="shared" si="6"/>
        <v>86310.11</v>
      </c>
      <c r="M27" s="2"/>
      <c r="N27" s="19">
        <f t="shared" si="7"/>
        <v>0</v>
      </c>
      <c r="O27" s="11"/>
      <c r="P27" s="2">
        <v>783369.18</v>
      </c>
      <c r="Q27" s="2"/>
      <c r="R27" s="19">
        <f t="shared" si="8"/>
        <v>0.94029787057364889</v>
      </c>
      <c r="S27" s="2"/>
      <c r="T27" s="2"/>
      <c r="U27" s="2"/>
      <c r="V27" s="19">
        <f t="shared" si="9"/>
        <v>0</v>
      </c>
      <c r="W27" s="2"/>
      <c r="X27" s="2">
        <f t="shared" si="10"/>
        <v>783369.18</v>
      </c>
      <c r="Y27" s="2"/>
      <c r="Z27" s="19">
        <f t="shared" si="11"/>
        <v>0</v>
      </c>
    </row>
    <row r="28" spans="1:26" s="24" customFormat="1" hidden="1" outlineLevel="1" x14ac:dyDescent="0.3">
      <c r="A28" s="44"/>
      <c r="B28" s="11" t="str">
        <f>CONCATENATE("          ", "5500", " - ", "FREIGHT-IN")</f>
        <v xml:space="preserve">          5500 - FREIGHT-IN</v>
      </c>
      <c r="C28" s="11"/>
      <c r="D28" s="2"/>
      <c r="E28" s="2"/>
      <c r="F28" s="19">
        <f t="shared" si="4"/>
        <v>0</v>
      </c>
      <c r="G28" s="2"/>
      <c r="H28" s="2"/>
      <c r="I28" s="2"/>
      <c r="J28" s="19">
        <f t="shared" si="5"/>
        <v>0</v>
      </c>
      <c r="K28" s="2"/>
      <c r="L28" s="2">
        <f t="shared" si="6"/>
        <v>0</v>
      </c>
      <c r="M28" s="2"/>
      <c r="N28" s="19">
        <f t="shared" si="7"/>
        <v>0</v>
      </c>
      <c r="O28" s="11"/>
      <c r="P28" s="2">
        <v>44.19</v>
      </c>
      <c r="Q28" s="2"/>
      <c r="R28" s="19">
        <f t="shared" si="8"/>
        <v>5.3042376393528194E-5</v>
      </c>
      <c r="S28" s="2"/>
      <c r="T28" s="2"/>
      <c r="U28" s="2"/>
      <c r="V28" s="19">
        <f t="shared" si="9"/>
        <v>0</v>
      </c>
      <c r="W28" s="2"/>
      <c r="X28" s="2">
        <f t="shared" si="10"/>
        <v>44.19</v>
      </c>
      <c r="Y28" s="2"/>
      <c r="Z28" s="19">
        <f t="shared" si="11"/>
        <v>0</v>
      </c>
    </row>
    <row r="29" spans="1:26" s="24" customFormat="1" hidden="1" outlineLevel="1" x14ac:dyDescent="0.3">
      <c r="A29" s="44"/>
      <c r="B29" s="11" t="str">
        <f>CONCATENATE("          ", "5583", " - ", "FREIGHT-IN-COMPUTER EQUIPMENT")</f>
        <v xml:space="preserve">          5583 - FREIGHT-IN-COMPUTER EQUIPMENT</v>
      </c>
      <c r="C29" s="11"/>
      <c r="D29" s="2"/>
      <c r="E29" s="2"/>
      <c r="F29" s="19">
        <f t="shared" si="4"/>
        <v>0</v>
      </c>
      <c r="G29" s="2"/>
      <c r="H29" s="2"/>
      <c r="I29" s="2"/>
      <c r="J29" s="19">
        <f t="shared" si="5"/>
        <v>0</v>
      </c>
      <c r="K29" s="2"/>
      <c r="L29" s="2">
        <f t="shared" si="6"/>
        <v>0</v>
      </c>
      <c r="M29" s="2"/>
      <c r="N29" s="19">
        <f t="shared" si="7"/>
        <v>0</v>
      </c>
      <c r="O29" s="11"/>
      <c r="P29" s="2">
        <v>0</v>
      </c>
      <c r="Q29" s="2"/>
      <c r="R29" s="19">
        <f t="shared" si="8"/>
        <v>0</v>
      </c>
      <c r="S29" s="2"/>
      <c r="T29" s="2"/>
      <c r="U29" s="2"/>
      <c r="V29" s="19">
        <f t="shared" si="9"/>
        <v>0</v>
      </c>
      <c r="W29" s="2"/>
      <c r="X29" s="2">
        <f t="shared" si="10"/>
        <v>0</v>
      </c>
      <c r="Y29" s="2"/>
      <c r="Z29" s="19">
        <f t="shared" si="11"/>
        <v>0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3">
      <c r="A31" s="10"/>
      <c r="B31" s="26" t="s">
        <v>108</v>
      </c>
      <c r="C31" s="26"/>
      <c r="D31" s="20">
        <f>D12-D19</f>
        <v>9602.3699999999953</v>
      </c>
      <c r="E31" s="13"/>
      <c r="F31" s="22">
        <f>IF(D$12=0,0,D31/D$12)</f>
        <v>0.10377826070792155</v>
      </c>
      <c r="G31" s="13"/>
      <c r="H31" s="20">
        <f>H12-H19</f>
        <v>12638</v>
      </c>
      <c r="I31" s="13"/>
      <c r="J31" s="22">
        <f>IF(H$12=0,0,H31/H$12)</f>
        <v>0.1050016616816218</v>
      </c>
      <c r="K31" s="15"/>
      <c r="L31" s="20">
        <f>+D31-H31</f>
        <v>-3035.6300000000047</v>
      </c>
      <c r="M31" s="15"/>
      <c r="N31" s="22">
        <f>IF(H31=0,0,L31/H31)</f>
        <v>-0.24019860737458495</v>
      </c>
      <c r="O31" s="25"/>
      <c r="P31" s="20">
        <f>P12-P19</f>
        <v>130447.73999999987</v>
      </c>
      <c r="Q31" s="13"/>
      <c r="R31" s="22">
        <f>IF(P$12=0,0,P31/P$12)</f>
        <v>0.15657972674281731</v>
      </c>
      <c r="S31" s="13"/>
      <c r="T31" s="20">
        <f>T12-T19</f>
        <v>118039</v>
      </c>
      <c r="U31" s="13"/>
      <c r="V31" s="22">
        <f>IF(T$12=0,0,T31/T$12)</f>
        <v>0.10500148999479614</v>
      </c>
      <c r="W31" s="15"/>
      <c r="X31" s="20">
        <f>+P31-T31</f>
        <v>12408.739999999874</v>
      </c>
      <c r="Y31" s="15"/>
      <c r="Z31" s="22">
        <f>IF(T31=0,0,X31/T31)</f>
        <v>0.10512406916358047</v>
      </c>
    </row>
    <row r="32" spans="1:26" x14ac:dyDescent="0.3">
      <c r="A32" s="9"/>
      <c r="B32" s="10"/>
      <c r="C32" s="9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6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x14ac:dyDescent="0.3">
      <c r="A33" s="10"/>
      <c r="B33" s="25" t="s">
        <v>295</v>
      </c>
      <c r="C33" s="10"/>
      <c r="D33" s="21">
        <f>SUM(OSRRefD22x_0)</f>
        <v>12756.37</v>
      </c>
      <c r="E33" s="21"/>
      <c r="F33" s="30">
        <f t="shared" ref="F33:F44" si="12">IF(D$12=0,0,D33/D$12)</f>
        <v>0.13786532819988295</v>
      </c>
      <c r="G33" s="21"/>
      <c r="H33" s="21">
        <f>SUM(OSRRefH22x_0)</f>
        <v>13594.64258487</v>
      </c>
      <c r="I33" s="21"/>
      <c r="J33" s="30">
        <f t="shared" ref="J33:J44" si="13">IF(H$12=0,0,H33/H$12)</f>
        <v>0.11294983869117647</v>
      </c>
      <c r="K33" s="4"/>
      <c r="L33" s="21">
        <f t="shared" ref="L33:L44" si="14">+D33-H33</f>
        <v>-838.27258486999926</v>
      </c>
      <c r="M33" s="4"/>
      <c r="N33" s="30">
        <f t="shared" ref="N33:N44" si="15">IF(H33=0,0,L33/H33)</f>
        <v>-6.1661980418885383E-2</v>
      </c>
      <c r="O33" s="10"/>
      <c r="P33" s="21">
        <f>SUM(OSRRefP22x_0)</f>
        <v>71781.51999999999</v>
      </c>
      <c r="Q33" s="21"/>
      <c r="R33" s="30">
        <f t="shared" ref="R33:R44" si="16">IF(P$12=0,0,P33/P$12)</f>
        <v>8.6161176780709933E-2</v>
      </c>
      <c r="S33" s="21"/>
      <c r="T33" s="21">
        <f>SUM(OSRRefT22x_0)</f>
        <v>80904.498396784998</v>
      </c>
      <c r="U33" s="21"/>
      <c r="V33" s="30">
        <f t="shared" ref="V33:V44" si="17">IF(T$12=0,0,T33/T$12)</f>
        <v>7.1968526325570534E-2</v>
      </c>
      <c r="W33" s="4"/>
      <c r="X33" s="21">
        <f t="shared" ref="X33:X44" si="18">+P33-T33</f>
        <v>-9122.978396785009</v>
      </c>
      <c r="Y33" s="4"/>
      <c r="Z33" s="30">
        <f t="shared" ref="Z33:Z44" si="19">IF(T33=0,0,X33/T33)</f>
        <v>-0.11276231331467645</v>
      </c>
    </row>
    <row r="34" spans="1:26" s="29" customFormat="1" outlineLevel="1" collapsed="1" x14ac:dyDescent="0.3">
      <c r="A34" s="28"/>
      <c r="B34" s="14" t="str">
        <f>CONCATENATE("     ","*Benefits                                         ")</f>
        <v xml:space="preserve">     *Benefits                                         </v>
      </c>
      <c r="C34" s="14"/>
      <c r="D34" s="1">
        <f>SUM(OSRRefD22_0x_0)</f>
        <v>2357.9199999999996</v>
      </c>
      <c r="E34" s="1"/>
      <c r="F34" s="5">
        <f t="shared" si="12"/>
        <v>2.5483379258289619E-2</v>
      </c>
      <c r="G34" s="1"/>
      <c r="H34" s="1">
        <f>SUM(OSRRefH22_0x_0)</f>
        <v>2541.0920348700001</v>
      </c>
      <c r="I34" s="1"/>
      <c r="J34" s="5">
        <f t="shared" si="13"/>
        <v>2.1112429668245267E-2</v>
      </c>
      <c r="K34" s="1"/>
      <c r="L34" s="1">
        <f t="shared" si="14"/>
        <v>-183.17203487000052</v>
      </c>
      <c r="M34" s="1"/>
      <c r="N34" s="5">
        <f t="shared" si="15"/>
        <v>-7.2083982931917465E-2</v>
      </c>
      <c r="O34" s="14"/>
      <c r="P34" s="1">
        <f>SUM(OSRRefP22_0x_0)</f>
        <v>8923.5300000000007</v>
      </c>
      <c r="Q34" s="1"/>
      <c r="R34" s="5">
        <f t="shared" si="16"/>
        <v>1.0711139104298273E-2</v>
      </c>
      <c r="S34" s="1"/>
      <c r="T34" s="1">
        <f>SUM(OSRRefT22_0x_0)</f>
        <v>14577.970371785001</v>
      </c>
      <c r="U34" s="1"/>
      <c r="V34" s="5">
        <f t="shared" si="17"/>
        <v>1.2967820890870113E-2</v>
      </c>
      <c r="W34" s="1"/>
      <c r="X34" s="1">
        <f t="shared" si="18"/>
        <v>-5654.440371785</v>
      </c>
      <c r="Y34" s="1"/>
      <c r="Z34" s="5">
        <f t="shared" si="19"/>
        <v>-0.38787569377482839</v>
      </c>
    </row>
    <row r="35" spans="1:26" s="24" customFormat="1" hidden="1" outlineLevel="2" x14ac:dyDescent="0.3">
      <c r="A35" s="27"/>
      <c r="B35" s="11" t="str">
        <f>CONCATENATE("          ", "6111", " - ", "F.I.C.A.")</f>
        <v xml:space="preserve">          6111 - F.I.C.A.</v>
      </c>
      <c r="C35" s="11"/>
      <c r="D35" s="6">
        <v>475.62</v>
      </c>
      <c r="E35" s="2"/>
      <c r="F35" s="7">
        <f t="shared" si="12"/>
        <v>5.1402951935721778E-3</v>
      </c>
      <c r="G35" s="2"/>
      <c r="H35" s="6">
        <v>457.37151956999998</v>
      </c>
      <c r="I35" s="2"/>
      <c r="J35" s="7">
        <f t="shared" si="13"/>
        <v>3.8000292420239281E-3</v>
      </c>
      <c r="K35" s="2"/>
      <c r="L35" s="6">
        <f t="shared" si="14"/>
        <v>18.248480430000029</v>
      </c>
      <c r="M35" s="2"/>
      <c r="N35" s="7">
        <f t="shared" si="15"/>
        <v>3.9898593701585147E-2</v>
      </c>
      <c r="O35" s="11"/>
      <c r="P35" s="6">
        <v>2809.64</v>
      </c>
      <c r="Q35" s="2"/>
      <c r="R35" s="7">
        <f t="shared" si="16"/>
        <v>3.3724820640487116E-3</v>
      </c>
      <c r="S35" s="2"/>
      <c r="T35" s="6">
        <v>3294.3126376350001</v>
      </c>
      <c r="U35" s="2"/>
      <c r="V35" s="7">
        <f t="shared" si="17"/>
        <v>2.9304529474187507E-3</v>
      </c>
      <c r="W35" s="2"/>
      <c r="X35" s="6">
        <f t="shared" si="18"/>
        <v>-484.67263763500023</v>
      </c>
      <c r="Y35" s="2"/>
      <c r="Z35" s="7">
        <f t="shared" si="19"/>
        <v>-0.14712405619854849</v>
      </c>
    </row>
    <row r="36" spans="1:26" s="24" customFormat="1" hidden="1" outlineLevel="2" x14ac:dyDescent="0.3">
      <c r="A36" s="27"/>
      <c r="B36" s="11" t="str">
        <f>CONCATENATE("          ", "6112", " - ", "COMPENSATION INSURANCE")</f>
        <v xml:space="preserve">          6112 - COMPENSATION INSURANCE</v>
      </c>
      <c r="C36" s="11"/>
      <c r="D36" s="6">
        <v>124.44</v>
      </c>
      <c r="E36" s="2"/>
      <c r="F36" s="7">
        <f t="shared" si="12"/>
        <v>1.3448936837982461E-3</v>
      </c>
      <c r="G36" s="2"/>
      <c r="H36" s="6">
        <v>153.22895639999999</v>
      </c>
      <c r="I36" s="2"/>
      <c r="J36" s="7">
        <f t="shared" si="13"/>
        <v>1.2730887038883349E-3</v>
      </c>
      <c r="K36" s="2"/>
      <c r="L36" s="6">
        <f t="shared" si="14"/>
        <v>-28.788956399999989</v>
      </c>
      <c r="M36" s="2"/>
      <c r="N36" s="7">
        <f t="shared" si="15"/>
        <v>-0.18788195832155385</v>
      </c>
      <c r="O36" s="11"/>
      <c r="P36" s="6">
        <v>734.4</v>
      </c>
      <c r="Q36" s="2"/>
      <c r="R36" s="7">
        <f t="shared" si="16"/>
        <v>8.8151892336291258E-4</v>
      </c>
      <c r="S36" s="2"/>
      <c r="T36" s="6">
        <v>896.3764602</v>
      </c>
      <c r="U36" s="2"/>
      <c r="V36" s="7">
        <f t="shared" si="17"/>
        <v>7.9737090213625225E-4</v>
      </c>
      <c r="W36" s="2"/>
      <c r="X36" s="6">
        <f t="shared" si="18"/>
        <v>-161.97646020000002</v>
      </c>
      <c r="Y36" s="2"/>
      <c r="Z36" s="7">
        <f t="shared" si="19"/>
        <v>-0.18070137647731149</v>
      </c>
    </row>
    <row r="37" spans="1:26" s="24" customFormat="1" hidden="1" outlineLevel="2" x14ac:dyDescent="0.3">
      <c r="A37" s="27"/>
      <c r="B37" s="11" t="str">
        <f>CONCATENATE("          ", "6113", " - ", "GROUP INSURANCE")</f>
        <v xml:space="preserve">          6113 - GROUP INSURANCE</v>
      </c>
      <c r="C37" s="11"/>
      <c r="D37" s="6">
        <v>853.84</v>
      </c>
      <c r="E37" s="2"/>
      <c r="F37" s="7">
        <f t="shared" si="12"/>
        <v>9.2279333250907623E-3</v>
      </c>
      <c r="G37" s="2"/>
      <c r="H37" s="6">
        <v>943.5</v>
      </c>
      <c r="I37" s="2"/>
      <c r="J37" s="7">
        <f t="shared" si="13"/>
        <v>7.8389830508474572E-3</v>
      </c>
      <c r="K37" s="2"/>
      <c r="L37" s="6">
        <f t="shared" si="14"/>
        <v>-89.659999999999968</v>
      </c>
      <c r="M37" s="2"/>
      <c r="N37" s="7">
        <f t="shared" si="15"/>
        <v>-9.5029146793852645E-2</v>
      </c>
      <c r="O37" s="11"/>
      <c r="P37" s="6">
        <v>2896.57</v>
      </c>
      <c r="Q37" s="2"/>
      <c r="R37" s="7">
        <f t="shared" si="16"/>
        <v>3.4768263451052722E-3</v>
      </c>
      <c r="S37" s="2"/>
      <c r="T37" s="6">
        <v>5023.5</v>
      </c>
      <c r="U37" s="2"/>
      <c r="V37" s="7">
        <f t="shared" si="17"/>
        <v>4.4686500647146991E-3</v>
      </c>
      <c r="W37" s="2"/>
      <c r="X37" s="6">
        <f t="shared" si="18"/>
        <v>-2126.9299999999998</v>
      </c>
      <c r="Y37" s="2"/>
      <c r="Z37" s="7">
        <f t="shared" si="19"/>
        <v>-0.42339603861849306</v>
      </c>
    </row>
    <row r="38" spans="1:26" s="24" customFormat="1" hidden="1" outlineLevel="2" x14ac:dyDescent="0.3">
      <c r="A38" s="27"/>
      <c r="B38" s="11" t="str">
        <f>CONCATENATE("          ", "6114", " - ", "STATE UNEMPLOYMENT INSURANCE")</f>
        <v xml:space="preserve">          6114 - STATE UNEMPLOYMENT INSURANCE</v>
      </c>
      <c r="C38" s="11"/>
      <c r="D38" s="6">
        <v>21.86</v>
      </c>
      <c r="E38" s="2"/>
      <c r="F38" s="7">
        <f t="shared" si="12"/>
        <v>2.3625342275658678E-4</v>
      </c>
      <c r="G38" s="2"/>
      <c r="H38" s="6">
        <v>20.6269749</v>
      </c>
      <c r="I38" s="2"/>
      <c r="J38" s="7">
        <f t="shared" si="13"/>
        <v>1.7137732552342973E-4</v>
      </c>
      <c r="K38" s="2"/>
      <c r="L38" s="6">
        <f t="shared" si="14"/>
        <v>1.233025099999999</v>
      </c>
      <c r="M38" s="2"/>
      <c r="N38" s="7">
        <f t="shared" si="15"/>
        <v>5.9777311310928047E-2</v>
      </c>
      <c r="O38" s="11"/>
      <c r="P38" s="6">
        <v>129.02000000000001</v>
      </c>
      <c r="Q38" s="2"/>
      <c r="R38" s="7">
        <f t="shared" si="16"/>
        <v>1.5486597425419798E-4</v>
      </c>
      <c r="S38" s="2"/>
      <c r="T38" s="6">
        <v>120.66606195</v>
      </c>
      <c r="U38" s="2"/>
      <c r="V38" s="7">
        <f t="shared" si="17"/>
        <v>1.073383906721878E-4</v>
      </c>
      <c r="W38" s="2"/>
      <c r="X38" s="6">
        <f t="shared" si="18"/>
        <v>8.3539380500000107</v>
      </c>
      <c r="Y38" s="2"/>
      <c r="Z38" s="7">
        <f t="shared" si="19"/>
        <v>6.9231877754174193E-2</v>
      </c>
    </row>
    <row r="39" spans="1:26" s="24" customFormat="1" hidden="1" outlineLevel="2" x14ac:dyDescent="0.3">
      <c r="A39" s="27"/>
      <c r="B39" s="11" t="str">
        <f>CONCATENATE("          ", "6115", " - ", "P.E.R.S.")</f>
        <v xml:space="preserve">          6115 - P.E.R.S.</v>
      </c>
      <c r="C39" s="11"/>
      <c r="D39" s="6">
        <v>103.22</v>
      </c>
      <c r="E39" s="2"/>
      <c r="F39" s="7">
        <f t="shared" si="12"/>
        <v>1.1155571041598759E-3</v>
      </c>
      <c r="G39" s="2"/>
      <c r="H39" s="6">
        <v>202.166134</v>
      </c>
      <c r="I39" s="2"/>
      <c r="J39" s="7">
        <f t="shared" si="13"/>
        <v>1.6796787470920573E-3</v>
      </c>
      <c r="K39" s="2"/>
      <c r="L39" s="6">
        <f t="shared" si="14"/>
        <v>-98.946134000000001</v>
      </c>
      <c r="M39" s="2"/>
      <c r="N39" s="7">
        <f t="shared" si="15"/>
        <v>-0.48942981716215633</v>
      </c>
      <c r="O39" s="11"/>
      <c r="P39" s="6">
        <v>584.5</v>
      </c>
      <c r="Q39" s="2"/>
      <c r="R39" s="7">
        <f t="shared" si="16"/>
        <v>7.0159015618957298E-4</v>
      </c>
      <c r="S39" s="2"/>
      <c r="T39" s="6">
        <v>1111.9137370000001</v>
      </c>
      <c r="U39" s="2"/>
      <c r="V39" s="7">
        <f t="shared" si="17"/>
        <v>9.8910189963217154E-4</v>
      </c>
      <c r="W39" s="2"/>
      <c r="X39" s="6">
        <f t="shared" si="18"/>
        <v>-527.41373700000008</v>
      </c>
      <c r="Y39" s="2"/>
      <c r="Z39" s="7">
        <f t="shared" si="19"/>
        <v>-0.47432972491462261</v>
      </c>
    </row>
    <row r="40" spans="1:26" s="24" customFormat="1" hidden="1" outlineLevel="2" x14ac:dyDescent="0.3">
      <c r="A40" s="27"/>
      <c r="B40" s="11" t="str">
        <f>CONCATENATE("          ", "6116", " - ", "EDUCATIONAL BENEFITS")</f>
        <v xml:space="preserve">          6116 - EDUCATIONAL BENEFITS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4" customFormat="1" hidden="1" outlineLevel="2" x14ac:dyDescent="0.3">
      <c r="A41" s="27"/>
      <c r="B41" s="11" t="str">
        <f>CONCATENATE("          ", "6117", " - ", "RETIREMENT STAFF HOURLY")</f>
        <v xml:space="preserve">          6117 - RETIREMENT STAFF HOURLY</v>
      </c>
      <c r="C41" s="11"/>
      <c r="D41" s="6">
        <v>120</v>
      </c>
      <c r="E41" s="2"/>
      <c r="F41" s="7">
        <f t="shared" si="12"/>
        <v>1.2969080846656183E-3</v>
      </c>
      <c r="G41" s="2"/>
      <c r="H41" s="6"/>
      <c r="I41" s="2"/>
      <c r="J41" s="7">
        <f t="shared" si="13"/>
        <v>0</v>
      </c>
      <c r="K41" s="2"/>
      <c r="L41" s="6">
        <f t="shared" si="14"/>
        <v>120</v>
      </c>
      <c r="M41" s="2"/>
      <c r="N41" s="7">
        <f t="shared" si="15"/>
        <v>0</v>
      </c>
      <c r="O41" s="11"/>
      <c r="P41" s="6">
        <v>-537.34</v>
      </c>
      <c r="Q41" s="2"/>
      <c r="R41" s="7">
        <f t="shared" si="16"/>
        <v>-6.4498281356185666E-4</v>
      </c>
      <c r="S41" s="2"/>
      <c r="T41" s="6"/>
      <c r="U41" s="2"/>
      <c r="V41" s="7">
        <f t="shared" si="17"/>
        <v>0</v>
      </c>
      <c r="W41" s="2"/>
      <c r="X41" s="6">
        <f t="shared" si="18"/>
        <v>-537.34</v>
      </c>
      <c r="Y41" s="2"/>
      <c r="Z41" s="7">
        <f t="shared" si="19"/>
        <v>0</v>
      </c>
    </row>
    <row r="42" spans="1:26" s="24" customFormat="1" hidden="1" outlineLevel="2" x14ac:dyDescent="0.3">
      <c r="A42" s="27"/>
      <c r="B42" s="11" t="str">
        <f>CONCATENATE("          ", "6118", " - ", "VACATION")</f>
        <v xml:space="preserve">          6118 - VACATION</v>
      </c>
      <c r="C42" s="11"/>
      <c r="D42" s="6">
        <v>222.3</v>
      </c>
      <c r="E42" s="2"/>
      <c r="F42" s="7">
        <f t="shared" si="12"/>
        <v>2.402522226843058E-3</v>
      </c>
      <c r="G42" s="2"/>
      <c r="H42" s="6">
        <v>179.29106999999999</v>
      </c>
      <c r="I42" s="2"/>
      <c r="J42" s="7">
        <f t="shared" si="13"/>
        <v>1.4896233798604188E-3</v>
      </c>
      <c r="K42" s="2"/>
      <c r="L42" s="6">
        <f t="shared" si="14"/>
        <v>43.008930000000021</v>
      </c>
      <c r="M42" s="2"/>
      <c r="N42" s="7">
        <f t="shared" si="15"/>
        <v>0.23988328029945954</v>
      </c>
      <c r="O42" s="11"/>
      <c r="P42" s="6">
        <v>787.9</v>
      </c>
      <c r="Q42" s="2"/>
      <c r="R42" s="7">
        <f t="shared" si="16"/>
        <v>9.4573632859155617E-4</v>
      </c>
      <c r="S42" s="2"/>
      <c r="T42" s="6">
        <v>986.10088499999995</v>
      </c>
      <c r="U42" s="2"/>
      <c r="V42" s="7">
        <f t="shared" si="17"/>
        <v>8.7718518633830443E-4</v>
      </c>
      <c r="W42" s="2"/>
      <c r="X42" s="6">
        <f t="shared" si="18"/>
        <v>-198.20088499999997</v>
      </c>
      <c r="Y42" s="2"/>
      <c r="Z42" s="7">
        <f t="shared" si="19"/>
        <v>-0.20099453110215998</v>
      </c>
    </row>
    <row r="43" spans="1:26" s="24" customFormat="1" hidden="1" outlineLevel="2" x14ac:dyDescent="0.3">
      <c r="A43" s="27"/>
      <c r="B43" s="11" t="str">
        <f>CONCATENATE("          ", "6119", " - ", "SICK LEAVE")</f>
        <v xml:space="preserve">          6119 - SICK LEAVE</v>
      </c>
      <c r="C43" s="11"/>
      <c r="D43" s="6">
        <v>216.23</v>
      </c>
      <c r="E43" s="2"/>
      <c r="F43" s="7">
        <f t="shared" si="12"/>
        <v>2.336920292893722E-3</v>
      </c>
      <c r="G43" s="2"/>
      <c r="H43" s="6">
        <v>234.90737999999999</v>
      </c>
      <c r="I43" s="2"/>
      <c r="J43" s="7">
        <f t="shared" si="13"/>
        <v>1.9517063808574277E-3</v>
      </c>
      <c r="K43" s="2"/>
      <c r="L43" s="6">
        <f t="shared" si="14"/>
        <v>-18.677379999999999</v>
      </c>
      <c r="M43" s="2"/>
      <c r="N43" s="7">
        <f t="shared" si="15"/>
        <v>-7.9509549678686134E-2</v>
      </c>
      <c r="O43" s="11"/>
      <c r="P43" s="6">
        <v>830.68</v>
      </c>
      <c r="Q43" s="2"/>
      <c r="R43" s="7">
        <f t="shared" si="16"/>
        <v>9.9708624626784347E-4</v>
      </c>
      <c r="S43" s="2"/>
      <c r="T43" s="6">
        <v>1395.10059</v>
      </c>
      <c r="U43" s="2"/>
      <c r="V43" s="7">
        <f t="shared" si="17"/>
        <v>1.2410105189184862E-3</v>
      </c>
      <c r="W43" s="2"/>
      <c r="X43" s="6">
        <f t="shared" si="18"/>
        <v>-564.42059000000006</v>
      </c>
      <c r="Y43" s="2"/>
      <c r="Z43" s="7">
        <f t="shared" si="19"/>
        <v>-0.40457340068933673</v>
      </c>
    </row>
    <row r="44" spans="1:26" s="24" customFormat="1" hidden="1" outlineLevel="2" x14ac:dyDescent="0.3">
      <c r="A44" s="27"/>
      <c r="B44" s="11" t="str">
        <f>CONCATENATE("          ", "6156", " - ", "EMPLOYEE MEALS")</f>
        <v xml:space="preserve">          6156 - EMPLOYEE MEALS</v>
      </c>
      <c r="C44" s="11"/>
      <c r="D44" s="6">
        <v>220.41</v>
      </c>
      <c r="E44" s="2"/>
      <c r="F44" s="7">
        <f t="shared" si="12"/>
        <v>2.3820959245095742E-3</v>
      </c>
      <c r="G44" s="2"/>
      <c r="H44" s="6">
        <v>350</v>
      </c>
      <c r="I44" s="2"/>
      <c r="J44" s="7">
        <f t="shared" si="13"/>
        <v>2.9079428381522101E-3</v>
      </c>
      <c r="K44" s="2"/>
      <c r="L44" s="6">
        <f t="shared" si="14"/>
        <v>-129.59</v>
      </c>
      <c r="M44" s="2"/>
      <c r="N44" s="7">
        <f t="shared" si="15"/>
        <v>-0.37025714285714284</v>
      </c>
      <c r="O44" s="11"/>
      <c r="P44" s="6">
        <v>688.16</v>
      </c>
      <c r="Q44" s="2"/>
      <c r="R44" s="7">
        <f t="shared" si="16"/>
        <v>8.2601588004006256E-4</v>
      </c>
      <c r="S44" s="2"/>
      <c r="T44" s="6">
        <v>1750</v>
      </c>
      <c r="U44" s="2"/>
      <c r="V44" s="7">
        <f t="shared" si="17"/>
        <v>1.5567109810392602E-3</v>
      </c>
      <c r="W44" s="2"/>
      <c r="X44" s="6">
        <f t="shared" si="18"/>
        <v>-1061.8400000000001</v>
      </c>
      <c r="Y44" s="2"/>
      <c r="Z44" s="7">
        <f t="shared" si="19"/>
        <v>-0.60676571428571435</v>
      </c>
    </row>
    <row r="45" spans="1:26" s="29" customFormat="1" outlineLevel="1" collapsed="1" x14ac:dyDescent="0.3">
      <c r="A45" s="28"/>
      <c r="B45" s="14" t="str">
        <f>CONCATENATE("     ","*Payroll                                          ")</f>
        <v xml:space="preserve">     *Payroll                                          </v>
      </c>
      <c r="C45" s="14"/>
      <c r="D45" s="1">
        <f>SUM(OSRRefD22_1x_0)</f>
        <v>9218.130000000001</v>
      </c>
      <c r="E45" s="1"/>
      <c r="F45" s="5">
        <f t="shared" ref="F45:F55" si="20">IF(D$12=0,0,D45/D$12)</f>
        <v>9.9625561020822304E-2</v>
      </c>
      <c r="G45" s="1"/>
      <c r="H45" s="1">
        <f>SUM(OSRRefH22_1x_0)</f>
        <v>9523.5505499999999</v>
      </c>
      <c r="I45" s="1"/>
      <c r="J45" s="5">
        <f t="shared" ref="J45:J55" si="21">IF(H$12=0,0,H45/H$12)</f>
        <v>7.9125544616151539E-2</v>
      </c>
      <c r="K45" s="1"/>
      <c r="L45" s="1">
        <f t="shared" ref="L45:L55" si="22">+D45-H45</f>
        <v>-305.42054999999891</v>
      </c>
      <c r="M45" s="1"/>
      <c r="N45" s="5">
        <f t="shared" ref="N45:N55" si="23">IF(H45=0,0,L45/H45)</f>
        <v>-3.2070029806267886E-2</v>
      </c>
      <c r="O45" s="14"/>
      <c r="P45" s="1">
        <f>SUM(OSRRefP22_1x_0)</f>
        <v>51584.020000000004</v>
      </c>
      <c r="Q45" s="1"/>
      <c r="R45" s="5">
        <f t="shared" ref="R45:R55" si="24">IF(P$12=0,0,P45/P$12)</f>
        <v>6.1917605900232785E-2</v>
      </c>
      <c r="S45" s="1"/>
      <c r="T45" s="1">
        <f>SUM(OSRRefT22_1x_0)</f>
        <v>55816.528025</v>
      </c>
      <c r="U45" s="1"/>
      <c r="V45" s="5">
        <f t="shared" ref="V45:V55" si="25">IF(T$12=0,0,T45/T$12)</f>
        <v>4.9651544057144635E-2</v>
      </c>
      <c r="W45" s="1"/>
      <c r="X45" s="1">
        <f t="shared" ref="X45:X55" si="26">+P45-T45</f>
        <v>-4232.5080249999955</v>
      </c>
      <c r="Y45" s="1"/>
      <c r="Z45" s="5">
        <f t="shared" ref="Z45:Z55" si="27">IF(T45=0,0,X45/T45)</f>
        <v>-7.5828937677819591E-2</v>
      </c>
    </row>
    <row r="46" spans="1:26" s="24" customFormat="1" hidden="1" outlineLevel="2" x14ac:dyDescent="0.3">
      <c r="A46" s="27"/>
      <c r="B46" s="11" t="str">
        <f>CONCATENATE("          ", "6001", " - ", "ADMINISTRATIVE SALARIES")</f>
        <v xml:space="preserve">          6001 - ADMINISTRATIVE SALARIES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3">
      <c r="A47" s="27"/>
      <c r="B47" s="11" t="str">
        <f>CONCATENATE("          ", "6002", " - ", "STAFF SALARIES")</f>
        <v xml:space="preserve">          6002 - STAFF SALARIES</v>
      </c>
      <c r="C47" s="11"/>
      <c r="D47" s="6">
        <v>1156</v>
      </c>
      <c r="E47" s="2"/>
      <c r="F47" s="7">
        <f t="shared" si="20"/>
        <v>1.2493547882278789E-2</v>
      </c>
      <c r="G47" s="2"/>
      <c r="H47" s="6">
        <v>2233.2305500000002</v>
      </c>
      <c r="I47" s="2"/>
      <c r="J47" s="7">
        <f t="shared" si="21"/>
        <v>1.8554590810900634E-2</v>
      </c>
      <c r="K47" s="2"/>
      <c r="L47" s="6">
        <f t="shared" si="22"/>
        <v>-1077.2305500000002</v>
      </c>
      <c r="M47" s="2"/>
      <c r="N47" s="7">
        <f t="shared" si="23"/>
        <v>-0.48236423686752811</v>
      </c>
      <c r="O47" s="11"/>
      <c r="P47" s="6">
        <v>10192.94</v>
      </c>
      <c r="Q47" s="2"/>
      <c r="R47" s="7">
        <f t="shared" si="24"/>
        <v>1.2234844083200936E-2</v>
      </c>
      <c r="S47" s="2"/>
      <c r="T47" s="6">
        <v>12282.768024999999</v>
      </c>
      <c r="U47" s="2"/>
      <c r="V47" s="7">
        <f t="shared" si="25"/>
        <v>1.0926125635471661E-2</v>
      </c>
      <c r="W47" s="2"/>
      <c r="X47" s="6">
        <f t="shared" si="26"/>
        <v>-2089.8280249999989</v>
      </c>
      <c r="Y47" s="2"/>
      <c r="Z47" s="7">
        <f t="shared" si="27"/>
        <v>-0.17014308344392909</v>
      </c>
    </row>
    <row r="48" spans="1:26" s="24" customFormat="1" hidden="1" outlineLevel="2" x14ac:dyDescent="0.3">
      <c r="A48" s="27"/>
      <c r="B48" s="11" t="str">
        <f>CONCATENATE("          ", "6003", " - ", "STAFF HOURLY-9 MONTH")</f>
        <v xml:space="preserve">          6003 - STAFF HOURLY-9 MONTH</v>
      </c>
      <c r="C48" s="11"/>
      <c r="D48" s="6"/>
      <c r="E48" s="2"/>
      <c r="F48" s="7">
        <f t="shared" si="20"/>
        <v>0</v>
      </c>
      <c r="G48" s="2"/>
      <c r="H48" s="6">
        <v>0</v>
      </c>
      <c r="I48" s="2"/>
      <c r="J48" s="7">
        <f t="shared" si="21"/>
        <v>0</v>
      </c>
      <c r="K48" s="2"/>
      <c r="L48" s="6">
        <f t="shared" si="22"/>
        <v>0</v>
      </c>
      <c r="M48" s="2"/>
      <c r="N48" s="7">
        <f t="shared" si="23"/>
        <v>0</v>
      </c>
      <c r="O48" s="11"/>
      <c r="P48" s="6"/>
      <c r="Q48" s="2"/>
      <c r="R48" s="7">
        <f t="shared" si="24"/>
        <v>0</v>
      </c>
      <c r="S48" s="2"/>
      <c r="T48" s="6">
        <v>0</v>
      </c>
      <c r="U48" s="2"/>
      <c r="V48" s="7">
        <f t="shared" si="25"/>
        <v>0</v>
      </c>
      <c r="W48" s="2"/>
      <c r="X48" s="6">
        <f t="shared" si="26"/>
        <v>0</v>
      </c>
      <c r="Y48" s="2"/>
      <c r="Z48" s="7">
        <f t="shared" si="27"/>
        <v>0</v>
      </c>
    </row>
    <row r="49" spans="1:26" s="24" customFormat="1" hidden="1" outlineLevel="2" x14ac:dyDescent="0.3">
      <c r="A49" s="27"/>
      <c r="B49" s="11" t="str">
        <f>CONCATENATE("          ", "6004", " - ", "STAFF HOURLY")</f>
        <v xml:space="preserve">          6004 - STAFF HOURLY</v>
      </c>
      <c r="C49" s="11"/>
      <c r="D49" s="6">
        <v>3988.37</v>
      </c>
      <c r="E49" s="2"/>
      <c r="F49" s="7">
        <f t="shared" si="20"/>
        <v>4.3104577480315098E-2</v>
      </c>
      <c r="G49" s="2"/>
      <c r="H49" s="6">
        <v>3444.32</v>
      </c>
      <c r="I49" s="2"/>
      <c r="J49" s="7">
        <f t="shared" si="21"/>
        <v>2.8616816218012629E-2</v>
      </c>
      <c r="K49" s="2"/>
      <c r="L49" s="6">
        <f t="shared" si="22"/>
        <v>544.04999999999973</v>
      </c>
      <c r="M49" s="2"/>
      <c r="N49" s="7">
        <f t="shared" si="23"/>
        <v>0.15795570678682577</v>
      </c>
      <c r="O49" s="11"/>
      <c r="P49" s="6">
        <v>14750.48</v>
      </c>
      <c r="Q49" s="2"/>
      <c r="R49" s="7">
        <f t="shared" si="24"/>
        <v>1.7705374793962655E-2</v>
      </c>
      <c r="S49" s="2"/>
      <c r="T49" s="6">
        <v>18943.759999999998</v>
      </c>
      <c r="U49" s="2"/>
      <c r="V49" s="7">
        <f t="shared" si="25"/>
        <v>1.6851405265241311E-2</v>
      </c>
      <c r="W49" s="2"/>
      <c r="X49" s="6">
        <f t="shared" si="26"/>
        <v>-4193.2799999999988</v>
      </c>
      <c r="Y49" s="2"/>
      <c r="Z49" s="7">
        <f t="shared" si="27"/>
        <v>-0.22135415566920186</v>
      </c>
    </row>
    <row r="50" spans="1:26" s="24" customFormat="1" hidden="1" outlineLevel="2" x14ac:dyDescent="0.3">
      <c r="A50" s="27"/>
      <c r="B50" s="11" t="str">
        <f>CONCATENATE("          ", "6005", " - ", "TEMPORARY WAGES-HOURLY")</f>
        <v xml:space="preserve">          6005 - TEMPORARY WAGES-HOURLY</v>
      </c>
      <c r="C50" s="11"/>
      <c r="D50" s="6">
        <v>1088.5899999999999</v>
      </c>
      <c r="E50" s="2"/>
      <c r="F50" s="7">
        <f t="shared" si="20"/>
        <v>1.1765009765717878E-2</v>
      </c>
      <c r="G50" s="2"/>
      <c r="H50" s="6">
        <v>0</v>
      </c>
      <c r="I50" s="2"/>
      <c r="J50" s="7">
        <f t="shared" si="21"/>
        <v>0</v>
      </c>
      <c r="K50" s="2"/>
      <c r="L50" s="6">
        <f t="shared" si="22"/>
        <v>1088.5899999999999</v>
      </c>
      <c r="M50" s="2"/>
      <c r="N50" s="7">
        <f t="shared" si="23"/>
        <v>0</v>
      </c>
      <c r="O50" s="11"/>
      <c r="P50" s="6">
        <v>5007.47</v>
      </c>
      <c r="Q50" s="2"/>
      <c r="R50" s="7">
        <f t="shared" si="24"/>
        <v>6.0105930871079578E-3</v>
      </c>
      <c r="S50" s="2"/>
      <c r="T50" s="6">
        <v>0</v>
      </c>
      <c r="U50" s="2"/>
      <c r="V50" s="7">
        <f t="shared" si="25"/>
        <v>0</v>
      </c>
      <c r="W50" s="2"/>
      <c r="X50" s="6">
        <f t="shared" si="26"/>
        <v>5007.47</v>
      </c>
      <c r="Y50" s="2"/>
      <c r="Z50" s="7">
        <f t="shared" si="27"/>
        <v>0</v>
      </c>
    </row>
    <row r="51" spans="1:26" s="24" customFormat="1" hidden="1" outlineLevel="2" x14ac:dyDescent="0.3">
      <c r="A51" s="27"/>
      <c r="B51" s="11" t="str">
        <f>CONCATENATE("          ", "6006", " - ", "TEMPORARY PART TIME")</f>
        <v xml:space="preserve">          6006 - TEMPORARY PART TIME</v>
      </c>
      <c r="C51" s="11"/>
      <c r="D51" s="6"/>
      <c r="E51" s="2"/>
      <c r="F51" s="7">
        <f t="shared" si="20"/>
        <v>0</v>
      </c>
      <c r="G51" s="2"/>
      <c r="H51" s="6">
        <v>0</v>
      </c>
      <c r="I51" s="2"/>
      <c r="J51" s="7">
        <f t="shared" si="21"/>
        <v>0</v>
      </c>
      <c r="K51" s="2"/>
      <c r="L51" s="6">
        <f t="shared" si="22"/>
        <v>0</v>
      </c>
      <c r="M51" s="2"/>
      <c r="N51" s="7">
        <f t="shared" si="23"/>
        <v>0</v>
      </c>
      <c r="O51" s="11"/>
      <c r="P51" s="6"/>
      <c r="Q51" s="2"/>
      <c r="R51" s="7">
        <f t="shared" si="24"/>
        <v>0</v>
      </c>
      <c r="S51" s="2"/>
      <c r="T51" s="6">
        <v>0</v>
      </c>
      <c r="U51" s="2"/>
      <c r="V51" s="7">
        <f t="shared" si="25"/>
        <v>0</v>
      </c>
      <c r="W51" s="2"/>
      <c r="X51" s="6">
        <f t="shared" si="26"/>
        <v>0</v>
      </c>
      <c r="Y51" s="2"/>
      <c r="Z51" s="7">
        <f t="shared" si="27"/>
        <v>0</v>
      </c>
    </row>
    <row r="52" spans="1:26" s="24" customFormat="1" hidden="1" outlineLevel="2" x14ac:dyDescent="0.3">
      <c r="A52" s="27"/>
      <c r="B52" s="11" t="str">
        <f>CONCATENATE("          ", "6007", " - ", "STUDENT HOURLY")</f>
        <v xml:space="preserve">          6007 - STUDENT HOURLY</v>
      </c>
      <c r="C52" s="11"/>
      <c r="D52" s="6">
        <v>1970.89</v>
      </c>
      <c r="E52" s="2"/>
      <c r="F52" s="7">
        <f t="shared" si="20"/>
        <v>2.1300526458221839E-2</v>
      </c>
      <c r="G52" s="2"/>
      <c r="H52" s="6">
        <v>0</v>
      </c>
      <c r="I52" s="2"/>
      <c r="J52" s="7">
        <f t="shared" si="21"/>
        <v>0</v>
      </c>
      <c r="K52" s="2"/>
      <c r="L52" s="6">
        <f t="shared" si="22"/>
        <v>1970.89</v>
      </c>
      <c r="M52" s="2"/>
      <c r="N52" s="7">
        <f t="shared" si="23"/>
        <v>0</v>
      </c>
      <c r="O52" s="11"/>
      <c r="P52" s="6">
        <v>16601.150000000001</v>
      </c>
      <c r="Q52" s="2"/>
      <c r="R52" s="7">
        <f t="shared" si="24"/>
        <v>1.9926780874981235E-2</v>
      </c>
      <c r="S52" s="2"/>
      <c r="T52" s="6">
        <v>10176</v>
      </c>
      <c r="U52" s="2"/>
      <c r="V52" s="7">
        <f t="shared" si="25"/>
        <v>9.0520519674602926E-3</v>
      </c>
      <c r="W52" s="2"/>
      <c r="X52" s="6">
        <f t="shared" si="26"/>
        <v>6425.1500000000015</v>
      </c>
      <c r="Y52" s="2"/>
      <c r="Z52" s="7">
        <f t="shared" si="27"/>
        <v>0.63140231918239009</v>
      </c>
    </row>
    <row r="53" spans="1:26" s="24" customFormat="1" hidden="1" outlineLevel="2" x14ac:dyDescent="0.3">
      <c r="A53" s="27"/>
      <c r="B53" s="11" t="str">
        <f>CONCATENATE("          ", "6008", " - ", "STUDENT HOURLY-FICA EXEMPT")</f>
        <v xml:space="preserve">          6008 - STUDENT HOURLY-FICA EXEMPT</v>
      </c>
      <c r="C53" s="11"/>
      <c r="D53" s="6">
        <v>1014.28</v>
      </c>
      <c r="E53" s="2"/>
      <c r="F53" s="7">
        <f t="shared" si="20"/>
        <v>1.0961899434288694E-2</v>
      </c>
      <c r="G53" s="2"/>
      <c r="H53" s="6">
        <v>3846</v>
      </c>
      <c r="I53" s="2"/>
      <c r="J53" s="7">
        <f t="shared" si="21"/>
        <v>3.1954137587238286E-2</v>
      </c>
      <c r="K53" s="2"/>
      <c r="L53" s="6">
        <f t="shared" si="22"/>
        <v>-2831.7200000000003</v>
      </c>
      <c r="M53" s="2"/>
      <c r="N53" s="7">
        <f t="shared" si="23"/>
        <v>-0.73627665106604268</v>
      </c>
      <c r="O53" s="11"/>
      <c r="P53" s="6">
        <v>5031.9799999999996</v>
      </c>
      <c r="Q53" s="2"/>
      <c r="R53" s="7">
        <f t="shared" si="24"/>
        <v>6.0400130609799957E-3</v>
      </c>
      <c r="S53" s="2"/>
      <c r="T53" s="6">
        <v>14414</v>
      </c>
      <c r="U53" s="2"/>
      <c r="V53" s="7">
        <f t="shared" si="25"/>
        <v>1.282196118897137E-2</v>
      </c>
      <c r="W53" s="2"/>
      <c r="X53" s="6">
        <f t="shared" si="26"/>
        <v>-9382.02</v>
      </c>
      <c r="Y53" s="2"/>
      <c r="Z53" s="7">
        <f t="shared" si="27"/>
        <v>-0.65089635077008468</v>
      </c>
    </row>
    <row r="54" spans="1:26" s="24" customFormat="1" hidden="1" outlineLevel="2" x14ac:dyDescent="0.3">
      <c r="A54" s="27"/>
      <c r="B54" s="11" t="str">
        <f>CONCATENATE("          ", "6009", " - ", "TEMPORARY-SEASONAL")</f>
        <v xml:space="preserve">          6009 - TEMPORARY-SEASONAL</v>
      </c>
      <c r="C54" s="11"/>
      <c r="D54" s="6"/>
      <c r="E54" s="2"/>
      <c r="F54" s="7">
        <f t="shared" si="20"/>
        <v>0</v>
      </c>
      <c r="G54" s="2"/>
      <c r="H54" s="6">
        <v>0</v>
      </c>
      <c r="I54" s="2"/>
      <c r="J54" s="7">
        <f t="shared" si="21"/>
        <v>0</v>
      </c>
      <c r="K54" s="2"/>
      <c r="L54" s="6">
        <f t="shared" si="22"/>
        <v>0</v>
      </c>
      <c r="M54" s="2"/>
      <c r="N54" s="7">
        <f t="shared" si="23"/>
        <v>0</v>
      </c>
      <c r="O54" s="11"/>
      <c r="P54" s="6"/>
      <c r="Q54" s="2"/>
      <c r="R54" s="7">
        <f t="shared" si="24"/>
        <v>0</v>
      </c>
      <c r="S54" s="2"/>
      <c r="T54" s="6">
        <v>0</v>
      </c>
      <c r="U54" s="2"/>
      <c r="V54" s="7">
        <f t="shared" si="25"/>
        <v>0</v>
      </c>
      <c r="W54" s="2"/>
      <c r="X54" s="6">
        <f t="shared" si="26"/>
        <v>0</v>
      </c>
      <c r="Y54" s="2"/>
      <c r="Z54" s="7">
        <f t="shared" si="27"/>
        <v>0</v>
      </c>
    </row>
    <row r="55" spans="1:26" s="24" customFormat="1" hidden="1" outlineLevel="2" x14ac:dyDescent="0.3">
      <c r="A55" s="27"/>
      <c r="B55" s="11" t="str">
        <f>CONCATENATE("          ", "6010", " - ", "GRATUITY")</f>
        <v xml:space="preserve">          6010 - GRATUITY</v>
      </c>
      <c r="C55" s="11"/>
      <c r="D55" s="6"/>
      <c r="E55" s="2"/>
      <c r="F55" s="7">
        <f t="shared" si="20"/>
        <v>0</v>
      </c>
      <c r="G55" s="2"/>
      <c r="H55" s="6">
        <v>0</v>
      </c>
      <c r="I55" s="2"/>
      <c r="J55" s="7">
        <f t="shared" si="21"/>
        <v>0</v>
      </c>
      <c r="K55" s="2"/>
      <c r="L55" s="6">
        <f t="shared" si="22"/>
        <v>0</v>
      </c>
      <c r="M55" s="2"/>
      <c r="N55" s="7">
        <f t="shared" si="23"/>
        <v>0</v>
      </c>
      <c r="O55" s="11"/>
      <c r="P55" s="6"/>
      <c r="Q55" s="2"/>
      <c r="R55" s="7">
        <f t="shared" si="24"/>
        <v>0</v>
      </c>
      <c r="S55" s="2"/>
      <c r="T55" s="6">
        <v>0</v>
      </c>
      <c r="U55" s="2"/>
      <c r="V55" s="7">
        <f t="shared" si="25"/>
        <v>0</v>
      </c>
      <c r="W55" s="2"/>
      <c r="X55" s="6">
        <f t="shared" si="26"/>
        <v>0</v>
      </c>
      <c r="Y55" s="2"/>
      <c r="Z55" s="7">
        <f t="shared" si="27"/>
        <v>0</v>
      </c>
    </row>
    <row r="56" spans="1:26" s="29" customFormat="1" outlineLevel="1" collapsed="1" x14ac:dyDescent="0.3">
      <c r="A56" s="28"/>
      <c r="B56" s="14" t="str">
        <f>CONCATENATE("     ","Advertising/Promo                                 ")</f>
        <v xml:space="preserve">     Advertising/Promo                                 </v>
      </c>
      <c r="C56" s="14"/>
      <c r="D56" s="1">
        <f>SUM(OSRRefD22_2x_0)</f>
        <v>6.62</v>
      </c>
      <c r="E56" s="1"/>
      <c r="F56" s="5">
        <f t="shared" ref="F56:F70" si="28">IF(D$12=0,0,D56/D$12)</f>
        <v>7.1546096004053281E-5</v>
      </c>
      <c r="G56" s="1"/>
      <c r="H56" s="1">
        <f>SUM(OSRRefH22_2x_0)</f>
        <v>200</v>
      </c>
      <c r="I56" s="1"/>
      <c r="J56" s="5">
        <f t="shared" ref="J56:J70" si="29">IF(H$12=0,0,H56/H$12)</f>
        <v>1.661681621801263E-3</v>
      </c>
      <c r="K56" s="1"/>
      <c r="L56" s="1">
        <f t="shared" ref="L56:L70" si="30">+D56-H56</f>
        <v>-193.38</v>
      </c>
      <c r="M56" s="1"/>
      <c r="N56" s="5">
        <f t="shared" ref="N56:N70" si="31">IF(H56=0,0,L56/H56)</f>
        <v>-0.96689999999999998</v>
      </c>
      <c r="O56" s="14"/>
      <c r="P56" s="1">
        <f>SUM(OSRRefP22_2x_0)</f>
        <v>118.13</v>
      </c>
      <c r="Q56" s="1"/>
      <c r="R56" s="5">
        <f t="shared" ref="R56:R70" si="32">IF(P$12=0,0,P56/P$12)</f>
        <v>1.4179443139550771E-4</v>
      </c>
      <c r="S56" s="1"/>
      <c r="T56" s="1">
        <f>SUM(OSRRefT22_2x_0)</f>
        <v>1000</v>
      </c>
      <c r="U56" s="1"/>
      <c r="V56" s="5">
        <f t="shared" ref="V56:V70" si="33">IF(T$12=0,0,T56/T$12)</f>
        <v>8.8954913202243444E-4</v>
      </c>
      <c r="W56" s="1"/>
      <c r="X56" s="1">
        <f t="shared" ref="X56:X70" si="34">+P56-T56</f>
        <v>-881.87</v>
      </c>
      <c r="Y56" s="1"/>
      <c r="Z56" s="5">
        <f t="shared" ref="Z56:Z70" si="35">IF(T56=0,0,X56/T56)</f>
        <v>-0.88187000000000004</v>
      </c>
    </row>
    <row r="57" spans="1:26" s="24" customFormat="1" hidden="1" outlineLevel="2" x14ac:dyDescent="0.3">
      <c r="A57" s="27"/>
      <c r="B57" s="11" t="str">
        <f>CONCATENATE("          ", "6362", " - ", "ADVERTISING EXPENSE")</f>
        <v xml:space="preserve">          6362 - ADVERTISING EXPENSE</v>
      </c>
      <c r="C57" s="11"/>
      <c r="D57" s="6">
        <v>6.62</v>
      </c>
      <c r="E57" s="2"/>
      <c r="F57" s="7">
        <f t="shared" si="28"/>
        <v>7.1546096004053281E-5</v>
      </c>
      <c r="G57" s="2"/>
      <c r="H57" s="6">
        <v>200</v>
      </c>
      <c r="I57" s="2"/>
      <c r="J57" s="7">
        <f t="shared" si="29"/>
        <v>1.661681621801263E-3</v>
      </c>
      <c r="K57" s="2"/>
      <c r="L57" s="6">
        <f t="shared" si="30"/>
        <v>-193.38</v>
      </c>
      <c r="M57" s="2"/>
      <c r="N57" s="7">
        <f t="shared" si="31"/>
        <v>-0.96689999999999998</v>
      </c>
      <c r="O57" s="11"/>
      <c r="P57" s="6">
        <v>118.13</v>
      </c>
      <c r="Q57" s="2"/>
      <c r="R57" s="7">
        <f t="shared" si="32"/>
        <v>1.4179443139550771E-4</v>
      </c>
      <c r="S57" s="2"/>
      <c r="T57" s="6">
        <v>1000</v>
      </c>
      <c r="U57" s="2"/>
      <c r="V57" s="7">
        <f t="shared" si="33"/>
        <v>8.8954913202243444E-4</v>
      </c>
      <c r="W57" s="2"/>
      <c r="X57" s="6">
        <f t="shared" si="34"/>
        <v>-881.87</v>
      </c>
      <c r="Y57" s="2"/>
      <c r="Z57" s="7">
        <f t="shared" si="35"/>
        <v>-0.88187000000000004</v>
      </c>
    </row>
    <row r="58" spans="1:26" s="29" customFormat="1" outlineLevel="1" collapsed="1" x14ac:dyDescent="0.3">
      <c r="A58" s="28"/>
      <c r="B58" s="14" t="str">
        <f>CONCATENATE("     ","Depreciation                                      ")</f>
        <v xml:space="preserve">     Depreciation                                      </v>
      </c>
      <c r="C58" s="14"/>
      <c r="D58" s="1">
        <f>SUM(OSRRefD22_3x_0)</f>
        <v>280.44</v>
      </c>
      <c r="E58" s="1"/>
      <c r="F58" s="5">
        <f t="shared" si="28"/>
        <v>3.03087419386355E-3</v>
      </c>
      <c r="G58" s="1"/>
      <c r="H58" s="1">
        <f>SUM(OSRRefH22_3x_0)</f>
        <v>0</v>
      </c>
      <c r="I58" s="1"/>
      <c r="J58" s="5">
        <f t="shared" si="29"/>
        <v>0</v>
      </c>
      <c r="K58" s="1"/>
      <c r="L58" s="1">
        <f t="shared" si="30"/>
        <v>280.44</v>
      </c>
      <c r="M58" s="1"/>
      <c r="N58" s="5">
        <f t="shared" si="31"/>
        <v>0</v>
      </c>
      <c r="O58" s="14"/>
      <c r="P58" s="1">
        <f>SUM(OSRRefP22_3x_0)</f>
        <v>1402.2</v>
      </c>
      <c r="Q58" s="1"/>
      <c r="R58" s="5">
        <f t="shared" si="32"/>
        <v>1.6830961796561494E-3</v>
      </c>
      <c r="S58" s="1"/>
      <c r="T58" s="1">
        <f>SUM(OSRRefT22_3x_0)</f>
        <v>0</v>
      </c>
      <c r="U58" s="1"/>
      <c r="V58" s="5">
        <f t="shared" si="33"/>
        <v>0</v>
      </c>
      <c r="W58" s="1"/>
      <c r="X58" s="1">
        <f t="shared" si="34"/>
        <v>1402.2</v>
      </c>
      <c r="Y58" s="1"/>
      <c r="Z58" s="5">
        <f t="shared" si="35"/>
        <v>0</v>
      </c>
    </row>
    <row r="59" spans="1:26" s="24" customFormat="1" hidden="1" outlineLevel="2" x14ac:dyDescent="0.3">
      <c r="A59" s="27"/>
      <c r="B59" s="11" t="str">
        <f>CONCATENATE("          ", "6322", " - ", "EQUIPMENT DEPRECIATION EXPENSE")</f>
        <v xml:space="preserve">          6322 - EQUIPMENT DEPRECIATION EXPENSE</v>
      </c>
      <c r="C59" s="11"/>
      <c r="D59" s="6">
        <v>280.44</v>
      </c>
      <c r="E59" s="2"/>
      <c r="F59" s="7">
        <f t="shared" si="28"/>
        <v>3.03087419386355E-3</v>
      </c>
      <c r="G59" s="2"/>
      <c r="H59" s="6"/>
      <c r="I59" s="2"/>
      <c r="J59" s="7">
        <f t="shared" si="29"/>
        <v>0</v>
      </c>
      <c r="K59" s="2"/>
      <c r="L59" s="6">
        <f t="shared" si="30"/>
        <v>280.44</v>
      </c>
      <c r="M59" s="2"/>
      <c r="N59" s="7">
        <f t="shared" si="31"/>
        <v>0</v>
      </c>
      <c r="O59" s="11"/>
      <c r="P59" s="6">
        <v>1402.2</v>
      </c>
      <c r="Q59" s="2"/>
      <c r="R59" s="7">
        <f t="shared" si="32"/>
        <v>1.6830961796561494E-3</v>
      </c>
      <c r="S59" s="2"/>
      <c r="T59" s="6"/>
      <c r="U59" s="2"/>
      <c r="V59" s="7">
        <f t="shared" si="33"/>
        <v>0</v>
      </c>
      <c r="W59" s="2"/>
      <c r="X59" s="6">
        <f t="shared" si="34"/>
        <v>1402.2</v>
      </c>
      <c r="Y59" s="2"/>
      <c r="Z59" s="7">
        <f t="shared" si="35"/>
        <v>0</v>
      </c>
    </row>
    <row r="60" spans="1:26" s="29" customFormat="1" outlineLevel="1" collapsed="1" x14ac:dyDescent="0.3">
      <c r="A60" s="28"/>
      <c r="B60" s="14" t="str">
        <f>CONCATENATE("     ","Employees' Appreciation                           ")</f>
        <v xml:space="preserve">     Employees' Appreciation                           </v>
      </c>
      <c r="C60" s="14"/>
      <c r="D60" s="1">
        <f>SUM(OSRRefD22_4x_0)</f>
        <v>0</v>
      </c>
      <c r="E60" s="1"/>
      <c r="F60" s="5">
        <f t="shared" si="28"/>
        <v>0</v>
      </c>
      <c r="G60" s="1"/>
      <c r="H60" s="1">
        <f>SUM(OSRRefH22_4x_0)</f>
        <v>20</v>
      </c>
      <c r="I60" s="1"/>
      <c r="J60" s="5">
        <f t="shared" si="29"/>
        <v>1.6616816218012627E-4</v>
      </c>
      <c r="K60" s="1"/>
      <c r="L60" s="1">
        <f t="shared" si="30"/>
        <v>-20</v>
      </c>
      <c r="M60" s="1"/>
      <c r="N60" s="5">
        <f t="shared" si="31"/>
        <v>-1</v>
      </c>
      <c r="O60" s="14"/>
      <c r="P60" s="1">
        <f>SUM(OSRRefP22_4x_0)</f>
        <v>0</v>
      </c>
      <c r="Q60" s="1"/>
      <c r="R60" s="5">
        <f t="shared" si="32"/>
        <v>0</v>
      </c>
      <c r="S60" s="1"/>
      <c r="T60" s="1">
        <f>SUM(OSRRefT22_4x_0)</f>
        <v>100</v>
      </c>
      <c r="U60" s="1"/>
      <c r="V60" s="5">
        <f t="shared" si="33"/>
        <v>8.8954913202243441E-5</v>
      </c>
      <c r="W60" s="1"/>
      <c r="X60" s="1">
        <f t="shared" si="34"/>
        <v>-100</v>
      </c>
      <c r="Y60" s="1"/>
      <c r="Z60" s="5">
        <f t="shared" si="35"/>
        <v>-1</v>
      </c>
    </row>
    <row r="61" spans="1:26" s="24" customFormat="1" hidden="1" outlineLevel="2" x14ac:dyDescent="0.3">
      <c r="A61" s="27"/>
      <c r="B61" s="11" t="str">
        <f>CONCATENATE("          ", "6277", " - ", "EMPLOYEE APPRECIATION")</f>
        <v xml:space="preserve">          6277 - EMPLOYEE APPRECIATION</v>
      </c>
      <c r="C61" s="11"/>
      <c r="D61" s="6"/>
      <c r="E61" s="2"/>
      <c r="F61" s="7">
        <f t="shared" si="28"/>
        <v>0</v>
      </c>
      <c r="G61" s="2"/>
      <c r="H61" s="6">
        <v>20</v>
      </c>
      <c r="I61" s="2"/>
      <c r="J61" s="7">
        <f t="shared" si="29"/>
        <v>1.6616816218012627E-4</v>
      </c>
      <c r="K61" s="2"/>
      <c r="L61" s="6">
        <f t="shared" si="30"/>
        <v>-20</v>
      </c>
      <c r="M61" s="2"/>
      <c r="N61" s="7">
        <f t="shared" si="31"/>
        <v>-1</v>
      </c>
      <c r="O61" s="11"/>
      <c r="P61" s="6"/>
      <c r="Q61" s="2"/>
      <c r="R61" s="7">
        <f t="shared" si="32"/>
        <v>0</v>
      </c>
      <c r="S61" s="2"/>
      <c r="T61" s="6">
        <v>100</v>
      </c>
      <c r="U61" s="2"/>
      <c r="V61" s="7">
        <f t="shared" si="33"/>
        <v>8.8954913202243441E-5</v>
      </c>
      <c r="W61" s="2"/>
      <c r="X61" s="6">
        <f t="shared" si="34"/>
        <v>-100</v>
      </c>
      <c r="Y61" s="2"/>
      <c r="Z61" s="7">
        <f t="shared" si="35"/>
        <v>-1</v>
      </c>
    </row>
    <row r="62" spans="1:26" s="29" customFormat="1" outlineLevel="1" collapsed="1" x14ac:dyDescent="0.3">
      <c r="A62" s="28"/>
      <c r="B62" s="14" t="str">
        <f>CONCATENATE("     ","Freight out/Postage                               ")</f>
        <v xml:space="preserve">     Freight out/Postage                               </v>
      </c>
      <c r="C62" s="14"/>
      <c r="D62" s="1">
        <f>SUM(OSRRefD22_5x_0)</f>
        <v>0.34</v>
      </c>
      <c r="E62" s="1"/>
      <c r="F62" s="5">
        <f t="shared" si="28"/>
        <v>3.6745729065525854E-6</v>
      </c>
      <c r="G62" s="1"/>
      <c r="H62" s="1">
        <f>SUM(OSRRefH22_5x_0)</f>
        <v>15</v>
      </c>
      <c r="I62" s="1"/>
      <c r="J62" s="5">
        <f t="shared" si="29"/>
        <v>1.2462612163509471E-4</v>
      </c>
      <c r="K62" s="1"/>
      <c r="L62" s="1">
        <f t="shared" si="30"/>
        <v>-14.66</v>
      </c>
      <c r="M62" s="1"/>
      <c r="N62" s="5">
        <f t="shared" si="31"/>
        <v>-0.97733333333333339</v>
      </c>
      <c r="O62" s="14"/>
      <c r="P62" s="1">
        <f>SUM(OSRRefP22_5x_0)</f>
        <v>122.13</v>
      </c>
      <c r="Q62" s="1"/>
      <c r="R62" s="5">
        <f t="shared" si="32"/>
        <v>1.4659573272101376E-4</v>
      </c>
      <c r="S62" s="1"/>
      <c r="T62" s="1">
        <f>SUM(OSRRefT22_5x_0)</f>
        <v>75</v>
      </c>
      <c r="U62" s="1"/>
      <c r="V62" s="5">
        <f t="shared" si="33"/>
        <v>6.6716184901682577E-5</v>
      </c>
      <c r="W62" s="1"/>
      <c r="X62" s="1">
        <f t="shared" si="34"/>
        <v>47.129999999999995</v>
      </c>
      <c r="Y62" s="1"/>
      <c r="Z62" s="5">
        <f t="shared" si="35"/>
        <v>0.62839999999999996</v>
      </c>
    </row>
    <row r="63" spans="1:26" s="24" customFormat="1" hidden="1" outlineLevel="2" x14ac:dyDescent="0.3">
      <c r="A63" s="27"/>
      <c r="B63" s="11" t="str">
        <f>CONCATENATE("          ", "6305", " - ", "FREIGHT OUT")</f>
        <v xml:space="preserve">          6305 - FREIGHT OUT</v>
      </c>
      <c r="C63" s="11"/>
      <c r="D63" s="6">
        <v>0.34</v>
      </c>
      <c r="E63" s="2"/>
      <c r="F63" s="7">
        <f t="shared" si="28"/>
        <v>3.6745729065525854E-6</v>
      </c>
      <c r="G63" s="2"/>
      <c r="H63" s="6">
        <v>15</v>
      </c>
      <c r="I63" s="2"/>
      <c r="J63" s="7">
        <f t="shared" si="29"/>
        <v>1.2462612163509471E-4</v>
      </c>
      <c r="K63" s="2"/>
      <c r="L63" s="6">
        <f t="shared" si="30"/>
        <v>-14.66</v>
      </c>
      <c r="M63" s="2"/>
      <c r="N63" s="7">
        <f t="shared" si="31"/>
        <v>-0.97733333333333339</v>
      </c>
      <c r="O63" s="11"/>
      <c r="P63" s="6">
        <v>122.13</v>
      </c>
      <c r="Q63" s="2"/>
      <c r="R63" s="7">
        <f t="shared" si="32"/>
        <v>1.4659573272101376E-4</v>
      </c>
      <c r="S63" s="2"/>
      <c r="T63" s="6">
        <v>75</v>
      </c>
      <c r="U63" s="2"/>
      <c r="V63" s="7">
        <f t="shared" si="33"/>
        <v>6.6716184901682577E-5</v>
      </c>
      <c r="W63" s="2"/>
      <c r="X63" s="6">
        <f t="shared" si="34"/>
        <v>47.129999999999995</v>
      </c>
      <c r="Y63" s="2"/>
      <c r="Z63" s="7">
        <f t="shared" si="35"/>
        <v>0.62839999999999996</v>
      </c>
    </row>
    <row r="64" spans="1:26" s="29" customFormat="1" outlineLevel="1" collapsed="1" x14ac:dyDescent="0.3">
      <c r="A64" s="28"/>
      <c r="B64" s="14" t="str">
        <f>CONCATENATE("     ","General                                           ")</f>
        <v xml:space="preserve">     General                                           </v>
      </c>
      <c r="C64" s="14"/>
      <c r="D64" s="1">
        <f>SUM(OSRRefD22_6x_0)</f>
        <v>0</v>
      </c>
      <c r="E64" s="1"/>
      <c r="F64" s="5">
        <f t="shared" si="28"/>
        <v>0</v>
      </c>
      <c r="G64" s="1"/>
      <c r="H64" s="1">
        <f>SUM(OSRRefH22_6x_0)</f>
        <v>30</v>
      </c>
      <c r="I64" s="1"/>
      <c r="J64" s="5">
        <f t="shared" si="29"/>
        <v>2.4925224327018941E-4</v>
      </c>
      <c r="K64" s="1"/>
      <c r="L64" s="1">
        <f t="shared" si="30"/>
        <v>-30</v>
      </c>
      <c r="M64" s="1"/>
      <c r="N64" s="5">
        <f t="shared" si="31"/>
        <v>-1</v>
      </c>
      <c r="O64" s="14"/>
      <c r="P64" s="1">
        <f>SUM(OSRRefP22_6x_0)</f>
        <v>0</v>
      </c>
      <c r="Q64" s="1"/>
      <c r="R64" s="5">
        <f t="shared" si="32"/>
        <v>0</v>
      </c>
      <c r="S64" s="1"/>
      <c r="T64" s="1">
        <f>SUM(OSRRefT22_6x_0)</f>
        <v>150</v>
      </c>
      <c r="U64" s="1"/>
      <c r="V64" s="5">
        <f t="shared" si="33"/>
        <v>1.3343236980336515E-4</v>
      </c>
      <c r="W64" s="1"/>
      <c r="X64" s="1">
        <f t="shared" si="34"/>
        <v>-150</v>
      </c>
      <c r="Y64" s="1"/>
      <c r="Z64" s="5">
        <f t="shared" si="35"/>
        <v>-1</v>
      </c>
    </row>
    <row r="65" spans="1:26" s="24" customFormat="1" hidden="1" outlineLevel="2" x14ac:dyDescent="0.3">
      <c r="A65" s="27"/>
      <c r="B65" s="11" t="str">
        <f>CONCATENATE("          ", "6279", " - ", "GENERAL EXPENSE")</f>
        <v xml:space="preserve">          6279 - GENERAL EXPENSE</v>
      </c>
      <c r="C65" s="11"/>
      <c r="D65" s="6"/>
      <c r="E65" s="2"/>
      <c r="F65" s="7">
        <f t="shared" si="28"/>
        <v>0</v>
      </c>
      <c r="G65" s="2"/>
      <c r="H65" s="6">
        <v>30</v>
      </c>
      <c r="I65" s="2"/>
      <c r="J65" s="7">
        <f t="shared" si="29"/>
        <v>2.4925224327018941E-4</v>
      </c>
      <c r="K65" s="2"/>
      <c r="L65" s="6">
        <f t="shared" si="30"/>
        <v>-30</v>
      </c>
      <c r="M65" s="2"/>
      <c r="N65" s="7">
        <f t="shared" si="31"/>
        <v>-1</v>
      </c>
      <c r="O65" s="11"/>
      <c r="P65" s="6"/>
      <c r="Q65" s="2"/>
      <c r="R65" s="7">
        <f t="shared" si="32"/>
        <v>0</v>
      </c>
      <c r="S65" s="2"/>
      <c r="T65" s="6">
        <v>150</v>
      </c>
      <c r="U65" s="2"/>
      <c r="V65" s="7">
        <f t="shared" si="33"/>
        <v>1.3343236980336515E-4</v>
      </c>
      <c r="W65" s="2"/>
      <c r="X65" s="6">
        <f t="shared" si="34"/>
        <v>-150</v>
      </c>
      <c r="Y65" s="2"/>
      <c r="Z65" s="7">
        <f t="shared" si="35"/>
        <v>-1</v>
      </c>
    </row>
    <row r="66" spans="1:26" s="29" customFormat="1" outlineLevel="1" collapsed="1" x14ac:dyDescent="0.3">
      <c r="A66" s="28"/>
      <c r="B66" s="14" t="str">
        <f>CONCATENATE("     ","Inventory Adjustment                              ")</f>
        <v xml:space="preserve">     Inventory Adjustment                              </v>
      </c>
      <c r="C66" s="14"/>
      <c r="D66" s="1">
        <f>SUM(OSRRefD22_7x_0)</f>
        <v>630</v>
      </c>
      <c r="E66" s="1"/>
      <c r="F66" s="5">
        <f t="shared" si="28"/>
        <v>6.8087674444944962E-3</v>
      </c>
      <c r="G66" s="1"/>
      <c r="H66" s="1">
        <f>SUM(OSRRefH22_7x_0)</f>
        <v>630</v>
      </c>
      <c r="I66" s="1"/>
      <c r="J66" s="5">
        <f t="shared" si="29"/>
        <v>5.2342971086739784E-3</v>
      </c>
      <c r="K66" s="1"/>
      <c r="L66" s="1">
        <f t="shared" si="30"/>
        <v>0</v>
      </c>
      <c r="M66" s="1"/>
      <c r="N66" s="5">
        <f t="shared" si="31"/>
        <v>0</v>
      </c>
      <c r="O66" s="14"/>
      <c r="P66" s="1">
        <f>SUM(OSRRefP22_7x_0)</f>
        <v>5300</v>
      </c>
      <c r="Q66" s="1"/>
      <c r="R66" s="5">
        <f t="shared" si="32"/>
        <v>6.3617242562955291E-3</v>
      </c>
      <c r="S66" s="1"/>
      <c r="T66" s="1">
        <f>SUM(OSRRefT22_7x_0)</f>
        <v>6010</v>
      </c>
      <c r="U66" s="1"/>
      <c r="V66" s="5">
        <f t="shared" si="33"/>
        <v>5.3461902834548306E-3</v>
      </c>
      <c r="W66" s="1"/>
      <c r="X66" s="1">
        <f t="shared" si="34"/>
        <v>-710</v>
      </c>
      <c r="Y66" s="1"/>
      <c r="Z66" s="5">
        <f t="shared" si="35"/>
        <v>-0.11813643926788686</v>
      </c>
    </row>
    <row r="67" spans="1:26" s="24" customFormat="1" hidden="1" outlineLevel="2" x14ac:dyDescent="0.3">
      <c r="A67" s="27"/>
      <c r="B67" s="11" t="str">
        <f>CONCATENATE("          ", "6408", " - ", "INVENTORY ADJUSTMENT")</f>
        <v xml:space="preserve">          6408 - INVENTORY ADJUSTMENT</v>
      </c>
      <c r="C67" s="11"/>
      <c r="D67" s="6">
        <v>630</v>
      </c>
      <c r="E67" s="2"/>
      <c r="F67" s="7">
        <f t="shared" si="28"/>
        <v>6.8087674444944962E-3</v>
      </c>
      <c r="G67" s="2"/>
      <c r="H67" s="6">
        <v>630</v>
      </c>
      <c r="I67" s="2"/>
      <c r="J67" s="7">
        <f t="shared" si="29"/>
        <v>5.2342971086739784E-3</v>
      </c>
      <c r="K67" s="2"/>
      <c r="L67" s="6">
        <f t="shared" si="30"/>
        <v>0</v>
      </c>
      <c r="M67" s="2"/>
      <c r="N67" s="7">
        <f t="shared" si="31"/>
        <v>0</v>
      </c>
      <c r="O67" s="11"/>
      <c r="P67" s="6">
        <v>5300</v>
      </c>
      <c r="Q67" s="2"/>
      <c r="R67" s="7">
        <f t="shared" si="32"/>
        <v>6.3617242562955291E-3</v>
      </c>
      <c r="S67" s="2"/>
      <c r="T67" s="6">
        <v>6010</v>
      </c>
      <c r="U67" s="2"/>
      <c r="V67" s="7">
        <f t="shared" si="33"/>
        <v>5.3461902834548306E-3</v>
      </c>
      <c r="W67" s="2"/>
      <c r="X67" s="6">
        <f t="shared" si="34"/>
        <v>-710</v>
      </c>
      <c r="Y67" s="2"/>
      <c r="Z67" s="7">
        <f t="shared" si="35"/>
        <v>-0.11813643926788686</v>
      </c>
    </row>
    <row r="68" spans="1:26" s="29" customFormat="1" outlineLevel="1" collapsed="1" x14ac:dyDescent="0.3">
      <c r="A68" s="28"/>
      <c r="B68" s="14" t="str">
        <f>CONCATENATE("     ","Supplies                                          ")</f>
        <v xml:space="preserve">     Supplies                                          </v>
      </c>
      <c r="C68" s="14"/>
      <c r="D68" s="1">
        <f>SUM(OSRRefD22_8x_0)</f>
        <v>57.42</v>
      </c>
      <c r="E68" s="1"/>
      <c r="F68" s="5">
        <f t="shared" si="28"/>
        <v>6.2057051851249832E-4</v>
      </c>
      <c r="G68" s="1"/>
      <c r="H68" s="1">
        <f>SUM(OSRRefH22_8x_0)</f>
        <v>310</v>
      </c>
      <c r="I68" s="1"/>
      <c r="J68" s="5">
        <f t="shared" si="29"/>
        <v>2.5756065137919576E-3</v>
      </c>
      <c r="K68" s="1"/>
      <c r="L68" s="1">
        <f t="shared" si="30"/>
        <v>-252.57999999999998</v>
      </c>
      <c r="M68" s="1"/>
      <c r="N68" s="5">
        <f t="shared" si="31"/>
        <v>-0.81477419354838709</v>
      </c>
      <c r="O68" s="14"/>
      <c r="P68" s="1">
        <f>SUM(OSRRefP22_8x_0)</f>
        <v>3276.11</v>
      </c>
      <c r="Q68" s="1"/>
      <c r="R68" s="5">
        <f t="shared" si="32"/>
        <v>3.932397821375915E-3</v>
      </c>
      <c r="S68" s="1"/>
      <c r="T68" s="1">
        <f>SUM(OSRRefT22_8x_0)</f>
        <v>1550</v>
      </c>
      <c r="U68" s="1"/>
      <c r="V68" s="5">
        <f t="shared" si="33"/>
        <v>1.3788011546347733E-3</v>
      </c>
      <c r="W68" s="1"/>
      <c r="X68" s="1">
        <f t="shared" si="34"/>
        <v>1726.1100000000001</v>
      </c>
      <c r="Y68" s="1"/>
      <c r="Z68" s="5">
        <f t="shared" si="35"/>
        <v>1.1136193548387097</v>
      </c>
    </row>
    <row r="69" spans="1:26" s="24" customFormat="1" hidden="1" outlineLevel="2" x14ac:dyDescent="0.3">
      <c r="A69" s="27"/>
      <c r="B69" s="11" t="str">
        <f>CONCATENATE("          ", "6241", " - ", "OFFICE EXPENSE")</f>
        <v xml:space="preserve">          6241 - OFFICE EXPENSE</v>
      </c>
      <c r="C69" s="11"/>
      <c r="D69" s="6">
        <v>57.42</v>
      </c>
      <c r="E69" s="2"/>
      <c r="F69" s="7">
        <f t="shared" si="28"/>
        <v>6.2057051851249832E-4</v>
      </c>
      <c r="G69" s="2"/>
      <c r="H69" s="6">
        <v>110</v>
      </c>
      <c r="I69" s="2"/>
      <c r="J69" s="7">
        <f t="shared" si="29"/>
        <v>9.1392489199069462E-4</v>
      </c>
      <c r="K69" s="2"/>
      <c r="L69" s="6">
        <f t="shared" si="30"/>
        <v>-52.58</v>
      </c>
      <c r="M69" s="2"/>
      <c r="N69" s="7">
        <f t="shared" si="31"/>
        <v>-0.47799999999999998</v>
      </c>
      <c r="O69" s="11"/>
      <c r="P69" s="6">
        <v>364.11</v>
      </c>
      <c r="Q69" s="2"/>
      <c r="R69" s="7">
        <f t="shared" si="32"/>
        <v>4.3705045640750291E-4</v>
      </c>
      <c r="S69" s="2"/>
      <c r="T69" s="6">
        <v>550</v>
      </c>
      <c r="U69" s="2"/>
      <c r="V69" s="7">
        <f t="shared" si="33"/>
        <v>4.8925202261233889E-4</v>
      </c>
      <c r="W69" s="2"/>
      <c r="X69" s="6">
        <f t="shared" si="34"/>
        <v>-185.89</v>
      </c>
      <c r="Y69" s="2"/>
      <c r="Z69" s="7">
        <f t="shared" si="35"/>
        <v>-0.33798181818181816</v>
      </c>
    </row>
    <row r="70" spans="1:26" s="24" customFormat="1" hidden="1" outlineLevel="2" x14ac:dyDescent="0.3">
      <c r="A70" s="27"/>
      <c r="B70" s="11" t="str">
        <f>CONCATENATE("          ", "6247", " - ", "STORE SUPPLIES")</f>
        <v xml:space="preserve">          6247 - STORE SUPPLIES</v>
      </c>
      <c r="C70" s="11"/>
      <c r="D70" s="6"/>
      <c r="E70" s="2"/>
      <c r="F70" s="7">
        <f t="shared" si="28"/>
        <v>0</v>
      </c>
      <c r="G70" s="2"/>
      <c r="H70" s="6">
        <v>200</v>
      </c>
      <c r="I70" s="2"/>
      <c r="J70" s="7">
        <f t="shared" si="29"/>
        <v>1.661681621801263E-3</v>
      </c>
      <c r="K70" s="2"/>
      <c r="L70" s="6">
        <f t="shared" si="30"/>
        <v>-200</v>
      </c>
      <c r="M70" s="2"/>
      <c r="N70" s="7">
        <f t="shared" si="31"/>
        <v>-1</v>
      </c>
      <c r="O70" s="11"/>
      <c r="P70" s="6">
        <v>2912</v>
      </c>
      <c r="Q70" s="2"/>
      <c r="R70" s="7">
        <f t="shared" si="32"/>
        <v>3.4953473649684116E-3</v>
      </c>
      <c r="S70" s="2"/>
      <c r="T70" s="6">
        <v>1000</v>
      </c>
      <c r="U70" s="2"/>
      <c r="V70" s="7">
        <f t="shared" si="33"/>
        <v>8.8954913202243444E-4</v>
      </c>
      <c r="W70" s="2"/>
      <c r="X70" s="6">
        <f t="shared" si="34"/>
        <v>1912</v>
      </c>
      <c r="Y70" s="2"/>
      <c r="Z70" s="7">
        <f t="shared" si="35"/>
        <v>1.9119999999999999</v>
      </c>
    </row>
    <row r="71" spans="1:26" s="29" customFormat="1" outlineLevel="1" collapsed="1" x14ac:dyDescent="0.3">
      <c r="A71" s="28"/>
      <c r="B71" s="14" t="str">
        <f>CONCATENATE("     ","Telephone/Data Lines                              ")</f>
        <v xml:space="preserve">     Telephone/Data Lines                              </v>
      </c>
      <c r="C71" s="14"/>
      <c r="D71" s="1">
        <f>SUM(OSRRefD22_9x_0)</f>
        <v>205.5</v>
      </c>
      <c r="E71" s="1"/>
      <c r="F71" s="5">
        <f t="shared" ref="F71:F72" si="36">IF(D$12=0,0,D71/D$12)</f>
        <v>2.2209550949898712E-3</v>
      </c>
      <c r="G71" s="1"/>
      <c r="H71" s="1">
        <f>SUM(OSRRefH22_9x_0)</f>
        <v>325</v>
      </c>
      <c r="I71" s="1"/>
      <c r="J71" s="5">
        <f t="shared" ref="J71:J72" si="37">IF(H$12=0,0,H71/H$12)</f>
        <v>2.700232635427052E-3</v>
      </c>
      <c r="K71" s="1"/>
      <c r="L71" s="1">
        <f t="shared" ref="L71:L72" si="38">+D71-H71</f>
        <v>-119.5</v>
      </c>
      <c r="M71" s="1"/>
      <c r="N71" s="5">
        <f t="shared" ref="N71:N72" si="39">IF(H71=0,0,L71/H71)</f>
        <v>-0.36769230769230771</v>
      </c>
      <c r="O71" s="14"/>
      <c r="P71" s="1">
        <f>SUM(OSRRefP22_9x_0)</f>
        <v>1055.4000000000001</v>
      </c>
      <c r="Q71" s="1"/>
      <c r="R71" s="5">
        <f t="shared" ref="R71:R72" si="40">IF(P$12=0,0,P71/P$12)</f>
        <v>1.2668233547347741E-3</v>
      </c>
      <c r="S71" s="1"/>
      <c r="T71" s="1">
        <f>SUM(OSRRefT22_9x_0)</f>
        <v>1625</v>
      </c>
      <c r="U71" s="1"/>
      <c r="V71" s="5">
        <f t="shared" ref="V71:V72" si="41">IF(T$12=0,0,T71/T$12)</f>
        <v>1.4455173395364559E-3</v>
      </c>
      <c r="W71" s="1"/>
      <c r="X71" s="1">
        <f t="shared" ref="X71:X72" si="42">+P71-T71</f>
        <v>-569.59999999999991</v>
      </c>
      <c r="Y71" s="1"/>
      <c r="Z71" s="5">
        <f t="shared" ref="Z71:Z72" si="43">IF(T71=0,0,X71/T71)</f>
        <v>-0.35052307692307688</v>
      </c>
    </row>
    <row r="72" spans="1:26" s="24" customFormat="1" hidden="1" outlineLevel="2" x14ac:dyDescent="0.3">
      <c r="A72" s="27"/>
      <c r="B72" s="11" t="str">
        <f>CONCATENATE("          ", "6309", " - ", "TELEPHONE")</f>
        <v xml:space="preserve">          6309 - TELEPHONE</v>
      </c>
      <c r="C72" s="11"/>
      <c r="D72" s="6">
        <v>205.5</v>
      </c>
      <c r="E72" s="2"/>
      <c r="F72" s="7">
        <f t="shared" si="36"/>
        <v>2.2209550949898712E-3</v>
      </c>
      <c r="G72" s="2"/>
      <c r="H72" s="6">
        <v>325</v>
      </c>
      <c r="I72" s="2"/>
      <c r="J72" s="7">
        <f t="shared" si="37"/>
        <v>2.700232635427052E-3</v>
      </c>
      <c r="K72" s="2"/>
      <c r="L72" s="6">
        <f t="shared" si="38"/>
        <v>-119.5</v>
      </c>
      <c r="M72" s="2"/>
      <c r="N72" s="7">
        <f t="shared" si="39"/>
        <v>-0.36769230769230771</v>
      </c>
      <c r="O72" s="11"/>
      <c r="P72" s="6">
        <v>1055.4000000000001</v>
      </c>
      <c r="Q72" s="2"/>
      <c r="R72" s="7">
        <f t="shared" si="40"/>
        <v>1.2668233547347741E-3</v>
      </c>
      <c r="S72" s="2"/>
      <c r="T72" s="6">
        <v>1625</v>
      </c>
      <c r="U72" s="2"/>
      <c r="V72" s="7">
        <f t="shared" si="41"/>
        <v>1.4455173395364559E-3</v>
      </c>
      <c r="W72" s="2"/>
      <c r="X72" s="6">
        <f t="shared" si="42"/>
        <v>-569.59999999999991</v>
      </c>
      <c r="Y72" s="2"/>
      <c r="Z72" s="7">
        <f t="shared" si="43"/>
        <v>-0.35052307692307688</v>
      </c>
    </row>
    <row r="73" spans="1:26" s="63" customFormat="1" x14ac:dyDescent="0.3">
      <c r="A73" s="36"/>
      <c r="B73" s="36"/>
      <c r="C73" s="36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6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collapsed="1" x14ac:dyDescent="0.3">
      <c r="A74" s="10"/>
      <c r="B74" s="25" t="s">
        <v>293</v>
      </c>
      <c r="C74" s="10"/>
      <c r="D74" s="4">
        <f>SUM(OSRRefD25x_0)</f>
        <v>-88.839999999999989</v>
      </c>
      <c r="E74" s="4"/>
      <c r="F74" s="12">
        <f t="shared" ref="F74:F77" si="44">IF(D$12=0,0,D74/D$12)</f>
        <v>-9.6014428534744599E-4</v>
      </c>
      <c r="G74" s="4"/>
      <c r="H74" s="4">
        <f>SUM(OSRRefH25x_0)</f>
        <v>1149</v>
      </c>
      <c r="I74" s="4"/>
      <c r="J74" s="12">
        <f t="shared" ref="J74:J77" si="45">IF(H$12=0,0,H74/H$12)</f>
        <v>9.546360917248255E-3</v>
      </c>
      <c r="K74" s="4"/>
      <c r="L74" s="4">
        <f t="shared" ref="L74:L77" si="46">+D74-H74</f>
        <v>-1237.8399999999999</v>
      </c>
      <c r="M74" s="4"/>
      <c r="N74" s="12">
        <f t="shared" ref="N74:N77" si="47">IF(H74=0,0,L74/H74)</f>
        <v>-1.0773194081810269</v>
      </c>
      <c r="O74" s="10"/>
      <c r="P74" s="4">
        <f>SUM(OSRRefP25x_0)</f>
        <v>1718.4099999999999</v>
      </c>
      <c r="Q74" s="4"/>
      <c r="R74" s="12">
        <f t="shared" ref="R74:R77" si="48">IF(P$12=0,0,P74/P$12)</f>
        <v>2.0626510526907168E-3</v>
      </c>
      <c r="S74" s="4"/>
      <c r="T74" s="4">
        <f>SUM(OSRRefT25x_0)</f>
        <v>10729</v>
      </c>
      <c r="U74" s="4"/>
      <c r="V74" s="12">
        <f t="shared" ref="V74:V77" si="49">IF(T$12=0,0,T74/T$12)</f>
        <v>9.5439726374686989E-3</v>
      </c>
      <c r="W74" s="4"/>
      <c r="X74" s="4">
        <f t="shared" ref="X74:X77" si="50">+P74-T74</f>
        <v>-9010.59</v>
      </c>
      <c r="Y74" s="4"/>
      <c r="Z74" s="12">
        <f t="shared" ref="Z74:Z77" si="51">IF(T74=0,0,X74/T74)</f>
        <v>-0.83983502656351949</v>
      </c>
    </row>
    <row r="75" spans="1:26" s="24" customFormat="1" hidden="1" outlineLevel="1" x14ac:dyDescent="0.3">
      <c r="A75" s="44"/>
      <c r="B75" s="11" t="str">
        <f>CONCATENATE("          ", "4187", " - ", "NON-TAXABLE SALES-COMPUTER REP")</f>
        <v xml:space="preserve">          4187 - NON-TAXABLE SALES-COMPUTER REP</v>
      </c>
      <c r="C75" s="11"/>
      <c r="D75" s="2">
        <f>0</f>
        <v>0</v>
      </c>
      <c r="E75" s="2"/>
      <c r="F75" s="19">
        <f t="shared" si="44"/>
        <v>0</v>
      </c>
      <c r="G75" s="2"/>
      <c r="H75" s="2"/>
      <c r="I75" s="2"/>
      <c r="J75" s="19">
        <f t="shared" si="45"/>
        <v>0</v>
      </c>
      <c r="K75" s="2"/>
      <c r="L75" s="2">
        <f t="shared" si="46"/>
        <v>0</v>
      </c>
      <c r="M75" s="2"/>
      <c r="N75" s="19">
        <f t="shared" si="47"/>
        <v>0</v>
      </c>
      <c r="O75" s="11"/>
      <c r="P75" s="2">
        <f>0</f>
        <v>0</v>
      </c>
      <c r="Q75" s="2"/>
      <c r="R75" s="19">
        <f t="shared" si="48"/>
        <v>0</v>
      </c>
      <c r="S75" s="2"/>
      <c r="T75" s="2"/>
      <c r="U75" s="2"/>
      <c r="V75" s="19">
        <f t="shared" si="49"/>
        <v>0</v>
      </c>
      <c r="W75" s="2"/>
      <c r="X75" s="2">
        <f t="shared" si="50"/>
        <v>0</v>
      </c>
      <c r="Y75" s="2"/>
      <c r="Z75" s="19">
        <f t="shared" si="51"/>
        <v>0</v>
      </c>
    </row>
    <row r="76" spans="1:26" s="24" customFormat="1" hidden="1" outlineLevel="1" x14ac:dyDescent="0.3">
      <c r="A76" s="44"/>
      <c r="B76" s="11" t="str">
        <f>CONCATENATE("          ", "9087", " - ", "")</f>
        <v xml:space="preserve">          9087 - </v>
      </c>
      <c r="C76" s="11"/>
      <c r="D76" s="2">
        <f>--74.01</f>
        <v>74.010000000000005</v>
      </c>
      <c r="E76" s="2"/>
      <c r="F76" s="19">
        <f t="shared" si="44"/>
        <v>7.9986806121752011E-4</v>
      </c>
      <c r="G76" s="2"/>
      <c r="H76" s="2"/>
      <c r="I76" s="2"/>
      <c r="J76" s="19">
        <f t="shared" si="45"/>
        <v>0</v>
      </c>
      <c r="K76" s="2"/>
      <c r="L76" s="2">
        <f t="shared" si="46"/>
        <v>74.010000000000005</v>
      </c>
      <c r="M76" s="2"/>
      <c r="N76" s="19">
        <f t="shared" si="47"/>
        <v>0</v>
      </c>
      <c r="O76" s="11"/>
      <c r="P76" s="2">
        <f>-392.38</f>
        <v>-392.38</v>
      </c>
      <c r="Q76" s="2"/>
      <c r="R76" s="19">
        <f t="shared" si="48"/>
        <v>-4.7098365352551697E-4</v>
      </c>
      <c r="S76" s="2"/>
      <c r="T76" s="2"/>
      <c r="U76" s="2"/>
      <c r="V76" s="19">
        <f t="shared" si="49"/>
        <v>0</v>
      </c>
      <c r="W76" s="2"/>
      <c r="X76" s="2">
        <f t="shared" si="50"/>
        <v>-392.38</v>
      </c>
      <c r="Y76" s="2"/>
      <c r="Z76" s="19">
        <f t="shared" si="51"/>
        <v>0</v>
      </c>
    </row>
    <row r="77" spans="1:26" s="24" customFormat="1" hidden="1" outlineLevel="1" x14ac:dyDescent="0.3">
      <c r="A77" s="44"/>
      <c r="B77" s="11" t="str">
        <f>CONCATENATE("          ", "9150", " - ", "MISC. INCOME")</f>
        <v xml:space="preserve">          9150 - MISC. INCOME</v>
      </c>
      <c r="C77" s="11"/>
      <c r="D77" s="2">
        <f>-162.85</f>
        <v>-162.85</v>
      </c>
      <c r="E77" s="2"/>
      <c r="F77" s="19">
        <f t="shared" si="44"/>
        <v>-1.760012346564966E-3</v>
      </c>
      <c r="G77" s="2"/>
      <c r="H77" s="2">
        <v>1149</v>
      </c>
      <c r="I77" s="2"/>
      <c r="J77" s="19">
        <f t="shared" si="45"/>
        <v>9.546360917248255E-3</v>
      </c>
      <c r="K77" s="2"/>
      <c r="L77" s="2">
        <f t="shared" si="46"/>
        <v>-1311.85</v>
      </c>
      <c r="M77" s="2"/>
      <c r="N77" s="19">
        <f t="shared" si="47"/>
        <v>-1.1417319408181026</v>
      </c>
      <c r="O77" s="11"/>
      <c r="P77" s="2">
        <f>--2110.79</f>
        <v>2110.79</v>
      </c>
      <c r="Q77" s="2"/>
      <c r="R77" s="19">
        <f t="shared" si="48"/>
        <v>2.5336347062162342E-3</v>
      </c>
      <c r="S77" s="2"/>
      <c r="T77" s="2">
        <v>10729</v>
      </c>
      <c r="U77" s="2"/>
      <c r="V77" s="19">
        <f t="shared" si="49"/>
        <v>9.5439726374686989E-3</v>
      </c>
      <c r="W77" s="2"/>
      <c r="X77" s="2">
        <f t="shared" si="50"/>
        <v>-8618.2099999999991</v>
      </c>
      <c r="Y77" s="2"/>
      <c r="Z77" s="19">
        <f t="shared" si="51"/>
        <v>-0.80326311865038669</v>
      </c>
    </row>
    <row r="78" spans="1:26" x14ac:dyDescent="0.3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3">
      <c r="A79" s="10"/>
      <c r="B79" s="26" t="s">
        <v>277</v>
      </c>
      <c r="C79" s="26"/>
      <c r="D79" s="20">
        <f>+D31-D33+D74</f>
        <v>-3242.8400000000056</v>
      </c>
      <c r="E79" s="13"/>
      <c r="F79" s="22">
        <f>IF(D$12=0,0,D79/D$12)</f>
        <v>-3.5047211777308837E-2</v>
      </c>
      <c r="G79" s="13"/>
      <c r="H79" s="20">
        <f>+H31-H33+H74</f>
        <v>192.35741512999994</v>
      </c>
      <c r="I79" s="13"/>
      <c r="J79" s="22">
        <f>IF(H$12=0,0,H79/H$12)</f>
        <v>1.5981839076935854E-3</v>
      </c>
      <c r="K79" s="15"/>
      <c r="L79" s="20">
        <f>+D79-H79</f>
        <v>-3435.1974151300055</v>
      </c>
      <c r="M79" s="15"/>
      <c r="N79" s="22">
        <f>IF(H79=0,0,L79/H79)</f>
        <v>-17.858409112060553</v>
      </c>
      <c r="O79" s="25"/>
      <c r="P79" s="20">
        <f>+P31-P33+P74</f>
        <v>60384.629999999888</v>
      </c>
      <c r="Q79" s="13"/>
      <c r="R79" s="22">
        <f>IF(P$12=0,0,P79/P$12)</f>
        <v>7.2481201014798116E-2</v>
      </c>
      <c r="S79" s="13"/>
      <c r="T79" s="20">
        <f>+T31-T33+T74</f>
        <v>47863.501603215002</v>
      </c>
      <c r="U79" s="13"/>
      <c r="V79" s="22">
        <f>IF(T$12=0,0,T79/T$12)</f>
        <v>4.2576936306694305E-2</v>
      </c>
      <c r="W79" s="15"/>
      <c r="X79" s="20">
        <f>+P79-T79</f>
        <v>12521.128396784887</v>
      </c>
      <c r="Y79" s="15"/>
      <c r="Z79" s="22">
        <f>IF(T79=0,0,X79/T79)</f>
        <v>0.26160076002345467</v>
      </c>
    </row>
    <row r="80" spans="1:26" x14ac:dyDescent="0.3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3">
      <c r="A81" s="52"/>
      <c r="B81" s="10" t="s">
        <v>128</v>
      </c>
      <c r="C81" s="10"/>
      <c r="D81" s="4">
        <v>13627.98</v>
      </c>
      <c r="E81" s="4"/>
      <c r="F81" s="12">
        <f>IF(D$12=0,0,D81/D$12)</f>
        <v>0.14728531199717793</v>
      </c>
      <c r="G81" s="4"/>
      <c r="H81" s="4">
        <v>25107</v>
      </c>
      <c r="I81" s="4"/>
      <c r="J81" s="12">
        <f>IF(H$12=0,0,H81/H$12)</f>
        <v>0.20859920239282154</v>
      </c>
      <c r="K81" s="4"/>
      <c r="L81" s="4">
        <f>+D81-H81</f>
        <v>-11479.02</v>
      </c>
      <c r="M81" s="4"/>
      <c r="N81" s="12">
        <f>IF(H81=0,0,L81/H81)</f>
        <v>-0.45720396702114952</v>
      </c>
      <c r="O81" s="10"/>
      <c r="P81" s="4">
        <v>99232.88</v>
      </c>
      <c r="Q81" s="4"/>
      <c r="R81" s="12">
        <f>IF(P$12=0,0,P81/P$12)</f>
        <v>0.11911173956944596</v>
      </c>
      <c r="S81" s="4"/>
      <c r="T81" s="4">
        <v>140536</v>
      </c>
      <c r="U81" s="4"/>
      <c r="V81" s="12">
        <f>IF(T$12=0,0,T81/T$12)</f>
        <v>0.12501367681790485</v>
      </c>
      <c r="W81" s="4"/>
      <c r="X81" s="4">
        <f>+P81-T81</f>
        <v>-41303.119999999995</v>
      </c>
      <c r="Y81" s="4"/>
      <c r="Z81" s="12">
        <f>IF(T81=0,0,X81/T81)</f>
        <v>-0.29389707975180734</v>
      </c>
    </row>
    <row r="82" spans="1:26" x14ac:dyDescent="0.3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" thickBot="1" x14ac:dyDescent="0.35">
      <c r="A83" s="10"/>
      <c r="B83" s="26" t="s">
        <v>126</v>
      </c>
      <c r="C83" s="26"/>
      <c r="D83" s="33">
        <f>+D79-D81</f>
        <v>-16870.820000000007</v>
      </c>
      <c r="E83" s="13"/>
      <c r="F83" s="34">
        <f>IF(D$12=0,0,D83/D$12)</f>
        <v>-0.1823325237744868</v>
      </c>
      <c r="G83" s="13"/>
      <c r="H83" s="33">
        <f>+H79-H81</f>
        <v>-24914.642584870002</v>
      </c>
      <c r="I83" s="13"/>
      <c r="J83" s="34">
        <f>IF(H$12=0,0,H83/H$12)</f>
        <v>-0.20700101848512797</v>
      </c>
      <c r="K83" s="15"/>
      <c r="L83" s="33">
        <f>D83-H83</f>
        <v>8043.8225848699949</v>
      </c>
      <c r="M83" s="15"/>
      <c r="N83" s="34">
        <f>IF(H83=0,0,L83/H83)</f>
        <v>-0.32285522689997542</v>
      </c>
      <c r="O83" s="25"/>
      <c r="P83" s="33">
        <f>+P79-P81</f>
        <v>-38848.250000000116</v>
      </c>
      <c r="Q83" s="13"/>
      <c r="R83" s="34">
        <f>IF(P$12=0,0,P83/P$12)</f>
        <v>-4.6630538554647841E-2</v>
      </c>
      <c r="S83" s="13"/>
      <c r="T83" s="33">
        <f>+T79-T81</f>
        <v>-92672.498396784998</v>
      </c>
      <c r="U83" s="13"/>
      <c r="V83" s="34">
        <f>IF(T$12=0,0,T83/T$12)</f>
        <v>-8.2436740511210541E-2</v>
      </c>
      <c r="W83" s="15"/>
      <c r="X83" s="33">
        <f>P83-T83</f>
        <v>53824.248396784882</v>
      </c>
      <c r="Y83" s="15"/>
      <c r="Z83" s="34">
        <f>IF(T83=0,0,X83/T83)</f>
        <v>-0.58080066177057077</v>
      </c>
    </row>
    <row r="84" spans="1:26" ht="15" thickTop="1" x14ac:dyDescent="0.3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x14ac:dyDescent="0.3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" thickBot="1" x14ac:dyDescent="0.35">
      <c r="A86" s="10"/>
      <c r="B86" s="26" t="s">
        <v>294</v>
      </c>
      <c r="C86" s="26"/>
      <c r="D86" s="35">
        <f>SUM(D83:D85)</f>
        <v>-16870.820000000007</v>
      </c>
      <c r="E86" s="13"/>
      <c r="F86" s="32">
        <f>IF(D$12=0,0,D86/D$12)</f>
        <v>-0.1823325237744868</v>
      </c>
      <c r="G86" s="13"/>
      <c r="H86" s="35">
        <f>SUM(H83:H85)</f>
        <v>-24914.642584870002</v>
      </c>
      <c r="I86" s="13"/>
      <c r="J86" s="32">
        <f>IF(H$12=0,0,H86/H$12)</f>
        <v>-0.20700101848512797</v>
      </c>
      <c r="K86" s="15"/>
      <c r="L86" s="35">
        <f>+D86-H86</f>
        <v>8043.8225848699949</v>
      </c>
      <c r="M86" s="15"/>
      <c r="N86" s="32">
        <f>IF(H86=0,0,L86/H86)</f>
        <v>-0.32285522689997542</v>
      </c>
      <c r="O86" s="25"/>
      <c r="P86" s="35">
        <f>SUM(P83:P85)</f>
        <v>-38848.250000000116</v>
      </c>
      <c r="Q86" s="13"/>
      <c r="R86" s="32">
        <f>IF(P$12=0,0,P86/P$12)</f>
        <v>-4.6630538554647841E-2</v>
      </c>
      <c r="S86" s="13"/>
      <c r="T86" s="35">
        <f>SUM(T83:T85)</f>
        <v>-92672.498396784998</v>
      </c>
      <c r="U86" s="13"/>
      <c r="V86" s="32">
        <f>IF(T$12=0,0,T86/T$12)</f>
        <v>-8.2436740511210541E-2</v>
      </c>
      <c r="W86" s="15"/>
      <c r="X86" s="35">
        <f>+P86-T86</f>
        <v>53824.248396784882</v>
      </c>
      <c r="Y86" s="15"/>
      <c r="Z86" s="32">
        <f>IF(T86=0,0,X86/T86)</f>
        <v>-0.58080066177057077</v>
      </c>
    </row>
    <row r="87" spans="1:26" ht="15" thickTop="1" x14ac:dyDescent="0.3">
      <c r="A87" s="9"/>
      <c r="C87" s="9"/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  <row r="88" spans="1:26" x14ac:dyDescent="0.3">
      <c r="A88" s="9"/>
      <c r="B88" s="60">
        <v>44543.753098923611</v>
      </c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3">
      <c r="A89" s="9"/>
      <c r="B89" s="58" t="s">
        <v>56</v>
      </c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  <row r="90" spans="1:26" x14ac:dyDescent="0.3">
      <c r="A90" s="9"/>
      <c r="B90" s="55"/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  <row r="91" spans="1:26" x14ac:dyDescent="0.3"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92D050"/>
    <outlinePr summaryBelow="0" summaryRight="0"/>
  </sheetPr>
  <dimension ref="A2:Z9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","317", " - ", "Computer Store")</f>
        <v>Department 317 - Computer Store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92527.76</v>
      </c>
      <c r="E12" s="4"/>
      <c r="F12" s="12"/>
      <c r="G12" s="4"/>
      <c r="H12" s="4">
        <f>SUM(OSRRefH13x_0)</f>
        <v>120360</v>
      </c>
      <c r="I12" s="4"/>
      <c r="J12" s="12"/>
      <c r="K12" s="4"/>
      <c r="L12" s="4">
        <f t="shared" ref="L12:L17" si="0">+D12-H12</f>
        <v>-27832.240000000005</v>
      </c>
      <c r="M12" s="4"/>
      <c r="N12" s="12">
        <f t="shared" ref="N12:N17" si="1">IF(H12=0,0,L12/H12)</f>
        <v>-0.23124160850780995</v>
      </c>
      <c r="O12" s="10"/>
      <c r="P12" s="4">
        <f>SUM(OSRRefP13x_0)</f>
        <v>833107.47</v>
      </c>
      <c r="Q12" s="4"/>
      <c r="R12" s="12"/>
      <c r="S12" s="4"/>
      <c r="T12" s="4">
        <f>SUM(OSRRefT13x_0)</f>
        <v>1124165</v>
      </c>
      <c r="U12" s="4"/>
      <c r="V12" s="12"/>
      <c r="W12" s="4"/>
      <c r="X12" s="4">
        <f t="shared" ref="X12:X17" si="2">+P12-T12</f>
        <v>-291057.53000000003</v>
      </c>
      <c r="Y12" s="4"/>
      <c r="Z12" s="12">
        <f t="shared" ref="Z12:Z17" si="3">IF(T12=0,0,X12/T12)</f>
        <v>-0.25890997318009368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--101601.44</f>
        <v>101601.44</v>
      </c>
      <c r="E13" s="2"/>
      <c r="F13" s="19"/>
      <c r="G13" s="2"/>
      <c r="H13" s="2">
        <v>114547</v>
      </c>
      <c r="I13" s="2"/>
      <c r="J13" s="19"/>
      <c r="K13" s="2"/>
      <c r="L13" s="2">
        <f t="shared" si="0"/>
        <v>-12945.559999999998</v>
      </c>
      <c r="M13" s="2"/>
      <c r="N13" s="19">
        <f t="shared" si="1"/>
        <v>-0.11301526884161085</v>
      </c>
      <c r="O13" s="11"/>
      <c r="P13" s="2">
        <f>--684111.95</f>
        <v>684111.95</v>
      </c>
      <c r="Q13" s="2"/>
      <c r="R13" s="19"/>
      <c r="S13" s="2"/>
      <c r="T13" s="2">
        <v>1064759</v>
      </c>
      <c r="U13" s="2"/>
      <c r="V13" s="19"/>
      <c r="W13" s="2"/>
      <c r="X13" s="2">
        <f t="shared" si="2"/>
        <v>-380647.05000000005</v>
      </c>
      <c r="Y13" s="2"/>
      <c r="Z13" s="19">
        <f t="shared" si="3"/>
        <v>-0.35749596857129179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--34580</f>
        <v>34580</v>
      </c>
      <c r="E14" s="2"/>
      <c r="F14" s="19"/>
      <c r="G14" s="2"/>
      <c r="H14" s="2">
        <v>5813</v>
      </c>
      <c r="I14" s="2"/>
      <c r="J14" s="19"/>
      <c r="K14" s="2"/>
      <c r="L14" s="2">
        <f t="shared" si="0"/>
        <v>28767</v>
      </c>
      <c r="M14" s="2"/>
      <c r="N14" s="19">
        <f t="shared" si="1"/>
        <v>4.9487355926371928</v>
      </c>
      <c r="O14" s="11"/>
      <c r="P14" s="2">
        <f>--301761.89</f>
        <v>301761.89</v>
      </c>
      <c r="Q14" s="2"/>
      <c r="R14" s="19"/>
      <c r="S14" s="2"/>
      <c r="T14" s="2">
        <v>59406</v>
      </c>
      <c r="U14" s="2"/>
      <c r="V14" s="19"/>
      <c r="W14" s="2"/>
      <c r="X14" s="2">
        <f t="shared" si="2"/>
        <v>242355.89</v>
      </c>
      <c r="Y14" s="2"/>
      <c r="Z14" s="19">
        <f t="shared" si="3"/>
        <v>4.0796534020132649</v>
      </c>
    </row>
    <row r="15" spans="1:26" s="24" customFormat="1" hidden="1" outlineLevel="1" x14ac:dyDescent="0.3">
      <c r="A15" s="44"/>
      <c r="B15" s="11" t="str">
        <f>CONCATENATE("          ", "4200", " - ", "TAXABLE RETURNS")</f>
        <v xml:space="preserve">          4200 - TAXABLE RETURNS</v>
      </c>
      <c r="C15" s="11"/>
      <c r="D15" s="2">
        <f>-43602.29</f>
        <v>-43602.29</v>
      </c>
      <c r="E15" s="2"/>
      <c r="F15" s="19"/>
      <c r="G15" s="2"/>
      <c r="H15" s="2"/>
      <c r="I15" s="2"/>
      <c r="J15" s="19"/>
      <c r="K15" s="2"/>
      <c r="L15" s="2">
        <f t="shared" si="0"/>
        <v>-43602.29</v>
      </c>
      <c r="M15" s="2"/>
      <c r="N15" s="19">
        <f t="shared" si="1"/>
        <v>0</v>
      </c>
      <c r="O15" s="11"/>
      <c r="P15" s="2">
        <f>-151969.64</f>
        <v>-151969.64000000001</v>
      </c>
      <c r="Q15" s="2"/>
      <c r="R15" s="19"/>
      <c r="S15" s="2"/>
      <c r="T15" s="2"/>
      <c r="U15" s="2"/>
      <c r="V15" s="19"/>
      <c r="W15" s="2"/>
      <c r="X15" s="2">
        <f t="shared" si="2"/>
        <v>-151969.64000000001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"4300", " - ", "NON-TAX RETURNS")</f>
        <v xml:space="preserve">          4300 - NON-TAX RETURNS</v>
      </c>
      <c r="C16" s="11"/>
      <c r="D16" s="2">
        <f>-14.99</f>
        <v>-14.99</v>
      </c>
      <c r="E16" s="2"/>
      <c r="F16" s="19"/>
      <c r="G16" s="2"/>
      <c r="H16" s="2"/>
      <c r="I16" s="2"/>
      <c r="J16" s="19"/>
      <c r="K16" s="2"/>
      <c r="L16" s="2">
        <f t="shared" si="0"/>
        <v>-14.99</v>
      </c>
      <c r="M16" s="2"/>
      <c r="N16" s="19">
        <f t="shared" si="1"/>
        <v>0</v>
      </c>
      <c r="O16" s="11"/>
      <c r="P16" s="2">
        <f>-704.79</f>
        <v>-704.79</v>
      </c>
      <c r="Q16" s="2"/>
      <c r="R16" s="19"/>
      <c r="S16" s="2"/>
      <c r="T16" s="2"/>
      <c r="U16" s="2"/>
      <c r="V16" s="19"/>
      <c r="W16" s="2"/>
      <c r="X16" s="2">
        <f t="shared" si="2"/>
        <v>-704.79</v>
      </c>
      <c r="Y16" s="2"/>
      <c r="Z16" s="19">
        <f t="shared" si="3"/>
        <v>0</v>
      </c>
    </row>
    <row r="17" spans="1:26" s="24" customFormat="1" hidden="1" outlineLevel="1" x14ac:dyDescent="0.3">
      <c r="A17" s="44"/>
      <c r="B17" s="11" t="str">
        <f>CONCATENATE("          ", "4500", " - ", "SALES DISCOUNT")</f>
        <v xml:space="preserve">          4500 - SALES DISCOUNT</v>
      </c>
      <c r="C17" s="11"/>
      <c r="D17" s="2">
        <f>-36.4</f>
        <v>-36.4</v>
      </c>
      <c r="E17" s="2"/>
      <c r="F17" s="19"/>
      <c r="G17" s="2"/>
      <c r="H17" s="2"/>
      <c r="I17" s="2"/>
      <c r="J17" s="19"/>
      <c r="K17" s="2"/>
      <c r="L17" s="2">
        <f t="shared" si="0"/>
        <v>-36.4</v>
      </c>
      <c r="M17" s="2"/>
      <c r="N17" s="19">
        <f t="shared" si="1"/>
        <v>0</v>
      </c>
      <c r="O17" s="11"/>
      <c r="P17" s="2">
        <f>-91.94</f>
        <v>-91.94</v>
      </c>
      <c r="Q17" s="2"/>
      <c r="R17" s="19"/>
      <c r="S17" s="2"/>
      <c r="T17" s="2"/>
      <c r="U17" s="2"/>
      <c r="V17" s="19"/>
      <c r="W17" s="2"/>
      <c r="X17" s="2">
        <f t="shared" si="2"/>
        <v>-91.94</v>
      </c>
      <c r="Y17" s="2"/>
      <c r="Z17" s="19">
        <f t="shared" si="3"/>
        <v>0</v>
      </c>
    </row>
    <row r="18" spans="1:26" x14ac:dyDescent="0.3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3">
      <c r="A19" s="10"/>
      <c r="B19" s="25" t="s">
        <v>257</v>
      </c>
      <c r="C19" s="10"/>
      <c r="D19" s="4">
        <f>SUM(OSRRefD16x_0)</f>
        <v>82925.39</v>
      </c>
      <c r="E19" s="4"/>
      <c r="F19" s="12">
        <f t="shared" ref="F19:F29" si="4">IF(D$12=0,0,D19/D$12)</f>
        <v>0.89622173929207849</v>
      </c>
      <c r="G19" s="4"/>
      <c r="H19" s="4">
        <f>SUM(OSRRefH16x_0)</f>
        <v>107722</v>
      </c>
      <c r="I19" s="4"/>
      <c r="J19" s="12">
        <f t="shared" ref="J19:J29" si="5">IF(H$12=0,0,H19/H$12)</f>
        <v>0.89499833831837816</v>
      </c>
      <c r="K19" s="4"/>
      <c r="L19" s="4">
        <f t="shared" ref="L19:L29" si="6">+D19-H19</f>
        <v>-24796.61</v>
      </c>
      <c r="M19" s="4"/>
      <c r="N19" s="12">
        <f t="shared" ref="N19:N29" si="7">IF(H19=0,0,L19/H19)</f>
        <v>-0.23019076883087949</v>
      </c>
      <c r="O19" s="10"/>
      <c r="P19" s="4">
        <f>SUM(OSRRefP16x_0)</f>
        <v>702659.7300000001</v>
      </c>
      <c r="Q19" s="4"/>
      <c r="R19" s="12">
        <f t="shared" ref="R19:R29" si="8">IF(P$12=0,0,P19/P$12)</f>
        <v>0.84342027325718272</v>
      </c>
      <c r="S19" s="4"/>
      <c r="T19" s="4">
        <f>SUM(OSRRefT16x_0)</f>
        <v>1006126</v>
      </c>
      <c r="U19" s="4"/>
      <c r="V19" s="12">
        <f t="shared" ref="V19:V29" si="9">IF(T$12=0,0,T19/T$12)</f>
        <v>0.89499851000520392</v>
      </c>
      <c r="W19" s="4"/>
      <c r="X19" s="4">
        <f t="shared" ref="X19:X29" si="10">+P19-T19</f>
        <v>-303466.2699999999</v>
      </c>
      <c r="Y19" s="4"/>
      <c r="Z19" s="12">
        <f t="shared" ref="Z19:Z29" si="11">IF(T19=0,0,X19/T19)</f>
        <v>-0.30161855473370125</v>
      </c>
    </row>
    <row r="20" spans="1:26" s="24" customFormat="1" hidden="1" outlineLevel="1" x14ac:dyDescent="0.3">
      <c r="A20" s="44"/>
      <c r="B20" s="11" t="str">
        <f>CONCATENATE("          ", "5000", " - ", "PURCHASES @ COST")</f>
        <v xml:space="preserve">          5000 - PURCHASES @ COST</v>
      </c>
      <c r="C20" s="11"/>
      <c r="D20" s="2">
        <v>56710.32</v>
      </c>
      <c r="E20" s="2"/>
      <c r="F20" s="19">
        <f t="shared" si="4"/>
        <v>0.61290060409978586</v>
      </c>
      <c r="G20" s="2"/>
      <c r="H20" s="2">
        <v>107722</v>
      </c>
      <c r="I20" s="2"/>
      <c r="J20" s="19">
        <f t="shared" si="5"/>
        <v>0.89499833831837816</v>
      </c>
      <c r="K20" s="2"/>
      <c r="L20" s="2">
        <f t="shared" si="6"/>
        <v>-51011.68</v>
      </c>
      <c r="M20" s="2"/>
      <c r="N20" s="19">
        <f t="shared" si="7"/>
        <v>-0.47354932140138506</v>
      </c>
      <c r="O20" s="11"/>
      <c r="P20" s="2">
        <v>743562.51</v>
      </c>
      <c r="Q20" s="2"/>
      <c r="R20" s="19">
        <f t="shared" si="8"/>
        <v>0.89251691621490326</v>
      </c>
      <c r="S20" s="2"/>
      <c r="T20" s="2">
        <v>1006126</v>
      </c>
      <c r="U20" s="2"/>
      <c r="V20" s="19">
        <f t="shared" si="9"/>
        <v>0.89499851000520392</v>
      </c>
      <c r="W20" s="2"/>
      <c r="X20" s="2">
        <f t="shared" si="10"/>
        <v>-262563.49</v>
      </c>
      <c r="Y20" s="2"/>
      <c r="Z20" s="19">
        <f t="shared" si="11"/>
        <v>-0.26096481951564715</v>
      </c>
    </row>
    <row r="21" spans="1:26" s="24" customFormat="1" hidden="1" outlineLevel="1" x14ac:dyDescent="0.3">
      <c r="A21" s="44"/>
      <c r="B21" s="11" t="str">
        <f>CONCATENATE("          ", "5081", " - ", "PURCHASES @ COST-ELECTRONICS")</f>
        <v xml:space="preserve">          5081 - PURCHASES @ COST-ELECTRONICS</v>
      </c>
      <c r="C21" s="11"/>
      <c r="D21" s="2"/>
      <c r="E21" s="2"/>
      <c r="F21" s="19">
        <f t="shared" si="4"/>
        <v>0</v>
      </c>
      <c r="G21" s="2"/>
      <c r="H21" s="2"/>
      <c r="I21" s="2"/>
      <c r="J21" s="19">
        <f t="shared" si="5"/>
        <v>0</v>
      </c>
      <c r="K21" s="2"/>
      <c r="L21" s="2">
        <f t="shared" si="6"/>
        <v>0</v>
      </c>
      <c r="M21" s="2"/>
      <c r="N21" s="19">
        <f t="shared" si="7"/>
        <v>0</v>
      </c>
      <c r="O21" s="11"/>
      <c r="P21" s="2">
        <v>0</v>
      </c>
      <c r="Q21" s="2"/>
      <c r="R21" s="19">
        <f t="shared" si="8"/>
        <v>0</v>
      </c>
      <c r="S21" s="2"/>
      <c r="T21" s="2"/>
      <c r="U21" s="2"/>
      <c r="V21" s="19">
        <f t="shared" si="9"/>
        <v>0</v>
      </c>
      <c r="W21" s="2"/>
      <c r="X21" s="2">
        <f t="shared" si="10"/>
        <v>0</v>
      </c>
      <c r="Y21" s="2"/>
      <c r="Z21" s="19">
        <f t="shared" si="11"/>
        <v>0</v>
      </c>
    </row>
    <row r="22" spans="1:26" s="24" customFormat="1" hidden="1" outlineLevel="1" x14ac:dyDescent="0.3">
      <c r="A22" s="44"/>
      <c r="B22" s="11" t="str">
        <f>CONCATENATE("          ", "5082", " - ", "PURCHASES @ COST-COMPUTER HARD")</f>
        <v xml:space="preserve">          5082 - PURCHASES @ COST-COMPUTER HARD</v>
      </c>
      <c r="C22" s="11"/>
      <c r="D22" s="2">
        <v>-3384.72</v>
      </c>
      <c r="E22" s="2"/>
      <c r="F22" s="19">
        <f t="shared" si="4"/>
        <v>-3.6580589436078427E-2</v>
      </c>
      <c r="G22" s="2"/>
      <c r="H22" s="2"/>
      <c r="I22" s="2"/>
      <c r="J22" s="19">
        <f t="shared" si="5"/>
        <v>0</v>
      </c>
      <c r="K22" s="2"/>
      <c r="L22" s="2">
        <f t="shared" si="6"/>
        <v>-3384.72</v>
      </c>
      <c r="M22" s="2"/>
      <c r="N22" s="19">
        <f t="shared" si="7"/>
        <v>0</v>
      </c>
      <c r="O22" s="11"/>
      <c r="P22" s="2">
        <v>-80709.45</v>
      </c>
      <c r="Q22" s="2"/>
      <c r="R22" s="19">
        <f t="shared" si="8"/>
        <v>-9.6877597316466266E-2</v>
      </c>
      <c r="S22" s="2"/>
      <c r="T22" s="2"/>
      <c r="U22" s="2"/>
      <c r="V22" s="19">
        <f t="shared" si="9"/>
        <v>0</v>
      </c>
      <c r="W22" s="2"/>
      <c r="X22" s="2">
        <f t="shared" si="10"/>
        <v>-80709.45</v>
      </c>
      <c r="Y22" s="2"/>
      <c r="Z22" s="19">
        <f t="shared" si="11"/>
        <v>0</v>
      </c>
    </row>
    <row r="23" spans="1:26" s="24" customFormat="1" hidden="1" outlineLevel="1" x14ac:dyDescent="0.3">
      <c r="A23" s="44"/>
      <c r="B23" s="11" t="str">
        <f>CONCATENATE("          ", "5083", " - ", "PURCHASES @ COST-COMPUTER EQUI")</f>
        <v xml:space="preserve">          5083 - PURCHASES @ COST-COMPUTER EQUI</v>
      </c>
      <c r="C23" s="11"/>
      <c r="D23" s="2"/>
      <c r="E23" s="2"/>
      <c r="F23" s="19">
        <f t="shared" si="4"/>
        <v>0</v>
      </c>
      <c r="G23" s="2"/>
      <c r="H23" s="2"/>
      <c r="I23" s="2"/>
      <c r="J23" s="19">
        <f t="shared" si="5"/>
        <v>0</v>
      </c>
      <c r="K23" s="2"/>
      <c r="L23" s="2">
        <f t="shared" si="6"/>
        <v>0</v>
      </c>
      <c r="M23" s="2"/>
      <c r="N23" s="19">
        <f t="shared" si="7"/>
        <v>0</v>
      </c>
      <c r="O23" s="11"/>
      <c r="P23" s="2">
        <v>0</v>
      </c>
      <c r="Q23" s="2"/>
      <c r="R23" s="19">
        <f t="shared" si="8"/>
        <v>0</v>
      </c>
      <c r="S23" s="2"/>
      <c r="T23" s="2"/>
      <c r="U23" s="2"/>
      <c r="V23" s="19">
        <f t="shared" si="9"/>
        <v>0</v>
      </c>
      <c r="W23" s="2"/>
      <c r="X23" s="2">
        <f t="shared" si="10"/>
        <v>0</v>
      </c>
      <c r="Y23" s="2"/>
      <c r="Z23" s="19">
        <f t="shared" si="11"/>
        <v>0</v>
      </c>
    </row>
    <row r="24" spans="1:26" s="24" customFormat="1" hidden="1" outlineLevel="1" x14ac:dyDescent="0.3">
      <c r="A24" s="44"/>
      <c r="B24" s="11" t="str">
        <f>CONCATENATE("          ", "5085", " - ", "PURCHASES @ COST-SOFTWARE")</f>
        <v xml:space="preserve">          5085 - PURCHASES @ COST-SOFTWARE</v>
      </c>
      <c r="C24" s="11"/>
      <c r="D24" s="2"/>
      <c r="E24" s="2"/>
      <c r="F24" s="19">
        <f t="shared" si="4"/>
        <v>0</v>
      </c>
      <c r="G24" s="2"/>
      <c r="H24" s="2"/>
      <c r="I24" s="2"/>
      <c r="J24" s="19">
        <f t="shared" si="5"/>
        <v>0</v>
      </c>
      <c r="K24" s="2"/>
      <c r="L24" s="2">
        <f t="shared" si="6"/>
        <v>0</v>
      </c>
      <c r="M24" s="2"/>
      <c r="N24" s="19">
        <f t="shared" si="7"/>
        <v>0</v>
      </c>
      <c r="O24" s="11"/>
      <c r="P24" s="2">
        <v>0</v>
      </c>
      <c r="Q24" s="2"/>
      <c r="R24" s="19">
        <f t="shared" si="8"/>
        <v>0</v>
      </c>
      <c r="S24" s="2"/>
      <c r="T24" s="2"/>
      <c r="U24" s="2"/>
      <c r="V24" s="19">
        <f t="shared" si="9"/>
        <v>0</v>
      </c>
      <c r="W24" s="2"/>
      <c r="X24" s="2">
        <f t="shared" si="10"/>
        <v>0</v>
      </c>
      <c r="Y24" s="2"/>
      <c r="Z24" s="19">
        <f t="shared" si="11"/>
        <v>0</v>
      </c>
    </row>
    <row r="25" spans="1:26" s="24" customFormat="1" hidden="1" outlineLevel="1" x14ac:dyDescent="0.3">
      <c r="A25" s="44"/>
      <c r="B25" s="11" t="str">
        <f>CONCATENATE("          ", "5086", " - ", "PURCHASES @ COST-COMPUTER SUPP")</f>
        <v xml:space="preserve">          5086 - PURCHASES @ COST-COMPUTER SUPP</v>
      </c>
      <c r="C25" s="11"/>
      <c r="D25" s="2"/>
      <c r="E25" s="2"/>
      <c r="F25" s="19">
        <f t="shared" si="4"/>
        <v>0</v>
      </c>
      <c r="G25" s="2"/>
      <c r="H25" s="2"/>
      <c r="I25" s="2"/>
      <c r="J25" s="19">
        <f t="shared" si="5"/>
        <v>0</v>
      </c>
      <c r="K25" s="2"/>
      <c r="L25" s="2">
        <f t="shared" si="6"/>
        <v>0</v>
      </c>
      <c r="M25" s="2"/>
      <c r="N25" s="19">
        <f t="shared" si="7"/>
        <v>0</v>
      </c>
      <c r="O25" s="11"/>
      <c r="P25" s="2">
        <v>0</v>
      </c>
      <c r="Q25" s="2"/>
      <c r="R25" s="19">
        <f t="shared" si="8"/>
        <v>0</v>
      </c>
      <c r="S25" s="2"/>
      <c r="T25" s="2"/>
      <c r="U25" s="2"/>
      <c r="V25" s="19">
        <f t="shared" si="9"/>
        <v>0</v>
      </c>
      <c r="W25" s="2"/>
      <c r="X25" s="2">
        <f t="shared" si="10"/>
        <v>0</v>
      </c>
      <c r="Y25" s="2"/>
      <c r="Z25" s="19">
        <f t="shared" si="11"/>
        <v>0</v>
      </c>
    </row>
    <row r="26" spans="1:26" s="24" customFormat="1" hidden="1" outlineLevel="1" x14ac:dyDescent="0.3">
      <c r="A26" s="44"/>
      <c r="B26" s="11" t="str">
        <f>CONCATENATE("          ", "5200", " - ", "PURCHASES OFFSET")</f>
        <v xml:space="preserve">          5200 - PURCHASES OFFSET</v>
      </c>
      <c r="C26" s="11"/>
      <c r="D26" s="2">
        <v>-56710.32</v>
      </c>
      <c r="E26" s="2"/>
      <c r="F26" s="19">
        <f t="shared" si="4"/>
        <v>-0.61290060409978586</v>
      </c>
      <c r="G26" s="2"/>
      <c r="H26" s="2"/>
      <c r="I26" s="2"/>
      <c r="J26" s="19">
        <f t="shared" si="5"/>
        <v>0</v>
      </c>
      <c r="K26" s="2"/>
      <c r="L26" s="2">
        <f t="shared" si="6"/>
        <v>-56710.32</v>
      </c>
      <c r="M26" s="2"/>
      <c r="N26" s="19">
        <f t="shared" si="7"/>
        <v>0</v>
      </c>
      <c r="O26" s="11"/>
      <c r="P26" s="2">
        <v>-743606.7</v>
      </c>
      <c r="Q26" s="2"/>
      <c r="R26" s="19">
        <f t="shared" si="8"/>
        <v>-0.89256995859129673</v>
      </c>
      <c r="S26" s="2"/>
      <c r="T26" s="2"/>
      <c r="U26" s="2"/>
      <c r="V26" s="19">
        <f t="shared" si="9"/>
        <v>0</v>
      </c>
      <c r="W26" s="2"/>
      <c r="X26" s="2">
        <f t="shared" si="10"/>
        <v>-743606.7</v>
      </c>
      <c r="Y26" s="2"/>
      <c r="Z26" s="19">
        <f t="shared" si="11"/>
        <v>0</v>
      </c>
    </row>
    <row r="27" spans="1:26" s="24" customFormat="1" hidden="1" outlineLevel="1" x14ac:dyDescent="0.3">
      <c r="A27" s="44"/>
      <c r="B27" s="11" t="str">
        <f>CONCATENATE("          ", "5300", " - ", "COG$ OFFSET")</f>
        <v xml:space="preserve">          5300 - COG$ OFFSET</v>
      </c>
      <c r="C27" s="11"/>
      <c r="D27" s="2">
        <v>86310.11</v>
      </c>
      <c r="E27" s="2"/>
      <c r="F27" s="19">
        <f t="shared" si="4"/>
        <v>0.93280232872815694</v>
      </c>
      <c r="G27" s="2"/>
      <c r="H27" s="2"/>
      <c r="I27" s="2"/>
      <c r="J27" s="19">
        <f t="shared" si="5"/>
        <v>0</v>
      </c>
      <c r="K27" s="2"/>
      <c r="L27" s="2">
        <f t="shared" si="6"/>
        <v>86310.11</v>
      </c>
      <c r="M27" s="2"/>
      <c r="N27" s="19">
        <f t="shared" si="7"/>
        <v>0</v>
      </c>
      <c r="O27" s="11"/>
      <c r="P27" s="2">
        <v>783369.18</v>
      </c>
      <c r="Q27" s="2"/>
      <c r="R27" s="19">
        <f t="shared" si="8"/>
        <v>0.94029787057364889</v>
      </c>
      <c r="S27" s="2"/>
      <c r="T27" s="2"/>
      <c r="U27" s="2"/>
      <c r="V27" s="19">
        <f t="shared" si="9"/>
        <v>0</v>
      </c>
      <c r="W27" s="2"/>
      <c r="X27" s="2">
        <f t="shared" si="10"/>
        <v>783369.18</v>
      </c>
      <c r="Y27" s="2"/>
      <c r="Z27" s="19">
        <f t="shared" si="11"/>
        <v>0</v>
      </c>
    </row>
    <row r="28" spans="1:26" s="24" customFormat="1" hidden="1" outlineLevel="1" x14ac:dyDescent="0.3">
      <c r="A28" s="44"/>
      <c r="B28" s="11" t="str">
        <f>CONCATENATE("          ", "5500", " - ", "FREIGHT-IN")</f>
        <v xml:space="preserve">          5500 - FREIGHT-IN</v>
      </c>
      <c r="C28" s="11"/>
      <c r="D28" s="2"/>
      <c r="E28" s="2"/>
      <c r="F28" s="19">
        <f t="shared" si="4"/>
        <v>0</v>
      </c>
      <c r="G28" s="2"/>
      <c r="H28" s="2"/>
      <c r="I28" s="2"/>
      <c r="J28" s="19">
        <f t="shared" si="5"/>
        <v>0</v>
      </c>
      <c r="K28" s="2"/>
      <c r="L28" s="2">
        <f t="shared" si="6"/>
        <v>0</v>
      </c>
      <c r="M28" s="2"/>
      <c r="N28" s="19">
        <f t="shared" si="7"/>
        <v>0</v>
      </c>
      <c r="O28" s="11"/>
      <c r="P28" s="2">
        <v>44.19</v>
      </c>
      <c r="Q28" s="2"/>
      <c r="R28" s="19">
        <f t="shared" si="8"/>
        <v>5.3042376393528194E-5</v>
      </c>
      <c r="S28" s="2"/>
      <c r="T28" s="2"/>
      <c r="U28" s="2"/>
      <c r="V28" s="19">
        <f t="shared" si="9"/>
        <v>0</v>
      </c>
      <c r="W28" s="2"/>
      <c r="X28" s="2">
        <f t="shared" si="10"/>
        <v>44.19</v>
      </c>
      <c r="Y28" s="2"/>
      <c r="Z28" s="19">
        <f t="shared" si="11"/>
        <v>0</v>
      </c>
    </row>
    <row r="29" spans="1:26" s="24" customFormat="1" hidden="1" outlineLevel="1" x14ac:dyDescent="0.3">
      <c r="A29" s="44"/>
      <c r="B29" s="11" t="str">
        <f>CONCATENATE("          ", "5583", " - ", "FREIGHT-IN-COMPUTER EQUIPMENT")</f>
        <v xml:space="preserve">          5583 - FREIGHT-IN-COMPUTER EQUIPMENT</v>
      </c>
      <c r="C29" s="11"/>
      <c r="D29" s="2"/>
      <c r="E29" s="2"/>
      <c r="F29" s="19">
        <f t="shared" si="4"/>
        <v>0</v>
      </c>
      <c r="G29" s="2"/>
      <c r="H29" s="2"/>
      <c r="I29" s="2"/>
      <c r="J29" s="19">
        <f t="shared" si="5"/>
        <v>0</v>
      </c>
      <c r="K29" s="2"/>
      <c r="L29" s="2">
        <f t="shared" si="6"/>
        <v>0</v>
      </c>
      <c r="M29" s="2"/>
      <c r="N29" s="19">
        <f t="shared" si="7"/>
        <v>0</v>
      </c>
      <c r="O29" s="11"/>
      <c r="P29" s="2">
        <v>0</v>
      </c>
      <c r="Q29" s="2"/>
      <c r="R29" s="19">
        <f t="shared" si="8"/>
        <v>0</v>
      </c>
      <c r="S29" s="2"/>
      <c r="T29" s="2"/>
      <c r="U29" s="2"/>
      <c r="V29" s="19">
        <f t="shared" si="9"/>
        <v>0</v>
      </c>
      <c r="W29" s="2"/>
      <c r="X29" s="2">
        <f t="shared" si="10"/>
        <v>0</v>
      </c>
      <c r="Y29" s="2"/>
      <c r="Z29" s="19">
        <f t="shared" si="11"/>
        <v>0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3">
      <c r="A31" s="10"/>
      <c r="B31" s="26" t="s">
        <v>108</v>
      </c>
      <c r="C31" s="26"/>
      <c r="D31" s="20">
        <f>D12-D19</f>
        <v>9602.3699999999953</v>
      </c>
      <c r="E31" s="13"/>
      <c r="F31" s="22">
        <f>IF(D$12=0,0,D31/D$12)</f>
        <v>0.10377826070792155</v>
      </c>
      <c r="G31" s="13"/>
      <c r="H31" s="20">
        <f>H12-H19</f>
        <v>12638</v>
      </c>
      <c r="I31" s="13"/>
      <c r="J31" s="22">
        <f>IF(H$12=0,0,H31/H$12)</f>
        <v>0.1050016616816218</v>
      </c>
      <c r="K31" s="15"/>
      <c r="L31" s="20">
        <f>+D31-H31</f>
        <v>-3035.6300000000047</v>
      </c>
      <c r="M31" s="15"/>
      <c r="N31" s="22">
        <f>IF(H31=0,0,L31/H31)</f>
        <v>-0.24019860737458495</v>
      </c>
      <c r="O31" s="25"/>
      <c r="P31" s="20">
        <f>P12-P19</f>
        <v>130447.73999999987</v>
      </c>
      <c r="Q31" s="13"/>
      <c r="R31" s="22">
        <f>IF(P$12=0,0,P31/P$12)</f>
        <v>0.15657972674281731</v>
      </c>
      <c r="S31" s="13"/>
      <c r="T31" s="20">
        <f>T12-T19</f>
        <v>118039</v>
      </c>
      <c r="U31" s="13"/>
      <c r="V31" s="22">
        <f>IF(T$12=0,0,T31/T$12)</f>
        <v>0.10500148999479614</v>
      </c>
      <c r="W31" s="15"/>
      <c r="X31" s="20">
        <f>+P31-T31</f>
        <v>12408.739999999874</v>
      </c>
      <c r="Y31" s="15"/>
      <c r="Z31" s="22">
        <f>IF(T31=0,0,X31/T31)</f>
        <v>0.10512406916358047</v>
      </c>
    </row>
    <row r="32" spans="1:26" x14ac:dyDescent="0.3">
      <c r="A32" s="9"/>
      <c r="B32" s="10"/>
      <c r="C32" s="9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6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x14ac:dyDescent="0.3">
      <c r="A33" s="10"/>
      <c r="B33" s="25" t="s">
        <v>295</v>
      </c>
      <c r="C33" s="10"/>
      <c r="D33" s="21">
        <f>SUM(OSRRefD22x_0)</f>
        <v>12756.37</v>
      </c>
      <c r="E33" s="21"/>
      <c r="F33" s="30">
        <f t="shared" ref="F33:F44" si="12">IF(D$12=0,0,D33/D$12)</f>
        <v>0.13786532819988295</v>
      </c>
      <c r="G33" s="21"/>
      <c r="H33" s="21">
        <f>SUM(OSRRefH22x_0)</f>
        <v>13594.64258487</v>
      </c>
      <c r="I33" s="21"/>
      <c r="J33" s="30">
        <f t="shared" ref="J33:J44" si="13">IF(H$12=0,0,H33/H$12)</f>
        <v>0.11294983869117647</v>
      </c>
      <c r="K33" s="4"/>
      <c r="L33" s="21">
        <f t="shared" ref="L33:L44" si="14">+D33-H33</f>
        <v>-838.27258486999926</v>
      </c>
      <c r="M33" s="4"/>
      <c r="N33" s="30">
        <f t="shared" ref="N33:N44" si="15">IF(H33=0,0,L33/H33)</f>
        <v>-6.1661980418885383E-2</v>
      </c>
      <c r="O33" s="10"/>
      <c r="P33" s="21">
        <f>SUM(OSRRefP22x_0)</f>
        <v>71781.51999999999</v>
      </c>
      <c r="Q33" s="21"/>
      <c r="R33" s="30">
        <f t="shared" ref="R33:R44" si="16">IF(P$12=0,0,P33/P$12)</f>
        <v>8.6161176780709933E-2</v>
      </c>
      <c r="S33" s="21"/>
      <c r="T33" s="21">
        <f>SUM(OSRRefT22x_0)</f>
        <v>80904.498396784998</v>
      </c>
      <c r="U33" s="21"/>
      <c r="V33" s="30">
        <f t="shared" ref="V33:V44" si="17">IF(T$12=0,0,T33/T$12)</f>
        <v>7.1968526325570534E-2</v>
      </c>
      <c r="W33" s="4"/>
      <c r="X33" s="21">
        <f t="shared" ref="X33:X44" si="18">+P33-T33</f>
        <v>-9122.978396785009</v>
      </c>
      <c r="Y33" s="4"/>
      <c r="Z33" s="30">
        <f t="shared" ref="Z33:Z44" si="19">IF(T33=0,0,X33/T33)</f>
        <v>-0.11276231331467645</v>
      </c>
    </row>
    <row r="34" spans="1:26" s="29" customFormat="1" outlineLevel="1" collapsed="1" x14ac:dyDescent="0.3">
      <c r="A34" s="28"/>
      <c r="B34" s="14" t="str">
        <f>CONCATENATE("     ","*Benefits                                         ")</f>
        <v xml:space="preserve">     *Benefits                                         </v>
      </c>
      <c r="C34" s="14"/>
      <c r="D34" s="1">
        <f>SUM(OSRRefD22_0x_0)</f>
        <v>2357.9199999999996</v>
      </c>
      <c r="E34" s="1"/>
      <c r="F34" s="5">
        <f t="shared" si="12"/>
        <v>2.5483379258289619E-2</v>
      </c>
      <c r="G34" s="1"/>
      <c r="H34" s="1">
        <f>SUM(OSRRefH22_0x_0)</f>
        <v>2541.0920348700001</v>
      </c>
      <c r="I34" s="1"/>
      <c r="J34" s="5">
        <f t="shared" si="13"/>
        <v>2.1112429668245267E-2</v>
      </c>
      <c r="K34" s="1"/>
      <c r="L34" s="1">
        <f t="shared" si="14"/>
        <v>-183.17203487000052</v>
      </c>
      <c r="M34" s="1"/>
      <c r="N34" s="5">
        <f t="shared" si="15"/>
        <v>-7.2083982931917465E-2</v>
      </c>
      <c r="O34" s="14"/>
      <c r="P34" s="1">
        <f>SUM(OSRRefP22_0x_0)</f>
        <v>8923.5300000000007</v>
      </c>
      <c r="Q34" s="1"/>
      <c r="R34" s="5">
        <f t="shared" si="16"/>
        <v>1.0711139104298273E-2</v>
      </c>
      <c r="S34" s="1"/>
      <c r="T34" s="1">
        <f>SUM(OSRRefT22_0x_0)</f>
        <v>14577.970371785001</v>
      </c>
      <c r="U34" s="1"/>
      <c r="V34" s="5">
        <f t="shared" si="17"/>
        <v>1.2967820890870113E-2</v>
      </c>
      <c r="W34" s="1"/>
      <c r="X34" s="1">
        <f t="shared" si="18"/>
        <v>-5654.440371785</v>
      </c>
      <c r="Y34" s="1"/>
      <c r="Z34" s="5">
        <f t="shared" si="19"/>
        <v>-0.38787569377482839</v>
      </c>
    </row>
    <row r="35" spans="1:26" s="24" customFormat="1" hidden="1" outlineLevel="2" x14ac:dyDescent="0.3">
      <c r="A35" s="27"/>
      <c r="B35" s="11" t="str">
        <f>CONCATENATE("          ", "6111", " - ", "F.I.C.A.")</f>
        <v xml:space="preserve">          6111 - F.I.C.A.</v>
      </c>
      <c r="C35" s="11"/>
      <c r="D35" s="6">
        <v>475.62</v>
      </c>
      <c r="E35" s="2"/>
      <c r="F35" s="7">
        <f t="shared" si="12"/>
        <v>5.1402951935721778E-3</v>
      </c>
      <c r="G35" s="2"/>
      <c r="H35" s="6">
        <v>457.37151956999998</v>
      </c>
      <c r="I35" s="2"/>
      <c r="J35" s="7">
        <f t="shared" si="13"/>
        <v>3.8000292420239281E-3</v>
      </c>
      <c r="K35" s="2"/>
      <c r="L35" s="6">
        <f t="shared" si="14"/>
        <v>18.248480430000029</v>
      </c>
      <c r="M35" s="2"/>
      <c r="N35" s="7">
        <f t="shared" si="15"/>
        <v>3.9898593701585147E-2</v>
      </c>
      <c r="O35" s="11"/>
      <c r="P35" s="6">
        <v>2809.64</v>
      </c>
      <c r="Q35" s="2"/>
      <c r="R35" s="7">
        <f t="shared" si="16"/>
        <v>3.3724820640487116E-3</v>
      </c>
      <c r="S35" s="2"/>
      <c r="T35" s="6">
        <v>3294.3126376350001</v>
      </c>
      <c r="U35" s="2"/>
      <c r="V35" s="7">
        <f t="shared" si="17"/>
        <v>2.9304529474187507E-3</v>
      </c>
      <c r="W35" s="2"/>
      <c r="X35" s="6">
        <f t="shared" si="18"/>
        <v>-484.67263763500023</v>
      </c>
      <c r="Y35" s="2"/>
      <c r="Z35" s="7">
        <f t="shared" si="19"/>
        <v>-0.14712405619854849</v>
      </c>
    </row>
    <row r="36" spans="1:26" s="24" customFormat="1" hidden="1" outlineLevel="2" x14ac:dyDescent="0.3">
      <c r="A36" s="27"/>
      <c r="B36" s="11" t="str">
        <f>CONCATENATE("          ", "6112", " - ", "COMPENSATION INSURANCE")</f>
        <v xml:space="preserve">          6112 - COMPENSATION INSURANCE</v>
      </c>
      <c r="C36" s="11"/>
      <c r="D36" s="6">
        <v>124.44</v>
      </c>
      <c r="E36" s="2"/>
      <c r="F36" s="7">
        <f t="shared" si="12"/>
        <v>1.3448936837982461E-3</v>
      </c>
      <c r="G36" s="2"/>
      <c r="H36" s="6">
        <v>153.22895639999999</v>
      </c>
      <c r="I36" s="2"/>
      <c r="J36" s="7">
        <f t="shared" si="13"/>
        <v>1.2730887038883349E-3</v>
      </c>
      <c r="K36" s="2"/>
      <c r="L36" s="6">
        <f t="shared" si="14"/>
        <v>-28.788956399999989</v>
      </c>
      <c r="M36" s="2"/>
      <c r="N36" s="7">
        <f t="shared" si="15"/>
        <v>-0.18788195832155385</v>
      </c>
      <c r="O36" s="11"/>
      <c r="P36" s="6">
        <v>734.4</v>
      </c>
      <c r="Q36" s="2"/>
      <c r="R36" s="7">
        <f t="shared" si="16"/>
        <v>8.8151892336291258E-4</v>
      </c>
      <c r="S36" s="2"/>
      <c r="T36" s="6">
        <v>896.3764602</v>
      </c>
      <c r="U36" s="2"/>
      <c r="V36" s="7">
        <f t="shared" si="17"/>
        <v>7.9737090213625225E-4</v>
      </c>
      <c r="W36" s="2"/>
      <c r="X36" s="6">
        <f t="shared" si="18"/>
        <v>-161.97646020000002</v>
      </c>
      <c r="Y36" s="2"/>
      <c r="Z36" s="7">
        <f t="shared" si="19"/>
        <v>-0.18070137647731149</v>
      </c>
    </row>
    <row r="37" spans="1:26" s="24" customFormat="1" hidden="1" outlineLevel="2" x14ac:dyDescent="0.3">
      <c r="A37" s="27"/>
      <c r="B37" s="11" t="str">
        <f>CONCATENATE("          ", "6113", " - ", "GROUP INSURANCE")</f>
        <v xml:space="preserve">          6113 - GROUP INSURANCE</v>
      </c>
      <c r="C37" s="11"/>
      <c r="D37" s="6">
        <v>853.84</v>
      </c>
      <c r="E37" s="2"/>
      <c r="F37" s="7">
        <f t="shared" si="12"/>
        <v>9.2279333250907623E-3</v>
      </c>
      <c r="G37" s="2"/>
      <c r="H37" s="6">
        <v>943.5</v>
      </c>
      <c r="I37" s="2"/>
      <c r="J37" s="7">
        <f t="shared" si="13"/>
        <v>7.8389830508474572E-3</v>
      </c>
      <c r="K37" s="2"/>
      <c r="L37" s="6">
        <f t="shared" si="14"/>
        <v>-89.659999999999968</v>
      </c>
      <c r="M37" s="2"/>
      <c r="N37" s="7">
        <f t="shared" si="15"/>
        <v>-9.5029146793852645E-2</v>
      </c>
      <c r="O37" s="11"/>
      <c r="P37" s="6">
        <v>2896.57</v>
      </c>
      <c r="Q37" s="2"/>
      <c r="R37" s="7">
        <f t="shared" si="16"/>
        <v>3.4768263451052722E-3</v>
      </c>
      <c r="S37" s="2"/>
      <c r="T37" s="6">
        <v>5023.5</v>
      </c>
      <c r="U37" s="2"/>
      <c r="V37" s="7">
        <f t="shared" si="17"/>
        <v>4.4686500647146991E-3</v>
      </c>
      <c r="W37" s="2"/>
      <c r="X37" s="6">
        <f t="shared" si="18"/>
        <v>-2126.9299999999998</v>
      </c>
      <c r="Y37" s="2"/>
      <c r="Z37" s="7">
        <f t="shared" si="19"/>
        <v>-0.42339603861849306</v>
      </c>
    </row>
    <row r="38" spans="1:26" s="24" customFormat="1" hidden="1" outlineLevel="2" x14ac:dyDescent="0.3">
      <c r="A38" s="27"/>
      <c r="B38" s="11" t="str">
        <f>CONCATENATE("          ", "6114", " - ", "STATE UNEMPLOYMENT INSURANCE")</f>
        <v xml:space="preserve">          6114 - STATE UNEMPLOYMENT INSURANCE</v>
      </c>
      <c r="C38" s="11"/>
      <c r="D38" s="6">
        <v>21.86</v>
      </c>
      <c r="E38" s="2"/>
      <c r="F38" s="7">
        <f t="shared" si="12"/>
        <v>2.3625342275658678E-4</v>
      </c>
      <c r="G38" s="2"/>
      <c r="H38" s="6">
        <v>20.6269749</v>
      </c>
      <c r="I38" s="2"/>
      <c r="J38" s="7">
        <f t="shared" si="13"/>
        <v>1.7137732552342973E-4</v>
      </c>
      <c r="K38" s="2"/>
      <c r="L38" s="6">
        <f t="shared" si="14"/>
        <v>1.233025099999999</v>
      </c>
      <c r="M38" s="2"/>
      <c r="N38" s="7">
        <f t="shared" si="15"/>
        <v>5.9777311310928047E-2</v>
      </c>
      <c r="O38" s="11"/>
      <c r="P38" s="6">
        <v>129.02000000000001</v>
      </c>
      <c r="Q38" s="2"/>
      <c r="R38" s="7">
        <f t="shared" si="16"/>
        <v>1.5486597425419798E-4</v>
      </c>
      <c r="S38" s="2"/>
      <c r="T38" s="6">
        <v>120.66606195</v>
      </c>
      <c r="U38" s="2"/>
      <c r="V38" s="7">
        <f t="shared" si="17"/>
        <v>1.073383906721878E-4</v>
      </c>
      <c r="W38" s="2"/>
      <c r="X38" s="6">
        <f t="shared" si="18"/>
        <v>8.3539380500000107</v>
      </c>
      <c r="Y38" s="2"/>
      <c r="Z38" s="7">
        <f t="shared" si="19"/>
        <v>6.9231877754174193E-2</v>
      </c>
    </row>
    <row r="39" spans="1:26" s="24" customFormat="1" hidden="1" outlineLevel="2" x14ac:dyDescent="0.3">
      <c r="A39" s="27"/>
      <c r="B39" s="11" t="str">
        <f>CONCATENATE("          ", "6115", " - ", "P.E.R.S.")</f>
        <v xml:space="preserve">          6115 - P.E.R.S.</v>
      </c>
      <c r="C39" s="11"/>
      <c r="D39" s="6">
        <v>103.22</v>
      </c>
      <c r="E39" s="2"/>
      <c r="F39" s="7">
        <f t="shared" si="12"/>
        <v>1.1155571041598759E-3</v>
      </c>
      <c r="G39" s="2"/>
      <c r="H39" s="6">
        <v>202.166134</v>
      </c>
      <c r="I39" s="2"/>
      <c r="J39" s="7">
        <f t="shared" si="13"/>
        <v>1.6796787470920573E-3</v>
      </c>
      <c r="K39" s="2"/>
      <c r="L39" s="6">
        <f t="shared" si="14"/>
        <v>-98.946134000000001</v>
      </c>
      <c r="M39" s="2"/>
      <c r="N39" s="7">
        <f t="shared" si="15"/>
        <v>-0.48942981716215633</v>
      </c>
      <c r="O39" s="11"/>
      <c r="P39" s="6">
        <v>584.5</v>
      </c>
      <c r="Q39" s="2"/>
      <c r="R39" s="7">
        <f t="shared" si="16"/>
        <v>7.0159015618957298E-4</v>
      </c>
      <c r="S39" s="2"/>
      <c r="T39" s="6">
        <v>1111.9137370000001</v>
      </c>
      <c r="U39" s="2"/>
      <c r="V39" s="7">
        <f t="shared" si="17"/>
        <v>9.8910189963217154E-4</v>
      </c>
      <c r="W39" s="2"/>
      <c r="X39" s="6">
        <f t="shared" si="18"/>
        <v>-527.41373700000008</v>
      </c>
      <c r="Y39" s="2"/>
      <c r="Z39" s="7">
        <f t="shared" si="19"/>
        <v>-0.47432972491462261</v>
      </c>
    </row>
    <row r="40" spans="1:26" s="24" customFormat="1" hidden="1" outlineLevel="2" x14ac:dyDescent="0.3">
      <c r="A40" s="27"/>
      <c r="B40" s="11" t="str">
        <f>CONCATENATE("          ", "6116", " - ", "EDUCATIONAL BENEFITS")</f>
        <v xml:space="preserve">          6116 - EDUCATIONAL BENEFITS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4" customFormat="1" hidden="1" outlineLevel="2" x14ac:dyDescent="0.3">
      <c r="A41" s="27"/>
      <c r="B41" s="11" t="str">
        <f>CONCATENATE("          ", "6117", " - ", "RETIREMENT STAFF HOURLY")</f>
        <v xml:space="preserve">          6117 - RETIREMENT STAFF HOURLY</v>
      </c>
      <c r="C41" s="11"/>
      <c r="D41" s="6">
        <v>120</v>
      </c>
      <c r="E41" s="2"/>
      <c r="F41" s="7">
        <f t="shared" si="12"/>
        <v>1.2969080846656183E-3</v>
      </c>
      <c r="G41" s="2"/>
      <c r="H41" s="6"/>
      <c r="I41" s="2"/>
      <c r="J41" s="7">
        <f t="shared" si="13"/>
        <v>0</v>
      </c>
      <c r="K41" s="2"/>
      <c r="L41" s="6">
        <f t="shared" si="14"/>
        <v>120</v>
      </c>
      <c r="M41" s="2"/>
      <c r="N41" s="7">
        <f t="shared" si="15"/>
        <v>0</v>
      </c>
      <c r="O41" s="11"/>
      <c r="P41" s="6">
        <v>-537.34</v>
      </c>
      <c r="Q41" s="2"/>
      <c r="R41" s="7">
        <f t="shared" si="16"/>
        <v>-6.4498281356185666E-4</v>
      </c>
      <c r="S41" s="2"/>
      <c r="T41" s="6"/>
      <c r="U41" s="2"/>
      <c r="V41" s="7">
        <f t="shared" si="17"/>
        <v>0</v>
      </c>
      <c r="W41" s="2"/>
      <c r="X41" s="6">
        <f t="shared" si="18"/>
        <v>-537.34</v>
      </c>
      <c r="Y41" s="2"/>
      <c r="Z41" s="7">
        <f t="shared" si="19"/>
        <v>0</v>
      </c>
    </row>
    <row r="42" spans="1:26" s="24" customFormat="1" hidden="1" outlineLevel="2" x14ac:dyDescent="0.3">
      <c r="A42" s="27"/>
      <c r="B42" s="11" t="str">
        <f>CONCATENATE("          ", "6118", " - ", "VACATION")</f>
        <v xml:space="preserve">          6118 - VACATION</v>
      </c>
      <c r="C42" s="11"/>
      <c r="D42" s="6">
        <v>222.3</v>
      </c>
      <c r="E42" s="2"/>
      <c r="F42" s="7">
        <f t="shared" si="12"/>
        <v>2.402522226843058E-3</v>
      </c>
      <c r="G42" s="2"/>
      <c r="H42" s="6">
        <v>179.29106999999999</v>
      </c>
      <c r="I42" s="2"/>
      <c r="J42" s="7">
        <f t="shared" si="13"/>
        <v>1.4896233798604188E-3</v>
      </c>
      <c r="K42" s="2"/>
      <c r="L42" s="6">
        <f t="shared" si="14"/>
        <v>43.008930000000021</v>
      </c>
      <c r="M42" s="2"/>
      <c r="N42" s="7">
        <f t="shared" si="15"/>
        <v>0.23988328029945954</v>
      </c>
      <c r="O42" s="11"/>
      <c r="P42" s="6">
        <v>787.9</v>
      </c>
      <c r="Q42" s="2"/>
      <c r="R42" s="7">
        <f t="shared" si="16"/>
        <v>9.4573632859155617E-4</v>
      </c>
      <c r="S42" s="2"/>
      <c r="T42" s="6">
        <v>986.10088499999995</v>
      </c>
      <c r="U42" s="2"/>
      <c r="V42" s="7">
        <f t="shared" si="17"/>
        <v>8.7718518633830443E-4</v>
      </c>
      <c r="W42" s="2"/>
      <c r="X42" s="6">
        <f t="shared" si="18"/>
        <v>-198.20088499999997</v>
      </c>
      <c r="Y42" s="2"/>
      <c r="Z42" s="7">
        <f t="shared" si="19"/>
        <v>-0.20099453110215998</v>
      </c>
    </row>
    <row r="43" spans="1:26" s="24" customFormat="1" hidden="1" outlineLevel="2" x14ac:dyDescent="0.3">
      <c r="A43" s="27"/>
      <c r="B43" s="11" t="str">
        <f>CONCATENATE("          ", "6119", " - ", "SICK LEAVE")</f>
        <v xml:space="preserve">          6119 - SICK LEAVE</v>
      </c>
      <c r="C43" s="11"/>
      <c r="D43" s="6">
        <v>216.23</v>
      </c>
      <c r="E43" s="2"/>
      <c r="F43" s="7">
        <f t="shared" si="12"/>
        <v>2.336920292893722E-3</v>
      </c>
      <c r="G43" s="2"/>
      <c r="H43" s="6">
        <v>234.90737999999999</v>
      </c>
      <c r="I43" s="2"/>
      <c r="J43" s="7">
        <f t="shared" si="13"/>
        <v>1.9517063808574277E-3</v>
      </c>
      <c r="K43" s="2"/>
      <c r="L43" s="6">
        <f t="shared" si="14"/>
        <v>-18.677379999999999</v>
      </c>
      <c r="M43" s="2"/>
      <c r="N43" s="7">
        <f t="shared" si="15"/>
        <v>-7.9509549678686134E-2</v>
      </c>
      <c r="O43" s="11"/>
      <c r="P43" s="6">
        <v>830.68</v>
      </c>
      <c r="Q43" s="2"/>
      <c r="R43" s="7">
        <f t="shared" si="16"/>
        <v>9.9708624626784347E-4</v>
      </c>
      <c r="S43" s="2"/>
      <c r="T43" s="6">
        <v>1395.10059</v>
      </c>
      <c r="U43" s="2"/>
      <c r="V43" s="7">
        <f t="shared" si="17"/>
        <v>1.2410105189184862E-3</v>
      </c>
      <c r="W43" s="2"/>
      <c r="X43" s="6">
        <f t="shared" si="18"/>
        <v>-564.42059000000006</v>
      </c>
      <c r="Y43" s="2"/>
      <c r="Z43" s="7">
        <f t="shared" si="19"/>
        <v>-0.40457340068933673</v>
      </c>
    </row>
    <row r="44" spans="1:26" s="24" customFormat="1" hidden="1" outlineLevel="2" x14ac:dyDescent="0.3">
      <c r="A44" s="27"/>
      <c r="B44" s="11" t="str">
        <f>CONCATENATE("          ", "6156", " - ", "EMPLOYEE MEALS")</f>
        <v xml:space="preserve">          6156 - EMPLOYEE MEALS</v>
      </c>
      <c r="C44" s="11"/>
      <c r="D44" s="6">
        <v>220.41</v>
      </c>
      <c r="E44" s="2"/>
      <c r="F44" s="7">
        <f t="shared" si="12"/>
        <v>2.3820959245095742E-3</v>
      </c>
      <c r="G44" s="2"/>
      <c r="H44" s="6">
        <v>350</v>
      </c>
      <c r="I44" s="2"/>
      <c r="J44" s="7">
        <f t="shared" si="13"/>
        <v>2.9079428381522101E-3</v>
      </c>
      <c r="K44" s="2"/>
      <c r="L44" s="6">
        <f t="shared" si="14"/>
        <v>-129.59</v>
      </c>
      <c r="M44" s="2"/>
      <c r="N44" s="7">
        <f t="shared" si="15"/>
        <v>-0.37025714285714284</v>
      </c>
      <c r="O44" s="11"/>
      <c r="P44" s="6">
        <v>688.16</v>
      </c>
      <c r="Q44" s="2"/>
      <c r="R44" s="7">
        <f t="shared" si="16"/>
        <v>8.2601588004006256E-4</v>
      </c>
      <c r="S44" s="2"/>
      <c r="T44" s="6">
        <v>1750</v>
      </c>
      <c r="U44" s="2"/>
      <c r="V44" s="7">
        <f t="shared" si="17"/>
        <v>1.5567109810392602E-3</v>
      </c>
      <c r="W44" s="2"/>
      <c r="X44" s="6">
        <f t="shared" si="18"/>
        <v>-1061.8400000000001</v>
      </c>
      <c r="Y44" s="2"/>
      <c r="Z44" s="7">
        <f t="shared" si="19"/>
        <v>-0.60676571428571435</v>
      </c>
    </row>
    <row r="45" spans="1:26" s="29" customFormat="1" outlineLevel="1" collapsed="1" x14ac:dyDescent="0.3">
      <c r="A45" s="28"/>
      <c r="B45" s="14" t="str">
        <f>CONCATENATE("     ","*Payroll                                          ")</f>
        <v xml:space="preserve">     *Payroll                                          </v>
      </c>
      <c r="C45" s="14"/>
      <c r="D45" s="1">
        <f>SUM(OSRRefD22_1x_0)</f>
        <v>9218.130000000001</v>
      </c>
      <c r="E45" s="1"/>
      <c r="F45" s="5">
        <f t="shared" ref="F45:F55" si="20">IF(D$12=0,0,D45/D$12)</f>
        <v>9.9625561020822304E-2</v>
      </c>
      <c r="G45" s="1"/>
      <c r="H45" s="1">
        <f>SUM(OSRRefH22_1x_0)</f>
        <v>9523.5505499999999</v>
      </c>
      <c r="I45" s="1"/>
      <c r="J45" s="5">
        <f t="shared" ref="J45:J55" si="21">IF(H$12=0,0,H45/H$12)</f>
        <v>7.9125544616151539E-2</v>
      </c>
      <c r="K45" s="1"/>
      <c r="L45" s="1">
        <f t="shared" ref="L45:L55" si="22">+D45-H45</f>
        <v>-305.42054999999891</v>
      </c>
      <c r="M45" s="1"/>
      <c r="N45" s="5">
        <f t="shared" ref="N45:N55" si="23">IF(H45=0,0,L45/H45)</f>
        <v>-3.2070029806267886E-2</v>
      </c>
      <c r="O45" s="14"/>
      <c r="P45" s="1">
        <f>SUM(OSRRefP22_1x_0)</f>
        <v>51584.020000000004</v>
      </c>
      <c r="Q45" s="1"/>
      <c r="R45" s="5">
        <f t="shared" ref="R45:R55" si="24">IF(P$12=0,0,P45/P$12)</f>
        <v>6.1917605900232785E-2</v>
      </c>
      <c r="S45" s="1"/>
      <c r="T45" s="1">
        <f>SUM(OSRRefT22_1x_0)</f>
        <v>55816.528025</v>
      </c>
      <c r="U45" s="1"/>
      <c r="V45" s="5">
        <f t="shared" ref="V45:V55" si="25">IF(T$12=0,0,T45/T$12)</f>
        <v>4.9651544057144635E-2</v>
      </c>
      <c r="W45" s="1"/>
      <c r="X45" s="1">
        <f t="shared" ref="X45:X55" si="26">+P45-T45</f>
        <v>-4232.5080249999955</v>
      </c>
      <c r="Y45" s="1"/>
      <c r="Z45" s="5">
        <f t="shared" ref="Z45:Z55" si="27">IF(T45=0,0,X45/T45)</f>
        <v>-7.5828937677819591E-2</v>
      </c>
    </row>
    <row r="46" spans="1:26" s="24" customFormat="1" hidden="1" outlineLevel="2" x14ac:dyDescent="0.3">
      <c r="A46" s="27"/>
      <c r="B46" s="11" t="str">
        <f>CONCATENATE("          ", "6001", " - ", "ADMINISTRATIVE SALARIES")</f>
        <v xml:space="preserve">          6001 - ADMINISTRATIVE SALARIES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3">
      <c r="A47" s="27"/>
      <c r="B47" s="11" t="str">
        <f>CONCATENATE("          ", "6002", " - ", "STAFF SALARIES")</f>
        <v xml:space="preserve">          6002 - STAFF SALARIES</v>
      </c>
      <c r="C47" s="11"/>
      <c r="D47" s="6">
        <v>1156</v>
      </c>
      <c r="E47" s="2"/>
      <c r="F47" s="7">
        <f t="shared" si="20"/>
        <v>1.2493547882278789E-2</v>
      </c>
      <c r="G47" s="2"/>
      <c r="H47" s="6">
        <v>2233.2305500000002</v>
      </c>
      <c r="I47" s="2"/>
      <c r="J47" s="7">
        <f t="shared" si="21"/>
        <v>1.8554590810900634E-2</v>
      </c>
      <c r="K47" s="2"/>
      <c r="L47" s="6">
        <f t="shared" si="22"/>
        <v>-1077.2305500000002</v>
      </c>
      <c r="M47" s="2"/>
      <c r="N47" s="7">
        <f t="shared" si="23"/>
        <v>-0.48236423686752811</v>
      </c>
      <c r="O47" s="11"/>
      <c r="P47" s="6">
        <v>10192.94</v>
      </c>
      <c r="Q47" s="2"/>
      <c r="R47" s="7">
        <f t="shared" si="24"/>
        <v>1.2234844083200936E-2</v>
      </c>
      <c r="S47" s="2"/>
      <c r="T47" s="6">
        <v>12282.768024999999</v>
      </c>
      <c r="U47" s="2"/>
      <c r="V47" s="7">
        <f t="shared" si="25"/>
        <v>1.0926125635471661E-2</v>
      </c>
      <c r="W47" s="2"/>
      <c r="X47" s="6">
        <f t="shared" si="26"/>
        <v>-2089.8280249999989</v>
      </c>
      <c r="Y47" s="2"/>
      <c r="Z47" s="7">
        <f t="shared" si="27"/>
        <v>-0.17014308344392909</v>
      </c>
    </row>
    <row r="48" spans="1:26" s="24" customFormat="1" hidden="1" outlineLevel="2" x14ac:dyDescent="0.3">
      <c r="A48" s="27"/>
      <c r="B48" s="11" t="str">
        <f>CONCATENATE("          ", "6003", " - ", "STAFF HOURLY-9 MONTH")</f>
        <v xml:space="preserve">          6003 - STAFF HOURLY-9 MONTH</v>
      </c>
      <c r="C48" s="11"/>
      <c r="D48" s="6"/>
      <c r="E48" s="2"/>
      <c r="F48" s="7">
        <f t="shared" si="20"/>
        <v>0</v>
      </c>
      <c r="G48" s="2"/>
      <c r="H48" s="6">
        <v>0</v>
      </c>
      <c r="I48" s="2"/>
      <c r="J48" s="7">
        <f t="shared" si="21"/>
        <v>0</v>
      </c>
      <c r="K48" s="2"/>
      <c r="L48" s="6">
        <f t="shared" si="22"/>
        <v>0</v>
      </c>
      <c r="M48" s="2"/>
      <c r="N48" s="7">
        <f t="shared" si="23"/>
        <v>0</v>
      </c>
      <c r="O48" s="11"/>
      <c r="P48" s="6"/>
      <c r="Q48" s="2"/>
      <c r="R48" s="7">
        <f t="shared" si="24"/>
        <v>0</v>
      </c>
      <c r="S48" s="2"/>
      <c r="T48" s="6">
        <v>0</v>
      </c>
      <c r="U48" s="2"/>
      <c r="V48" s="7">
        <f t="shared" si="25"/>
        <v>0</v>
      </c>
      <c r="W48" s="2"/>
      <c r="X48" s="6">
        <f t="shared" si="26"/>
        <v>0</v>
      </c>
      <c r="Y48" s="2"/>
      <c r="Z48" s="7">
        <f t="shared" si="27"/>
        <v>0</v>
      </c>
    </row>
    <row r="49" spans="1:26" s="24" customFormat="1" hidden="1" outlineLevel="2" x14ac:dyDescent="0.3">
      <c r="A49" s="27"/>
      <c r="B49" s="11" t="str">
        <f>CONCATENATE("          ", "6004", " - ", "STAFF HOURLY")</f>
        <v xml:space="preserve">          6004 - STAFF HOURLY</v>
      </c>
      <c r="C49" s="11"/>
      <c r="D49" s="6">
        <v>3988.37</v>
      </c>
      <c r="E49" s="2"/>
      <c r="F49" s="7">
        <f t="shared" si="20"/>
        <v>4.3104577480315098E-2</v>
      </c>
      <c r="G49" s="2"/>
      <c r="H49" s="6">
        <v>3444.32</v>
      </c>
      <c r="I49" s="2"/>
      <c r="J49" s="7">
        <f t="shared" si="21"/>
        <v>2.8616816218012629E-2</v>
      </c>
      <c r="K49" s="2"/>
      <c r="L49" s="6">
        <f t="shared" si="22"/>
        <v>544.04999999999973</v>
      </c>
      <c r="M49" s="2"/>
      <c r="N49" s="7">
        <f t="shared" si="23"/>
        <v>0.15795570678682577</v>
      </c>
      <c r="O49" s="11"/>
      <c r="P49" s="6">
        <v>14750.48</v>
      </c>
      <c r="Q49" s="2"/>
      <c r="R49" s="7">
        <f t="shared" si="24"/>
        <v>1.7705374793962655E-2</v>
      </c>
      <c r="S49" s="2"/>
      <c r="T49" s="6">
        <v>18943.759999999998</v>
      </c>
      <c r="U49" s="2"/>
      <c r="V49" s="7">
        <f t="shared" si="25"/>
        <v>1.6851405265241311E-2</v>
      </c>
      <c r="W49" s="2"/>
      <c r="X49" s="6">
        <f t="shared" si="26"/>
        <v>-4193.2799999999988</v>
      </c>
      <c r="Y49" s="2"/>
      <c r="Z49" s="7">
        <f t="shared" si="27"/>
        <v>-0.22135415566920186</v>
      </c>
    </row>
    <row r="50" spans="1:26" s="24" customFormat="1" hidden="1" outlineLevel="2" x14ac:dyDescent="0.3">
      <c r="A50" s="27"/>
      <c r="B50" s="11" t="str">
        <f>CONCATENATE("          ", "6005", " - ", "TEMPORARY WAGES-HOURLY")</f>
        <v xml:space="preserve">          6005 - TEMPORARY WAGES-HOURLY</v>
      </c>
      <c r="C50" s="11"/>
      <c r="D50" s="6">
        <v>1088.5899999999999</v>
      </c>
      <c r="E50" s="2"/>
      <c r="F50" s="7">
        <f t="shared" si="20"/>
        <v>1.1765009765717878E-2</v>
      </c>
      <c r="G50" s="2"/>
      <c r="H50" s="6">
        <v>0</v>
      </c>
      <c r="I50" s="2"/>
      <c r="J50" s="7">
        <f t="shared" si="21"/>
        <v>0</v>
      </c>
      <c r="K50" s="2"/>
      <c r="L50" s="6">
        <f t="shared" si="22"/>
        <v>1088.5899999999999</v>
      </c>
      <c r="M50" s="2"/>
      <c r="N50" s="7">
        <f t="shared" si="23"/>
        <v>0</v>
      </c>
      <c r="O50" s="11"/>
      <c r="P50" s="6">
        <v>5007.47</v>
      </c>
      <c r="Q50" s="2"/>
      <c r="R50" s="7">
        <f t="shared" si="24"/>
        <v>6.0105930871079578E-3</v>
      </c>
      <c r="S50" s="2"/>
      <c r="T50" s="6">
        <v>0</v>
      </c>
      <c r="U50" s="2"/>
      <c r="V50" s="7">
        <f t="shared" si="25"/>
        <v>0</v>
      </c>
      <c r="W50" s="2"/>
      <c r="X50" s="6">
        <f t="shared" si="26"/>
        <v>5007.47</v>
      </c>
      <c r="Y50" s="2"/>
      <c r="Z50" s="7">
        <f t="shared" si="27"/>
        <v>0</v>
      </c>
    </row>
    <row r="51" spans="1:26" s="24" customFormat="1" hidden="1" outlineLevel="2" x14ac:dyDescent="0.3">
      <c r="A51" s="27"/>
      <c r="B51" s="11" t="str">
        <f>CONCATENATE("          ", "6006", " - ", "TEMPORARY PART TIME")</f>
        <v xml:space="preserve">          6006 - TEMPORARY PART TIME</v>
      </c>
      <c r="C51" s="11"/>
      <c r="D51" s="6"/>
      <c r="E51" s="2"/>
      <c r="F51" s="7">
        <f t="shared" si="20"/>
        <v>0</v>
      </c>
      <c r="G51" s="2"/>
      <c r="H51" s="6">
        <v>0</v>
      </c>
      <c r="I51" s="2"/>
      <c r="J51" s="7">
        <f t="shared" si="21"/>
        <v>0</v>
      </c>
      <c r="K51" s="2"/>
      <c r="L51" s="6">
        <f t="shared" si="22"/>
        <v>0</v>
      </c>
      <c r="M51" s="2"/>
      <c r="N51" s="7">
        <f t="shared" si="23"/>
        <v>0</v>
      </c>
      <c r="O51" s="11"/>
      <c r="P51" s="6"/>
      <c r="Q51" s="2"/>
      <c r="R51" s="7">
        <f t="shared" si="24"/>
        <v>0</v>
      </c>
      <c r="S51" s="2"/>
      <c r="T51" s="6">
        <v>0</v>
      </c>
      <c r="U51" s="2"/>
      <c r="V51" s="7">
        <f t="shared" si="25"/>
        <v>0</v>
      </c>
      <c r="W51" s="2"/>
      <c r="X51" s="6">
        <f t="shared" si="26"/>
        <v>0</v>
      </c>
      <c r="Y51" s="2"/>
      <c r="Z51" s="7">
        <f t="shared" si="27"/>
        <v>0</v>
      </c>
    </row>
    <row r="52" spans="1:26" s="24" customFormat="1" hidden="1" outlineLevel="2" x14ac:dyDescent="0.3">
      <c r="A52" s="27"/>
      <c r="B52" s="11" t="str">
        <f>CONCATENATE("          ", "6007", " - ", "STUDENT HOURLY")</f>
        <v xml:space="preserve">          6007 - STUDENT HOURLY</v>
      </c>
      <c r="C52" s="11"/>
      <c r="D52" s="6">
        <v>1970.89</v>
      </c>
      <c r="E52" s="2"/>
      <c r="F52" s="7">
        <f t="shared" si="20"/>
        <v>2.1300526458221839E-2</v>
      </c>
      <c r="G52" s="2"/>
      <c r="H52" s="6">
        <v>0</v>
      </c>
      <c r="I52" s="2"/>
      <c r="J52" s="7">
        <f t="shared" si="21"/>
        <v>0</v>
      </c>
      <c r="K52" s="2"/>
      <c r="L52" s="6">
        <f t="shared" si="22"/>
        <v>1970.89</v>
      </c>
      <c r="M52" s="2"/>
      <c r="N52" s="7">
        <f t="shared" si="23"/>
        <v>0</v>
      </c>
      <c r="O52" s="11"/>
      <c r="P52" s="6">
        <v>16601.150000000001</v>
      </c>
      <c r="Q52" s="2"/>
      <c r="R52" s="7">
        <f t="shared" si="24"/>
        <v>1.9926780874981235E-2</v>
      </c>
      <c r="S52" s="2"/>
      <c r="T52" s="6">
        <v>10176</v>
      </c>
      <c r="U52" s="2"/>
      <c r="V52" s="7">
        <f t="shared" si="25"/>
        <v>9.0520519674602926E-3</v>
      </c>
      <c r="W52" s="2"/>
      <c r="X52" s="6">
        <f t="shared" si="26"/>
        <v>6425.1500000000015</v>
      </c>
      <c r="Y52" s="2"/>
      <c r="Z52" s="7">
        <f t="shared" si="27"/>
        <v>0.63140231918239009</v>
      </c>
    </row>
    <row r="53" spans="1:26" s="24" customFormat="1" hidden="1" outlineLevel="2" x14ac:dyDescent="0.3">
      <c r="A53" s="27"/>
      <c r="B53" s="11" t="str">
        <f>CONCATENATE("          ", "6008", " - ", "STUDENT HOURLY-FICA EXEMPT")</f>
        <v xml:space="preserve">          6008 - STUDENT HOURLY-FICA EXEMPT</v>
      </c>
      <c r="C53" s="11"/>
      <c r="D53" s="6">
        <v>1014.28</v>
      </c>
      <c r="E53" s="2"/>
      <c r="F53" s="7">
        <f t="shared" si="20"/>
        <v>1.0961899434288694E-2</v>
      </c>
      <c r="G53" s="2"/>
      <c r="H53" s="6">
        <v>3846</v>
      </c>
      <c r="I53" s="2"/>
      <c r="J53" s="7">
        <f t="shared" si="21"/>
        <v>3.1954137587238286E-2</v>
      </c>
      <c r="K53" s="2"/>
      <c r="L53" s="6">
        <f t="shared" si="22"/>
        <v>-2831.7200000000003</v>
      </c>
      <c r="M53" s="2"/>
      <c r="N53" s="7">
        <f t="shared" si="23"/>
        <v>-0.73627665106604268</v>
      </c>
      <c r="O53" s="11"/>
      <c r="P53" s="6">
        <v>5031.9799999999996</v>
      </c>
      <c r="Q53" s="2"/>
      <c r="R53" s="7">
        <f t="shared" si="24"/>
        <v>6.0400130609799957E-3</v>
      </c>
      <c r="S53" s="2"/>
      <c r="T53" s="6">
        <v>14414</v>
      </c>
      <c r="U53" s="2"/>
      <c r="V53" s="7">
        <f t="shared" si="25"/>
        <v>1.282196118897137E-2</v>
      </c>
      <c r="W53" s="2"/>
      <c r="X53" s="6">
        <f t="shared" si="26"/>
        <v>-9382.02</v>
      </c>
      <c r="Y53" s="2"/>
      <c r="Z53" s="7">
        <f t="shared" si="27"/>
        <v>-0.65089635077008468</v>
      </c>
    </row>
    <row r="54" spans="1:26" s="24" customFormat="1" hidden="1" outlineLevel="2" x14ac:dyDescent="0.3">
      <c r="A54" s="27"/>
      <c r="B54" s="11" t="str">
        <f>CONCATENATE("          ", "6009", " - ", "TEMPORARY-SEASONAL")</f>
        <v xml:space="preserve">          6009 - TEMPORARY-SEASONAL</v>
      </c>
      <c r="C54" s="11"/>
      <c r="D54" s="6"/>
      <c r="E54" s="2"/>
      <c r="F54" s="7">
        <f t="shared" si="20"/>
        <v>0</v>
      </c>
      <c r="G54" s="2"/>
      <c r="H54" s="6">
        <v>0</v>
      </c>
      <c r="I54" s="2"/>
      <c r="J54" s="7">
        <f t="shared" si="21"/>
        <v>0</v>
      </c>
      <c r="K54" s="2"/>
      <c r="L54" s="6">
        <f t="shared" si="22"/>
        <v>0</v>
      </c>
      <c r="M54" s="2"/>
      <c r="N54" s="7">
        <f t="shared" si="23"/>
        <v>0</v>
      </c>
      <c r="O54" s="11"/>
      <c r="P54" s="6"/>
      <c r="Q54" s="2"/>
      <c r="R54" s="7">
        <f t="shared" si="24"/>
        <v>0</v>
      </c>
      <c r="S54" s="2"/>
      <c r="T54" s="6">
        <v>0</v>
      </c>
      <c r="U54" s="2"/>
      <c r="V54" s="7">
        <f t="shared" si="25"/>
        <v>0</v>
      </c>
      <c r="W54" s="2"/>
      <c r="X54" s="6">
        <f t="shared" si="26"/>
        <v>0</v>
      </c>
      <c r="Y54" s="2"/>
      <c r="Z54" s="7">
        <f t="shared" si="27"/>
        <v>0</v>
      </c>
    </row>
    <row r="55" spans="1:26" s="24" customFormat="1" hidden="1" outlineLevel="2" x14ac:dyDescent="0.3">
      <c r="A55" s="27"/>
      <c r="B55" s="11" t="str">
        <f>CONCATENATE("          ", "6010", " - ", "GRATUITY")</f>
        <v xml:space="preserve">          6010 - GRATUITY</v>
      </c>
      <c r="C55" s="11"/>
      <c r="D55" s="6"/>
      <c r="E55" s="2"/>
      <c r="F55" s="7">
        <f t="shared" si="20"/>
        <v>0</v>
      </c>
      <c r="G55" s="2"/>
      <c r="H55" s="6">
        <v>0</v>
      </c>
      <c r="I55" s="2"/>
      <c r="J55" s="7">
        <f t="shared" si="21"/>
        <v>0</v>
      </c>
      <c r="K55" s="2"/>
      <c r="L55" s="6">
        <f t="shared" si="22"/>
        <v>0</v>
      </c>
      <c r="M55" s="2"/>
      <c r="N55" s="7">
        <f t="shared" si="23"/>
        <v>0</v>
      </c>
      <c r="O55" s="11"/>
      <c r="P55" s="6"/>
      <c r="Q55" s="2"/>
      <c r="R55" s="7">
        <f t="shared" si="24"/>
        <v>0</v>
      </c>
      <c r="S55" s="2"/>
      <c r="T55" s="6">
        <v>0</v>
      </c>
      <c r="U55" s="2"/>
      <c r="V55" s="7">
        <f t="shared" si="25"/>
        <v>0</v>
      </c>
      <c r="W55" s="2"/>
      <c r="X55" s="6">
        <f t="shared" si="26"/>
        <v>0</v>
      </c>
      <c r="Y55" s="2"/>
      <c r="Z55" s="7">
        <f t="shared" si="27"/>
        <v>0</v>
      </c>
    </row>
    <row r="56" spans="1:26" s="29" customFormat="1" outlineLevel="1" collapsed="1" x14ac:dyDescent="0.3">
      <c r="A56" s="28"/>
      <c r="B56" s="14" t="str">
        <f>CONCATENATE("     ","Advertising/Promo                                 ")</f>
        <v xml:space="preserve">     Advertising/Promo                                 </v>
      </c>
      <c r="C56" s="14"/>
      <c r="D56" s="1">
        <f>SUM(OSRRefD22_2x_0)</f>
        <v>6.62</v>
      </c>
      <c r="E56" s="1"/>
      <c r="F56" s="5">
        <f t="shared" ref="F56:F70" si="28">IF(D$12=0,0,D56/D$12)</f>
        <v>7.1546096004053281E-5</v>
      </c>
      <c r="G56" s="1"/>
      <c r="H56" s="1">
        <f>SUM(OSRRefH22_2x_0)</f>
        <v>200</v>
      </c>
      <c r="I56" s="1"/>
      <c r="J56" s="5">
        <f t="shared" ref="J56:J70" si="29">IF(H$12=0,0,H56/H$12)</f>
        <v>1.661681621801263E-3</v>
      </c>
      <c r="K56" s="1"/>
      <c r="L56" s="1">
        <f t="shared" ref="L56:L70" si="30">+D56-H56</f>
        <v>-193.38</v>
      </c>
      <c r="M56" s="1"/>
      <c r="N56" s="5">
        <f t="shared" ref="N56:N70" si="31">IF(H56=0,0,L56/H56)</f>
        <v>-0.96689999999999998</v>
      </c>
      <c r="O56" s="14"/>
      <c r="P56" s="1">
        <f>SUM(OSRRefP22_2x_0)</f>
        <v>118.13</v>
      </c>
      <c r="Q56" s="1"/>
      <c r="R56" s="5">
        <f t="shared" ref="R56:R70" si="32">IF(P$12=0,0,P56/P$12)</f>
        <v>1.4179443139550771E-4</v>
      </c>
      <c r="S56" s="1"/>
      <c r="T56" s="1">
        <f>SUM(OSRRefT22_2x_0)</f>
        <v>1000</v>
      </c>
      <c r="U56" s="1"/>
      <c r="V56" s="5">
        <f t="shared" ref="V56:V70" si="33">IF(T$12=0,0,T56/T$12)</f>
        <v>8.8954913202243444E-4</v>
      </c>
      <c r="W56" s="1"/>
      <c r="X56" s="1">
        <f t="shared" ref="X56:X70" si="34">+P56-T56</f>
        <v>-881.87</v>
      </c>
      <c r="Y56" s="1"/>
      <c r="Z56" s="5">
        <f t="shared" ref="Z56:Z70" si="35">IF(T56=0,0,X56/T56)</f>
        <v>-0.88187000000000004</v>
      </c>
    </row>
    <row r="57" spans="1:26" s="24" customFormat="1" hidden="1" outlineLevel="2" x14ac:dyDescent="0.3">
      <c r="A57" s="27"/>
      <c r="B57" s="11" t="str">
        <f>CONCATENATE("          ", "6362", " - ", "ADVERTISING EXPENSE")</f>
        <v xml:space="preserve">          6362 - ADVERTISING EXPENSE</v>
      </c>
      <c r="C57" s="11"/>
      <c r="D57" s="6">
        <v>6.62</v>
      </c>
      <c r="E57" s="2"/>
      <c r="F57" s="7">
        <f t="shared" si="28"/>
        <v>7.1546096004053281E-5</v>
      </c>
      <c r="G57" s="2"/>
      <c r="H57" s="6">
        <v>200</v>
      </c>
      <c r="I57" s="2"/>
      <c r="J57" s="7">
        <f t="shared" si="29"/>
        <v>1.661681621801263E-3</v>
      </c>
      <c r="K57" s="2"/>
      <c r="L57" s="6">
        <f t="shared" si="30"/>
        <v>-193.38</v>
      </c>
      <c r="M57" s="2"/>
      <c r="N57" s="7">
        <f t="shared" si="31"/>
        <v>-0.96689999999999998</v>
      </c>
      <c r="O57" s="11"/>
      <c r="P57" s="6">
        <v>118.13</v>
      </c>
      <c r="Q57" s="2"/>
      <c r="R57" s="7">
        <f t="shared" si="32"/>
        <v>1.4179443139550771E-4</v>
      </c>
      <c r="S57" s="2"/>
      <c r="T57" s="6">
        <v>1000</v>
      </c>
      <c r="U57" s="2"/>
      <c r="V57" s="7">
        <f t="shared" si="33"/>
        <v>8.8954913202243444E-4</v>
      </c>
      <c r="W57" s="2"/>
      <c r="X57" s="6">
        <f t="shared" si="34"/>
        <v>-881.87</v>
      </c>
      <c r="Y57" s="2"/>
      <c r="Z57" s="7">
        <f t="shared" si="35"/>
        <v>-0.88187000000000004</v>
      </c>
    </row>
    <row r="58" spans="1:26" s="29" customFormat="1" outlineLevel="1" collapsed="1" x14ac:dyDescent="0.3">
      <c r="A58" s="28"/>
      <c r="B58" s="14" t="str">
        <f>CONCATENATE("     ","Depreciation                                      ")</f>
        <v xml:space="preserve">     Depreciation                                      </v>
      </c>
      <c r="C58" s="14"/>
      <c r="D58" s="1">
        <f>SUM(OSRRefD22_3x_0)</f>
        <v>280.44</v>
      </c>
      <c r="E58" s="1"/>
      <c r="F58" s="5">
        <f t="shared" si="28"/>
        <v>3.03087419386355E-3</v>
      </c>
      <c r="G58" s="1"/>
      <c r="H58" s="1">
        <f>SUM(OSRRefH22_3x_0)</f>
        <v>0</v>
      </c>
      <c r="I58" s="1"/>
      <c r="J58" s="5">
        <f t="shared" si="29"/>
        <v>0</v>
      </c>
      <c r="K58" s="1"/>
      <c r="L58" s="1">
        <f t="shared" si="30"/>
        <v>280.44</v>
      </c>
      <c r="M58" s="1"/>
      <c r="N58" s="5">
        <f t="shared" si="31"/>
        <v>0</v>
      </c>
      <c r="O58" s="14"/>
      <c r="P58" s="1">
        <f>SUM(OSRRefP22_3x_0)</f>
        <v>1402.2</v>
      </c>
      <c r="Q58" s="1"/>
      <c r="R58" s="5">
        <f t="shared" si="32"/>
        <v>1.6830961796561494E-3</v>
      </c>
      <c r="S58" s="1"/>
      <c r="T58" s="1">
        <f>SUM(OSRRefT22_3x_0)</f>
        <v>0</v>
      </c>
      <c r="U58" s="1"/>
      <c r="V58" s="5">
        <f t="shared" si="33"/>
        <v>0</v>
      </c>
      <c r="W58" s="1"/>
      <c r="X58" s="1">
        <f t="shared" si="34"/>
        <v>1402.2</v>
      </c>
      <c r="Y58" s="1"/>
      <c r="Z58" s="5">
        <f t="shared" si="35"/>
        <v>0</v>
      </c>
    </row>
    <row r="59" spans="1:26" s="24" customFormat="1" hidden="1" outlineLevel="2" x14ac:dyDescent="0.3">
      <c r="A59" s="27"/>
      <c r="B59" s="11" t="str">
        <f>CONCATENATE("          ", "6322", " - ", "EQUIPMENT DEPRECIATION EXPENSE")</f>
        <v xml:space="preserve">          6322 - EQUIPMENT DEPRECIATION EXPENSE</v>
      </c>
      <c r="C59" s="11"/>
      <c r="D59" s="6">
        <v>280.44</v>
      </c>
      <c r="E59" s="2"/>
      <c r="F59" s="7">
        <f t="shared" si="28"/>
        <v>3.03087419386355E-3</v>
      </c>
      <c r="G59" s="2"/>
      <c r="H59" s="6"/>
      <c r="I59" s="2"/>
      <c r="J59" s="7">
        <f t="shared" si="29"/>
        <v>0</v>
      </c>
      <c r="K59" s="2"/>
      <c r="L59" s="6">
        <f t="shared" si="30"/>
        <v>280.44</v>
      </c>
      <c r="M59" s="2"/>
      <c r="N59" s="7">
        <f t="shared" si="31"/>
        <v>0</v>
      </c>
      <c r="O59" s="11"/>
      <c r="P59" s="6">
        <v>1402.2</v>
      </c>
      <c r="Q59" s="2"/>
      <c r="R59" s="7">
        <f t="shared" si="32"/>
        <v>1.6830961796561494E-3</v>
      </c>
      <c r="S59" s="2"/>
      <c r="T59" s="6"/>
      <c r="U59" s="2"/>
      <c r="V59" s="7">
        <f t="shared" si="33"/>
        <v>0</v>
      </c>
      <c r="W59" s="2"/>
      <c r="X59" s="6">
        <f t="shared" si="34"/>
        <v>1402.2</v>
      </c>
      <c r="Y59" s="2"/>
      <c r="Z59" s="7">
        <f t="shared" si="35"/>
        <v>0</v>
      </c>
    </row>
    <row r="60" spans="1:26" s="29" customFormat="1" outlineLevel="1" collapsed="1" x14ac:dyDescent="0.3">
      <c r="A60" s="28"/>
      <c r="B60" s="14" t="str">
        <f>CONCATENATE("     ","Employees' Appreciation                           ")</f>
        <v xml:space="preserve">     Employees' Appreciation                           </v>
      </c>
      <c r="C60" s="14"/>
      <c r="D60" s="1">
        <f>SUM(OSRRefD22_4x_0)</f>
        <v>0</v>
      </c>
      <c r="E60" s="1"/>
      <c r="F60" s="5">
        <f t="shared" si="28"/>
        <v>0</v>
      </c>
      <c r="G60" s="1"/>
      <c r="H60" s="1">
        <f>SUM(OSRRefH22_4x_0)</f>
        <v>20</v>
      </c>
      <c r="I60" s="1"/>
      <c r="J60" s="5">
        <f t="shared" si="29"/>
        <v>1.6616816218012627E-4</v>
      </c>
      <c r="K60" s="1"/>
      <c r="L60" s="1">
        <f t="shared" si="30"/>
        <v>-20</v>
      </c>
      <c r="M60" s="1"/>
      <c r="N60" s="5">
        <f t="shared" si="31"/>
        <v>-1</v>
      </c>
      <c r="O60" s="14"/>
      <c r="P60" s="1">
        <f>SUM(OSRRefP22_4x_0)</f>
        <v>0</v>
      </c>
      <c r="Q60" s="1"/>
      <c r="R60" s="5">
        <f t="shared" si="32"/>
        <v>0</v>
      </c>
      <c r="S60" s="1"/>
      <c r="T60" s="1">
        <f>SUM(OSRRefT22_4x_0)</f>
        <v>100</v>
      </c>
      <c r="U60" s="1"/>
      <c r="V60" s="5">
        <f t="shared" si="33"/>
        <v>8.8954913202243441E-5</v>
      </c>
      <c r="W60" s="1"/>
      <c r="X60" s="1">
        <f t="shared" si="34"/>
        <v>-100</v>
      </c>
      <c r="Y60" s="1"/>
      <c r="Z60" s="5">
        <f t="shared" si="35"/>
        <v>-1</v>
      </c>
    </row>
    <row r="61" spans="1:26" s="24" customFormat="1" hidden="1" outlineLevel="2" x14ac:dyDescent="0.3">
      <c r="A61" s="27"/>
      <c r="B61" s="11" t="str">
        <f>CONCATENATE("          ", "6277", " - ", "EMPLOYEE APPRECIATION")</f>
        <v xml:space="preserve">          6277 - EMPLOYEE APPRECIATION</v>
      </c>
      <c r="C61" s="11"/>
      <c r="D61" s="6"/>
      <c r="E61" s="2"/>
      <c r="F61" s="7">
        <f t="shared" si="28"/>
        <v>0</v>
      </c>
      <c r="G61" s="2"/>
      <c r="H61" s="6">
        <v>20</v>
      </c>
      <c r="I61" s="2"/>
      <c r="J61" s="7">
        <f t="shared" si="29"/>
        <v>1.6616816218012627E-4</v>
      </c>
      <c r="K61" s="2"/>
      <c r="L61" s="6">
        <f t="shared" si="30"/>
        <v>-20</v>
      </c>
      <c r="M61" s="2"/>
      <c r="N61" s="7">
        <f t="shared" si="31"/>
        <v>-1</v>
      </c>
      <c r="O61" s="11"/>
      <c r="P61" s="6"/>
      <c r="Q61" s="2"/>
      <c r="R61" s="7">
        <f t="shared" si="32"/>
        <v>0</v>
      </c>
      <c r="S61" s="2"/>
      <c r="T61" s="6">
        <v>100</v>
      </c>
      <c r="U61" s="2"/>
      <c r="V61" s="7">
        <f t="shared" si="33"/>
        <v>8.8954913202243441E-5</v>
      </c>
      <c r="W61" s="2"/>
      <c r="X61" s="6">
        <f t="shared" si="34"/>
        <v>-100</v>
      </c>
      <c r="Y61" s="2"/>
      <c r="Z61" s="7">
        <f t="shared" si="35"/>
        <v>-1</v>
      </c>
    </row>
    <row r="62" spans="1:26" s="29" customFormat="1" outlineLevel="1" collapsed="1" x14ac:dyDescent="0.3">
      <c r="A62" s="28"/>
      <c r="B62" s="14" t="str">
        <f>CONCATENATE("     ","Freight out/Postage                               ")</f>
        <v xml:space="preserve">     Freight out/Postage                               </v>
      </c>
      <c r="C62" s="14"/>
      <c r="D62" s="1">
        <f>SUM(OSRRefD22_5x_0)</f>
        <v>0.34</v>
      </c>
      <c r="E62" s="1"/>
      <c r="F62" s="5">
        <f t="shared" si="28"/>
        <v>3.6745729065525854E-6</v>
      </c>
      <c r="G62" s="1"/>
      <c r="H62" s="1">
        <f>SUM(OSRRefH22_5x_0)</f>
        <v>15</v>
      </c>
      <c r="I62" s="1"/>
      <c r="J62" s="5">
        <f t="shared" si="29"/>
        <v>1.2462612163509471E-4</v>
      </c>
      <c r="K62" s="1"/>
      <c r="L62" s="1">
        <f t="shared" si="30"/>
        <v>-14.66</v>
      </c>
      <c r="M62" s="1"/>
      <c r="N62" s="5">
        <f t="shared" si="31"/>
        <v>-0.97733333333333339</v>
      </c>
      <c r="O62" s="14"/>
      <c r="P62" s="1">
        <f>SUM(OSRRefP22_5x_0)</f>
        <v>122.13</v>
      </c>
      <c r="Q62" s="1"/>
      <c r="R62" s="5">
        <f t="shared" si="32"/>
        <v>1.4659573272101376E-4</v>
      </c>
      <c r="S62" s="1"/>
      <c r="T62" s="1">
        <f>SUM(OSRRefT22_5x_0)</f>
        <v>75</v>
      </c>
      <c r="U62" s="1"/>
      <c r="V62" s="5">
        <f t="shared" si="33"/>
        <v>6.6716184901682577E-5</v>
      </c>
      <c r="W62" s="1"/>
      <c r="X62" s="1">
        <f t="shared" si="34"/>
        <v>47.129999999999995</v>
      </c>
      <c r="Y62" s="1"/>
      <c r="Z62" s="5">
        <f t="shared" si="35"/>
        <v>0.62839999999999996</v>
      </c>
    </row>
    <row r="63" spans="1:26" s="24" customFormat="1" hidden="1" outlineLevel="2" x14ac:dyDescent="0.3">
      <c r="A63" s="27"/>
      <c r="B63" s="11" t="str">
        <f>CONCATENATE("          ", "6305", " - ", "FREIGHT OUT")</f>
        <v xml:space="preserve">          6305 - FREIGHT OUT</v>
      </c>
      <c r="C63" s="11"/>
      <c r="D63" s="6">
        <v>0.34</v>
      </c>
      <c r="E63" s="2"/>
      <c r="F63" s="7">
        <f t="shared" si="28"/>
        <v>3.6745729065525854E-6</v>
      </c>
      <c r="G63" s="2"/>
      <c r="H63" s="6">
        <v>15</v>
      </c>
      <c r="I63" s="2"/>
      <c r="J63" s="7">
        <f t="shared" si="29"/>
        <v>1.2462612163509471E-4</v>
      </c>
      <c r="K63" s="2"/>
      <c r="L63" s="6">
        <f t="shared" si="30"/>
        <v>-14.66</v>
      </c>
      <c r="M63" s="2"/>
      <c r="N63" s="7">
        <f t="shared" si="31"/>
        <v>-0.97733333333333339</v>
      </c>
      <c r="O63" s="11"/>
      <c r="P63" s="6">
        <v>122.13</v>
      </c>
      <c r="Q63" s="2"/>
      <c r="R63" s="7">
        <f t="shared" si="32"/>
        <v>1.4659573272101376E-4</v>
      </c>
      <c r="S63" s="2"/>
      <c r="T63" s="6">
        <v>75</v>
      </c>
      <c r="U63" s="2"/>
      <c r="V63" s="7">
        <f t="shared" si="33"/>
        <v>6.6716184901682577E-5</v>
      </c>
      <c r="W63" s="2"/>
      <c r="X63" s="6">
        <f t="shared" si="34"/>
        <v>47.129999999999995</v>
      </c>
      <c r="Y63" s="2"/>
      <c r="Z63" s="7">
        <f t="shared" si="35"/>
        <v>0.62839999999999996</v>
      </c>
    </row>
    <row r="64" spans="1:26" s="29" customFormat="1" outlineLevel="1" collapsed="1" x14ac:dyDescent="0.3">
      <c r="A64" s="28"/>
      <c r="B64" s="14" t="str">
        <f>CONCATENATE("     ","General                                           ")</f>
        <v xml:space="preserve">     General                                           </v>
      </c>
      <c r="C64" s="14"/>
      <c r="D64" s="1">
        <f>SUM(OSRRefD22_6x_0)</f>
        <v>0</v>
      </c>
      <c r="E64" s="1"/>
      <c r="F64" s="5">
        <f t="shared" si="28"/>
        <v>0</v>
      </c>
      <c r="G64" s="1"/>
      <c r="H64" s="1">
        <f>SUM(OSRRefH22_6x_0)</f>
        <v>30</v>
      </c>
      <c r="I64" s="1"/>
      <c r="J64" s="5">
        <f t="shared" si="29"/>
        <v>2.4925224327018941E-4</v>
      </c>
      <c r="K64" s="1"/>
      <c r="L64" s="1">
        <f t="shared" si="30"/>
        <v>-30</v>
      </c>
      <c r="M64" s="1"/>
      <c r="N64" s="5">
        <f t="shared" si="31"/>
        <v>-1</v>
      </c>
      <c r="O64" s="14"/>
      <c r="P64" s="1">
        <f>SUM(OSRRefP22_6x_0)</f>
        <v>0</v>
      </c>
      <c r="Q64" s="1"/>
      <c r="R64" s="5">
        <f t="shared" si="32"/>
        <v>0</v>
      </c>
      <c r="S64" s="1"/>
      <c r="T64" s="1">
        <f>SUM(OSRRefT22_6x_0)</f>
        <v>150</v>
      </c>
      <c r="U64" s="1"/>
      <c r="V64" s="5">
        <f t="shared" si="33"/>
        <v>1.3343236980336515E-4</v>
      </c>
      <c r="W64" s="1"/>
      <c r="X64" s="1">
        <f t="shared" si="34"/>
        <v>-150</v>
      </c>
      <c r="Y64" s="1"/>
      <c r="Z64" s="5">
        <f t="shared" si="35"/>
        <v>-1</v>
      </c>
    </row>
    <row r="65" spans="1:26" s="24" customFormat="1" hidden="1" outlineLevel="2" x14ac:dyDescent="0.3">
      <c r="A65" s="27"/>
      <c r="B65" s="11" t="str">
        <f>CONCATENATE("          ", "6279", " - ", "GENERAL EXPENSE")</f>
        <v xml:space="preserve">          6279 - GENERAL EXPENSE</v>
      </c>
      <c r="C65" s="11"/>
      <c r="D65" s="6"/>
      <c r="E65" s="2"/>
      <c r="F65" s="7">
        <f t="shared" si="28"/>
        <v>0</v>
      </c>
      <c r="G65" s="2"/>
      <c r="H65" s="6">
        <v>30</v>
      </c>
      <c r="I65" s="2"/>
      <c r="J65" s="7">
        <f t="shared" si="29"/>
        <v>2.4925224327018941E-4</v>
      </c>
      <c r="K65" s="2"/>
      <c r="L65" s="6">
        <f t="shared" si="30"/>
        <v>-30</v>
      </c>
      <c r="M65" s="2"/>
      <c r="N65" s="7">
        <f t="shared" si="31"/>
        <v>-1</v>
      </c>
      <c r="O65" s="11"/>
      <c r="P65" s="6"/>
      <c r="Q65" s="2"/>
      <c r="R65" s="7">
        <f t="shared" si="32"/>
        <v>0</v>
      </c>
      <c r="S65" s="2"/>
      <c r="T65" s="6">
        <v>150</v>
      </c>
      <c r="U65" s="2"/>
      <c r="V65" s="7">
        <f t="shared" si="33"/>
        <v>1.3343236980336515E-4</v>
      </c>
      <c r="W65" s="2"/>
      <c r="X65" s="6">
        <f t="shared" si="34"/>
        <v>-150</v>
      </c>
      <c r="Y65" s="2"/>
      <c r="Z65" s="7">
        <f t="shared" si="35"/>
        <v>-1</v>
      </c>
    </row>
    <row r="66" spans="1:26" s="29" customFormat="1" outlineLevel="1" collapsed="1" x14ac:dyDescent="0.3">
      <c r="A66" s="28"/>
      <c r="B66" s="14" t="str">
        <f>CONCATENATE("     ","Inventory Adjustment                              ")</f>
        <v xml:space="preserve">     Inventory Adjustment                              </v>
      </c>
      <c r="C66" s="14"/>
      <c r="D66" s="1">
        <f>SUM(OSRRefD22_7x_0)</f>
        <v>630</v>
      </c>
      <c r="E66" s="1"/>
      <c r="F66" s="5">
        <f t="shared" si="28"/>
        <v>6.8087674444944962E-3</v>
      </c>
      <c r="G66" s="1"/>
      <c r="H66" s="1">
        <f>SUM(OSRRefH22_7x_0)</f>
        <v>630</v>
      </c>
      <c r="I66" s="1"/>
      <c r="J66" s="5">
        <f t="shared" si="29"/>
        <v>5.2342971086739784E-3</v>
      </c>
      <c r="K66" s="1"/>
      <c r="L66" s="1">
        <f t="shared" si="30"/>
        <v>0</v>
      </c>
      <c r="M66" s="1"/>
      <c r="N66" s="5">
        <f t="shared" si="31"/>
        <v>0</v>
      </c>
      <c r="O66" s="14"/>
      <c r="P66" s="1">
        <f>SUM(OSRRefP22_7x_0)</f>
        <v>5300</v>
      </c>
      <c r="Q66" s="1"/>
      <c r="R66" s="5">
        <f t="shared" si="32"/>
        <v>6.3617242562955291E-3</v>
      </c>
      <c r="S66" s="1"/>
      <c r="T66" s="1">
        <f>SUM(OSRRefT22_7x_0)</f>
        <v>6010</v>
      </c>
      <c r="U66" s="1"/>
      <c r="V66" s="5">
        <f t="shared" si="33"/>
        <v>5.3461902834548306E-3</v>
      </c>
      <c r="W66" s="1"/>
      <c r="X66" s="1">
        <f t="shared" si="34"/>
        <v>-710</v>
      </c>
      <c r="Y66" s="1"/>
      <c r="Z66" s="5">
        <f t="shared" si="35"/>
        <v>-0.11813643926788686</v>
      </c>
    </row>
    <row r="67" spans="1:26" s="24" customFormat="1" hidden="1" outlineLevel="2" x14ac:dyDescent="0.3">
      <c r="A67" s="27"/>
      <c r="B67" s="11" t="str">
        <f>CONCATENATE("          ", "6408", " - ", "INVENTORY ADJUSTMENT")</f>
        <v xml:space="preserve">          6408 - INVENTORY ADJUSTMENT</v>
      </c>
      <c r="C67" s="11"/>
      <c r="D67" s="6">
        <v>630</v>
      </c>
      <c r="E67" s="2"/>
      <c r="F67" s="7">
        <f t="shared" si="28"/>
        <v>6.8087674444944962E-3</v>
      </c>
      <c r="G67" s="2"/>
      <c r="H67" s="6">
        <v>630</v>
      </c>
      <c r="I67" s="2"/>
      <c r="J67" s="7">
        <f t="shared" si="29"/>
        <v>5.2342971086739784E-3</v>
      </c>
      <c r="K67" s="2"/>
      <c r="L67" s="6">
        <f t="shared" si="30"/>
        <v>0</v>
      </c>
      <c r="M67" s="2"/>
      <c r="N67" s="7">
        <f t="shared" si="31"/>
        <v>0</v>
      </c>
      <c r="O67" s="11"/>
      <c r="P67" s="6">
        <v>5300</v>
      </c>
      <c r="Q67" s="2"/>
      <c r="R67" s="7">
        <f t="shared" si="32"/>
        <v>6.3617242562955291E-3</v>
      </c>
      <c r="S67" s="2"/>
      <c r="T67" s="6">
        <v>6010</v>
      </c>
      <c r="U67" s="2"/>
      <c r="V67" s="7">
        <f t="shared" si="33"/>
        <v>5.3461902834548306E-3</v>
      </c>
      <c r="W67" s="2"/>
      <c r="X67" s="6">
        <f t="shared" si="34"/>
        <v>-710</v>
      </c>
      <c r="Y67" s="2"/>
      <c r="Z67" s="7">
        <f t="shared" si="35"/>
        <v>-0.11813643926788686</v>
      </c>
    </row>
    <row r="68" spans="1:26" s="29" customFormat="1" outlineLevel="1" collapsed="1" x14ac:dyDescent="0.3">
      <c r="A68" s="28"/>
      <c r="B68" s="14" t="str">
        <f>CONCATENATE("     ","Supplies                                          ")</f>
        <v xml:space="preserve">     Supplies                                          </v>
      </c>
      <c r="C68" s="14"/>
      <c r="D68" s="1">
        <f>SUM(OSRRefD22_8x_0)</f>
        <v>57.42</v>
      </c>
      <c r="E68" s="1"/>
      <c r="F68" s="5">
        <f t="shared" si="28"/>
        <v>6.2057051851249832E-4</v>
      </c>
      <c r="G68" s="1"/>
      <c r="H68" s="1">
        <f>SUM(OSRRefH22_8x_0)</f>
        <v>310</v>
      </c>
      <c r="I68" s="1"/>
      <c r="J68" s="5">
        <f t="shared" si="29"/>
        <v>2.5756065137919576E-3</v>
      </c>
      <c r="K68" s="1"/>
      <c r="L68" s="1">
        <f t="shared" si="30"/>
        <v>-252.57999999999998</v>
      </c>
      <c r="M68" s="1"/>
      <c r="N68" s="5">
        <f t="shared" si="31"/>
        <v>-0.81477419354838709</v>
      </c>
      <c r="O68" s="14"/>
      <c r="P68" s="1">
        <f>SUM(OSRRefP22_8x_0)</f>
        <v>3276.11</v>
      </c>
      <c r="Q68" s="1"/>
      <c r="R68" s="5">
        <f t="shared" si="32"/>
        <v>3.932397821375915E-3</v>
      </c>
      <c r="S68" s="1"/>
      <c r="T68" s="1">
        <f>SUM(OSRRefT22_8x_0)</f>
        <v>1550</v>
      </c>
      <c r="U68" s="1"/>
      <c r="V68" s="5">
        <f t="shared" si="33"/>
        <v>1.3788011546347733E-3</v>
      </c>
      <c r="W68" s="1"/>
      <c r="X68" s="1">
        <f t="shared" si="34"/>
        <v>1726.1100000000001</v>
      </c>
      <c r="Y68" s="1"/>
      <c r="Z68" s="5">
        <f t="shared" si="35"/>
        <v>1.1136193548387097</v>
      </c>
    </row>
    <row r="69" spans="1:26" s="24" customFormat="1" hidden="1" outlineLevel="2" x14ac:dyDescent="0.3">
      <c r="A69" s="27"/>
      <c r="B69" s="11" t="str">
        <f>CONCATENATE("          ", "6241", " - ", "OFFICE EXPENSE")</f>
        <v xml:space="preserve">          6241 - OFFICE EXPENSE</v>
      </c>
      <c r="C69" s="11"/>
      <c r="D69" s="6">
        <v>57.42</v>
      </c>
      <c r="E69" s="2"/>
      <c r="F69" s="7">
        <f t="shared" si="28"/>
        <v>6.2057051851249832E-4</v>
      </c>
      <c r="G69" s="2"/>
      <c r="H69" s="6">
        <v>110</v>
      </c>
      <c r="I69" s="2"/>
      <c r="J69" s="7">
        <f t="shared" si="29"/>
        <v>9.1392489199069462E-4</v>
      </c>
      <c r="K69" s="2"/>
      <c r="L69" s="6">
        <f t="shared" si="30"/>
        <v>-52.58</v>
      </c>
      <c r="M69" s="2"/>
      <c r="N69" s="7">
        <f t="shared" si="31"/>
        <v>-0.47799999999999998</v>
      </c>
      <c r="O69" s="11"/>
      <c r="P69" s="6">
        <v>364.11</v>
      </c>
      <c r="Q69" s="2"/>
      <c r="R69" s="7">
        <f t="shared" si="32"/>
        <v>4.3705045640750291E-4</v>
      </c>
      <c r="S69" s="2"/>
      <c r="T69" s="6">
        <v>550</v>
      </c>
      <c r="U69" s="2"/>
      <c r="V69" s="7">
        <f t="shared" si="33"/>
        <v>4.8925202261233889E-4</v>
      </c>
      <c r="W69" s="2"/>
      <c r="X69" s="6">
        <f t="shared" si="34"/>
        <v>-185.89</v>
      </c>
      <c r="Y69" s="2"/>
      <c r="Z69" s="7">
        <f t="shared" si="35"/>
        <v>-0.33798181818181816</v>
      </c>
    </row>
    <row r="70" spans="1:26" s="24" customFormat="1" hidden="1" outlineLevel="2" x14ac:dyDescent="0.3">
      <c r="A70" s="27"/>
      <c r="B70" s="11" t="str">
        <f>CONCATENATE("          ", "6247", " - ", "STORE SUPPLIES")</f>
        <v xml:space="preserve">          6247 - STORE SUPPLIES</v>
      </c>
      <c r="C70" s="11"/>
      <c r="D70" s="6"/>
      <c r="E70" s="2"/>
      <c r="F70" s="7">
        <f t="shared" si="28"/>
        <v>0</v>
      </c>
      <c r="G70" s="2"/>
      <c r="H70" s="6">
        <v>200</v>
      </c>
      <c r="I70" s="2"/>
      <c r="J70" s="7">
        <f t="shared" si="29"/>
        <v>1.661681621801263E-3</v>
      </c>
      <c r="K70" s="2"/>
      <c r="L70" s="6">
        <f t="shared" si="30"/>
        <v>-200</v>
      </c>
      <c r="M70" s="2"/>
      <c r="N70" s="7">
        <f t="shared" si="31"/>
        <v>-1</v>
      </c>
      <c r="O70" s="11"/>
      <c r="P70" s="6">
        <v>2912</v>
      </c>
      <c r="Q70" s="2"/>
      <c r="R70" s="7">
        <f t="shared" si="32"/>
        <v>3.4953473649684116E-3</v>
      </c>
      <c r="S70" s="2"/>
      <c r="T70" s="6">
        <v>1000</v>
      </c>
      <c r="U70" s="2"/>
      <c r="V70" s="7">
        <f t="shared" si="33"/>
        <v>8.8954913202243444E-4</v>
      </c>
      <c r="W70" s="2"/>
      <c r="X70" s="6">
        <f t="shared" si="34"/>
        <v>1912</v>
      </c>
      <c r="Y70" s="2"/>
      <c r="Z70" s="7">
        <f t="shared" si="35"/>
        <v>1.9119999999999999</v>
      </c>
    </row>
    <row r="71" spans="1:26" s="29" customFormat="1" outlineLevel="1" collapsed="1" x14ac:dyDescent="0.3">
      <c r="A71" s="28"/>
      <c r="B71" s="14" t="str">
        <f>CONCATENATE("     ","Telephone/Data Lines                              ")</f>
        <v xml:space="preserve">     Telephone/Data Lines                              </v>
      </c>
      <c r="C71" s="14"/>
      <c r="D71" s="1">
        <f>SUM(OSRRefD22_9x_0)</f>
        <v>205.5</v>
      </c>
      <c r="E71" s="1"/>
      <c r="F71" s="5">
        <f t="shared" ref="F71:F72" si="36">IF(D$12=0,0,D71/D$12)</f>
        <v>2.2209550949898712E-3</v>
      </c>
      <c r="G71" s="1"/>
      <c r="H71" s="1">
        <f>SUM(OSRRefH22_9x_0)</f>
        <v>325</v>
      </c>
      <c r="I71" s="1"/>
      <c r="J71" s="5">
        <f t="shared" ref="J71:J72" si="37">IF(H$12=0,0,H71/H$12)</f>
        <v>2.700232635427052E-3</v>
      </c>
      <c r="K71" s="1"/>
      <c r="L71" s="1">
        <f t="shared" ref="L71:L72" si="38">+D71-H71</f>
        <v>-119.5</v>
      </c>
      <c r="M71" s="1"/>
      <c r="N71" s="5">
        <f t="shared" ref="N71:N72" si="39">IF(H71=0,0,L71/H71)</f>
        <v>-0.36769230769230771</v>
      </c>
      <c r="O71" s="14"/>
      <c r="P71" s="1">
        <f>SUM(OSRRefP22_9x_0)</f>
        <v>1055.4000000000001</v>
      </c>
      <c r="Q71" s="1"/>
      <c r="R71" s="5">
        <f t="shared" ref="R71:R72" si="40">IF(P$12=0,0,P71/P$12)</f>
        <v>1.2668233547347741E-3</v>
      </c>
      <c r="S71" s="1"/>
      <c r="T71" s="1">
        <f>SUM(OSRRefT22_9x_0)</f>
        <v>1625</v>
      </c>
      <c r="U71" s="1"/>
      <c r="V71" s="5">
        <f t="shared" ref="V71:V72" si="41">IF(T$12=0,0,T71/T$12)</f>
        <v>1.4455173395364559E-3</v>
      </c>
      <c r="W71" s="1"/>
      <c r="X71" s="1">
        <f t="shared" ref="X71:X72" si="42">+P71-T71</f>
        <v>-569.59999999999991</v>
      </c>
      <c r="Y71" s="1"/>
      <c r="Z71" s="5">
        <f t="shared" ref="Z71:Z72" si="43">IF(T71=0,0,X71/T71)</f>
        <v>-0.35052307692307688</v>
      </c>
    </row>
    <row r="72" spans="1:26" s="24" customFormat="1" hidden="1" outlineLevel="2" x14ac:dyDescent="0.3">
      <c r="A72" s="27"/>
      <c r="B72" s="11" t="str">
        <f>CONCATENATE("          ", "6309", " - ", "TELEPHONE")</f>
        <v xml:space="preserve">          6309 - TELEPHONE</v>
      </c>
      <c r="C72" s="11"/>
      <c r="D72" s="6">
        <v>205.5</v>
      </c>
      <c r="E72" s="2"/>
      <c r="F72" s="7">
        <f t="shared" si="36"/>
        <v>2.2209550949898712E-3</v>
      </c>
      <c r="G72" s="2"/>
      <c r="H72" s="6">
        <v>325</v>
      </c>
      <c r="I72" s="2"/>
      <c r="J72" s="7">
        <f t="shared" si="37"/>
        <v>2.700232635427052E-3</v>
      </c>
      <c r="K72" s="2"/>
      <c r="L72" s="6">
        <f t="shared" si="38"/>
        <v>-119.5</v>
      </c>
      <c r="M72" s="2"/>
      <c r="N72" s="7">
        <f t="shared" si="39"/>
        <v>-0.36769230769230771</v>
      </c>
      <c r="O72" s="11"/>
      <c r="P72" s="6">
        <v>1055.4000000000001</v>
      </c>
      <c r="Q72" s="2"/>
      <c r="R72" s="7">
        <f t="shared" si="40"/>
        <v>1.2668233547347741E-3</v>
      </c>
      <c r="S72" s="2"/>
      <c r="T72" s="6">
        <v>1625</v>
      </c>
      <c r="U72" s="2"/>
      <c r="V72" s="7">
        <f t="shared" si="41"/>
        <v>1.4455173395364559E-3</v>
      </c>
      <c r="W72" s="2"/>
      <c r="X72" s="6">
        <f t="shared" si="42"/>
        <v>-569.59999999999991</v>
      </c>
      <c r="Y72" s="2"/>
      <c r="Z72" s="7">
        <f t="shared" si="43"/>
        <v>-0.35052307692307688</v>
      </c>
    </row>
    <row r="73" spans="1:26" s="63" customFormat="1" x14ac:dyDescent="0.3">
      <c r="A73" s="36"/>
      <c r="B73" s="36"/>
      <c r="C73" s="36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6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collapsed="1" x14ac:dyDescent="0.3">
      <c r="A74" s="10"/>
      <c r="B74" s="25" t="s">
        <v>293</v>
      </c>
      <c r="C74" s="10"/>
      <c r="D74" s="4">
        <f>SUM(OSRRefD25x_0)</f>
        <v>-88.839999999999989</v>
      </c>
      <c r="E74" s="4"/>
      <c r="F74" s="12">
        <f t="shared" ref="F74:F77" si="44">IF(D$12=0,0,D74/D$12)</f>
        <v>-9.6014428534744599E-4</v>
      </c>
      <c r="G74" s="4"/>
      <c r="H74" s="4">
        <f>SUM(OSRRefH25x_0)</f>
        <v>1149</v>
      </c>
      <c r="I74" s="4"/>
      <c r="J74" s="12">
        <f t="shared" ref="J74:J77" si="45">IF(H$12=0,0,H74/H$12)</f>
        <v>9.546360917248255E-3</v>
      </c>
      <c r="K74" s="4"/>
      <c r="L74" s="4">
        <f t="shared" ref="L74:L77" si="46">+D74-H74</f>
        <v>-1237.8399999999999</v>
      </c>
      <c r="M74" s="4"/>
      <c r="N74" s="12">
        <f t="shared" ref="N74:N77" si="47">IF(H74=0,0,L74/H74)</f>
        <v>-1.0773194081810269</v>
      </c>
      <c r="O74" s="10"/>
      <c r="P74" s="4">
        <f>SUM(OSRRefP25x_0)</f>
        <v>1718.4099999999999</v>
      </c>
      <c r="Q74" s="4"/>
      <c r="R74" s="12">
        <f t="shared" ref="R74:R77" si="48">IF(P$12=0,0,P74/P$12)</f>
        <v>2.0626510526907168E-3</v>
      </c>
      <c r="S74" s="4"/>
      <c r="T74" s="4">
        <f>SUM(OSRRefT25x_0)</f>
        <v>10729</v>
      </c>
      <c r="U74" s="4"/>
      <c r="V74" s="12">
        <f t="shared" ref="V74:V77" si="49">IF(T$12=0,0,T74/T$12)</f>
        <v>9.5439726374686989E-3</v>
      </c>
      <c r="W74" s="4"/>
      <c r="X74" s="4">
        <f t="shared" ref="X74:X77" si="50">+P74-T74</f>
        <v>-9010.59</v>
      </c>
      <c r="Y74" s="4"/>
      <c r="Z74" s="12">
        <f t="shared" ref="Z74:Z77" si="51">IF(T74=0,0,X74/T74)</f>
        <v>-0.83983502656351949</v>
      </c>
    </row>
    <row r="75" spans="1:26" s="24" customFormat="1" hidden="1" outlineLevel="1" x14ac:dyDescent="0.3">
      <c r="A75" s="44"/>
      <c r="B75" s="11" t="str">
        <f>CONCATENATE("          ", "4187", " - ", "NON-TAXABLE SALES-COMPUTER REP")</f>
        <v xml:space="preserve">          4187 - NON-TAXABLE SALES-COMPUTER REP</v>
      </c>
      <c r="C75" s="11"/>
      <c r="D75" s="2">
        <f>0</f>
        <v>0</v>
      </c>
      <c r="E75" s="2"/>
      <c r="F75" s="19">
        <f t="shared" si="44"/>
        <v>0</v>
      </c>
      <c r="G75" s="2"/>
      <c r="H75" s="2"/>
      <c r="I75" s="2"/>
      <c r="J75" s="19">
        <f t="shared" si="45"/>
        <v>0</v>
      </c>
      <c r="K75" s="2"/>
      <c r="L75" s="2">
        <f t="shared" si="46"/>
        <v>0</v>
      </c>
      <c r="M75" s="2"/>
      <c r="N75" s="19">
        <f t="shared" si="47"/>
        <v>0</v>
      </c>
      <c r="O75" s="11"/>
      <c r="P75" s="2">
        <f>0</f>
        <v>0</v>
      </c>
      <c r="Q75" s="2"/>
      <c r="R75" s="19">
        <f t="shared" si="48"/>
        <v>0</v>
      </c>
      <c r="S75" s="2"/>
      <c r="T75" s="2"/>
      <c r="U75" s="2"/>
      <c r="V75" s="19">
        <f t="shared" si="49"/>
        <v>0</v>
      </c>
      <c r="W75" s="2"/>
      <c r="X75" s="2">
        <f t="shared" si="50"/>
        <v>0</v>
      </c>
      <c r="Y75" s="2"/>
      <c r="Z75" s="19">
        <f t="shared" si="51"/>
        <v>0</v>
      </c>
    </row>
    <row r="76" spans="1:26" s="24" customFormat="1" hidden="1" outlineLevel="1" x14ac:dyDescent="0.3">
      <c r="A76" s="44"/>
      <c r="B76" s="11" t="str">
        <f>CONCATENATE("          ", "9087", " - ", "")</f>
        <v xml:space="preserve">          9087 - </v>
      </c>
      <c r="C76" s="11"/>
      <c r="D76" s="2">
        <f>--74.01</f>
        <v>74.010000000000005</v>
      </c>
      <c r="E76" s="2"/>
      <c r="F76" s="19">
        <f t="shared" si="44"/>
        <v>7.9986806121752011E-4</v>
      </c>
      <c r="G76" s="2"/>
      <c r="H76" s="2"/>
      <c r="I76" s="2"/>
      <c r="J76" s="19">
        <f t="shared" si="45"/>
        <v>0</v>
      </c>
      <c r="K76" s="2"/>
      <c r="L76" s="2">
        <f t="shared" si="46"/>
        <v>74.010000000000005</v>
      </c>
      <c r="M76" s="2"/>
      <c r="N76" s="19">
        <f t="shared" si="47"/>
        <v>0</v>
      </c>
      <c r="O76" s="11"/>
      <c r="P76" s="2">
        <f>-392.38</f>
        <v>-392.38</v>
      </c>
      <c r="Q76" s="2"/>
      <c r="R76" s="19">
        <f t="shared" si="48"/>
        <v>-4.7098365352551697E-4</v>
      </c>
      <c r="S76" s="2"/>
      <c r="T76" s="2"/>
      <c r="U76" s="2"/>
      <c r="V76" s="19">
        <f t="shared" si="49"/>
        <v>0</v>
      </c>
      <c r="W76" s="2"/>
      <c r="X76" s="2">
        <f t="shared" si="50"/>
        <v>-392.38</v>
      </c>
      <c r="Y76" s="2"/>
      <c r="Z76" s="19">
        <f t="shared" si="51"/>
        <v>0</v>
      </c>
    </row>
    <row r="77" spans="1:26" s="24" customFormat="1" hidden="1" outlineLevel="1" x14ac:dyDescent="0.3">
      <c r="A77" s="44"/>
      <c r="B77" s="11" t="str">
        <f>CONCATENATE("          ", "9150", " - ", "MISC. INCOME")</f>
        <v xml:space="preserve">          9150 - MISC. INCOME</v>
      </c>
      <c r="C77" s="11"/>
      <c r="D77" s="2">
        <f>-162.85</f>
        <v>-162.85</v>
      </c>
      <c r="E77" s="2"/>
      <c r="F77" s="19">
        <f t="shared" si="44"/>
        <v>-1.760012346564966E-3</v>
      </c>
      <c r="G77" s="2"/>
      <c r="H77" s="2">
        <v>1149</v>
      </c>
      <c r="I77" s="2"/>
      <c r="J77" s="19">
        <f t="shared" si="45"/>
        <v>9.546360917248255E-3</v>
      </c>
      <c r="K77" s="2"/>
      <c r="L77" s="2">
        <f t="shared" si="46"/>
        <v>-1311.85</v>
      </c>
      <c r="M77" s="2"/>
      <c r="N77" s="19">
        <f t="shared" si="47"/>
        <v>-1.1417319408181026</v>
      </c>
      <c r="O77" s="11"/>
      <c r="P77" s="2">
        <f>--2110.79</f>
        <v>2110.79</v>
      </c>
      <c r="Q77" s="2"/>
      <c r="R77" s="19">
        <f t="shared" si="48"/>
        <v>2.5336347062162342E-3</v>
      </c>
      <c r="S77" s="2"/>
      <c r="T77" s="2">
        <v>10729</v>
      </c>
      <c r="U77" s="2"/>
      <c r="V77" s="19">
        <f t="shared" si="49"/>
        <v>9.5439726374686989E-3</v>
      </c>
      <c r="W77" s="2"/>
      <c r="X77" s="2">
        <f t="shared" si="50"/>
        <v>-8618.2099999999991</v>
      </c>
      <c r="Y77" s="2"/>
      <c r="Z77" s="19">
        <f t="shared" si="51"/>
        <v>-0.80326311865038669</v>
      </c>
    </row>
    <row r="78" spans="1:26" x14ac:dyDescent="0.3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3">
      <c r="A79" s="10"/>
      <c r="B79" s="26" t="s">
        <v>277</v>
      </c>
      <c r="C79" s="26"/>
      <c r="D79" s="20">
        <f>+D31-D33+D74</f>
        <v>-3242.8400000000056</v>
      </c>
      <c r="E79" s="13"/>
      <c r="F79" s="22">
        <f>IF(D$12=0,0,D79/D$12)</f>
        <v>-3.5047211777308837E-2</v>
      </c>
      <c r="G79" s="13"/>
      <c r="H79" s="20">
        <f>+H31-H33+H74</f>
        <v>192.35741512999994</v>
      </c>
      <c r="I79" s="13"/>
      <c r="J79" s="22">
        <f>IF(H$12=0,0,H79/H$12)</f>
        <v>1.5981839076935854E-3</v>
      </c>
      <c r="K79" s="15"/>
      <c r="L79" s="20">
        <f>+D79-H79</f>
        <v>-3435.1974151300055</v>
      </c>
      <c r="M79" s="15"/>
      <c r="N79" s="22">
        <f>IF(H79=0,0,L79/H79)</f>
        <v>-17.858409112060553</v>
      </c>
      <c r="O79" s="25"/>
      <c r="P79" s="20">
        <f>+P31-P33+P74</f>
        <v>60384.629999999888</v>
      </c>
      <c r="Q79" s="13"/>
      <c r="R79" s="22">
        <f>IF(P$12=0,0,P79/P$12)</f>
        <v>7.2481201014798116E-2</v>
      </c>
      <c r="S79" s="13"/>
      <c r="T79" s="20">
        <f>+T31-T33+T74</f>
        <v>47863.501603215002</v>
      </c>
      <c r="U79" s="13"/>
      <c r="V79" s="22">
        <f>IF(T$12=0,0,T79/T$12)</f>
        <v>4.2576936306694305E-2</v>
      </c>
      <c r="W79" s="15"/>
      <c r="X79" s="20">
        <f>+P79-T79</f>
        <v>12521.128396784887</v>
      </c>
      <c r="Y79" s="15"/>
      <c r="Z79" s="22">
        <f>IF(T79=0,0,X79/T79)</f>
        <v>0.26160076002345467</v>
      </c>
    </row>
    <row r="80" spans="1:26" x14ac:dyDescent="0.3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3">
      <c r="A81" s="52"/>
      <c r="B81" s="10" t="s">
        <v>128</v>
      </c>
      <c r="C81" s="10"/>
      <c r="D81" s="4">
        <v>13627.98</v>
      </c>
      <c r="E81" s="4"/>
      <c r="F81" s="12">
        <f>IF(D$12=0,0,D81/D$12)</f>
        <v>0.14728531199717793</v>
      </c>
      <c r="G81" s="4"/>
      <c r="H81" s="4">
        <v>25107</v>
      </c>
      <c r="I81" s="4"/>
      <c r="J81" s="12">
        <f>IF(H$12=0,0,H81/H$12)</f>
        <v>0.20859920239282154</v>
      </c>
      <c r="K81" s="4"/>
      <c r="L81" s="4">
        <f>+D81-H81</f>
        <v>-11479.02</v>
      </c>
      <c r="M81" s="4"/>
      <c r="N81" s="12">
        <f>IF(H81=0,0,L81/H81)</f>
        <v>-0.45720396702114952</v>
      </c>
      <c r="O81" s="10"/>
      <c r="P81" s="4">
        <v>99232.88</v>
      </c>
      <c r="Q81" s="4"/>
      <c r="R81" s="12">
        <f>IF(P$12=0,0,P81/P$12)</f>
        <v>0.11911173956944596</v>
      </c>
      <c r="S81" s="4"/>
      <c r="T81" s="4">
        <v>140536</v>
      </c>
      <c r="U81" s="4"/>
      <c r="V81" s="12">
        <f>IF(T$12=0,0,T81/T$12)</f>
        <v>0.12501367681790485</v>
      </c>
      <c r="W81" s="4"/>
      <c r="X81" s="4">
        <f>+P81-T81</f>
        <v>-41303.119999999995</v>
      </c>
      <c r="Y81" s="4"/>
      <c r="Z81" s="12">
        <f>IF(T81=0,0,X81/T81)</f>
        <v>-0.29389707975180734</v>
      </c>
    </row>
    <row r="82" spans="1:26" x14ac:dyDescent="0.3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" thickBot="1" x14ac:dyDescent="0.35">
      <c r="A83" s="10"/>
      <c r="B83" s="26" t="s">
        <v>126</v>
      </c>
      <c r="C83" s="26"/>
      <c r="D83" s="33">
        <f>+D79-D81</f>
        <v>-16870.820000000007</v>
      </c>
      <c r="E83" s="13"/>
      <c r="F83" s="34">
        <f>IF(D$12=0,0,D83/D$12)</f>
        <v>-0.1823325237744868</v>
      </c>
      <c r="G83" s="13"/>
      <c r="H83" s="33">
        <f>+H79-H81</f>
        <v>-24914.642584870002</v>
      </c>
      <c r="I83" s="13"/>
      <c r="J83" s="34">
        <f>IF(H$12=0,0,H83/H$12)</f>
        <v>-0.20700101848512797</v>
      </c>
      <c r="K83" s="15"/>
      <c r="L83" s="33">
        <f>D83-H83</f>
        <v>8043.8225848699949</v>
      </c>
      <c r="M83" s="15"/>
      <c r="N83" s="34">
        <f>IF(H83=0,0,L83/H83)</f>
        <v>-0.32285522689997542</v>
      </c>
      <c r="O83" s="25"/>
      <c r="P83" s="33">
        <f>+P79-P81</f>
        <v>-38848.250000000116</v>
      </c>
      <c r="Q83" s="13"/>
      <c r="R83" s="34">
        <f>IF(P$12=0,0,P83/P$12)</f>
        <v>-4.6630538554647841E-2</v>
      </c>
      <c r="S83" s="13"/>
      <c r="T83" s="33">
        <f>+T79-T81</f>
        <v>-92672.498396784998</v>
      </c>
      <c r="U83" s="13"/>
      <c r="V83" s="34">
        <f>IF(T$12=0,0,T83/T$12)</f>
        <v>-8.2436740511210541E-2</v>
      </c>
      <c r="W83" s="15"/>
      <c r="X83" s="33">
        <f>P83-T83</f>
        <v>53824.248396784882</v>
      </c>
      <c r="Y83" s="15"/>
      <c r="Z83" s="34">
        <f>IF(T83=0,0,X83/T83)</f>
        <v>-0.58080066177057077</v>
      </c>
    </row>
    <row r="84" spans="1:26" ht="15" thickTop="1" x14ac:dyDescent="0.3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x14ac:dyDescent="0.3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" thickBot="1" x14ac:dyDescent="0.35">
      <c r="A86" s="10"/>
      <c r="B86" s="26" t="s">
        <v>294</v>
      </c>
      <c r="C86" s="26"/>
      <c r="D86" s="35">
        <f>SUM(D83:D85)</f>
        <v>-16870.820000000007</v>
      </c>
      <c r="E86" s="13"/>
      <c r="F86" s="32">
        <f>IF(D$12=0,0,D86/D$12)</f>
        <v>-0.1823325237744868</v>
      </c>
      <c r="G86" s="13"/>
      <c r="H86" s="35">
        <f>SUM(H83:H85)</f>
        <v>-24914.642584870002</v>
      </c>
      <c r="I86" s="13"/>
      <c r="J86" s="32">
        <f>IF(H$12=0,0,H86/H$12)</f>
        <v>-0.20700101848512797</v>
      </c>
      <c r="K86" s="15"/>
      <c r="L86" s="35">
        <f>+D86-H86</f>
        <v>8043.8225848699949</v>
      </c>
      <c r="M86" s="15"/>
      <c r="N86" s="32">
        <f>IF(H86=0,0,L86/H86)</f>
        <v>-0.32285522689997542</v>
      </c>
      <c r="O86" s="25"/>
      <c r="P86" s="35">
        <f>SUM(P83:P85)</f>
        <v>-38848.250000000116</v>
      </c>
      <c r="Q86" s="13"/>
      <c r="R86" s="32">
        <f>IF(P$12=0,0,P86/P$12)</f>
        <v>-4.6630538554647841E-2</v>
      </c>
      <c r="S86" s="13"/>
      <c r="T86" s="35">
        <f>SUM(T83:T85)</f>
        <v>-92672.498396784998</v>
      </c>
      <c r="U86" s="13"/>
      <c r="V86" s="32">
        <f>IF(T$12=0,0,T86/T$12)</f>
        <v>-8.2436740511210541E-2</v>
      </c>
      <c r="W86" s="15"/>
      <c r="X86" s="35">
        <f>+P86-T86</f>
        <v>53824.248396784882</v>
      </c>
      <c r="Y86" s="15"/>
      <c r="Z86" s="32">
        <f>IF(T86=0,0,X86/T86)</f>
        <v>-0.58080066177057077</v>
      </c>
    </row>
    <row r="87" spans="1:26" ht="15" thickTop="1" x14ac:dyDescent="0.3">
      <c r="A87" s="9"/>
      <c r="C87" s="9"/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  <row r="88" spans="1:26" x14ac:dyDescent="0.3">
      <c r="A88" s="9"/>
      <c r="B88" s="60">
        <v>44543.753113078703</v>
      </c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3">
      <c r="A89" s="9"/>
      <c r="B89" s="58" t="s">
        <v>56</v>
      </c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  <row r="90" spans="1:26" x14ac:dyDescent="0.3">
      <c r="A90" s="9"/>
      <c r="B90" s="55"/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  <row r="91" spans="1:26" x14ac:dyDescent="0.3"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  <outlinePr summaryBelow="0" summaryRight="0"/>
  </sheetPr>
  <dimension ref="A2:Z10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199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15321.189999999999</v>
      </c>
      <c r="E12" s="4"/>
      <c r="F12" s="12"/>
      <c r="G12" s="4"/>
      <c r="H12" s="4">
        <f>SUM(OSRRefH13x_0)</f>
        <v>24876</v>
      </c>
      <c r="I12" s="4"/>
      <c r="J12" s="12"/>
      <c r="K12" s="4"/>
      <c r="L12" s="4">
        <f t="shared" ref="L12:L16" si="0">+D12-H12</f>
        <v>-9554.8100000000013</v>
      </c>
      <c r="M12" s="4"/>
      <c r="N12" s="12">
        <f t="shared" ref="N12:N16" si="1">IF(H12=0,0,L12/H12)</f>
        <v>-0.38409752371763956</v>
      </c>
      <c r="O12" s="10"/>
      <c r="P12" s="4">
        <f>SUM(OSRRefP13x_0)</f>
        <v>63929.279999999999</v>
      </c>
      <c r="Q12" s="4"/>
      <c r="R12" s="12"/>
      <c r="S12" s="4"/>
      <c r="T12" s="4">
        <f>SUM(OSRRefT13x_0)</f>
        <v>130645</v>
      </c>
      <c r="U12" s="4"/>
      <c r="V12" s="12"/>
      <c r="W12" s="4"/>
      <c r="X12" s="4">
        <f t="shared" ref="X12:X16" si="2">+P12-T12</f>
        <v>-66715.72</v>
      </c>
      <c r="Y12" s="4"/>
      <c r="Z12" s="12">
        <f t="shared" ref="Z12:Z16" si="3">IF(T12=0,0,X12/T12)</f>
        <v>-0.51066416625205713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--2305.85</f>
        <v>2305.85</v>
      </c>
      <c r="E13" s="2"/>
      <c r="F13" s="19"/>
      <c r="G13" s="2"/>
      <c r="H13" s="2">
        <v>4847</v>
      </c>
      <c r="I13" s="2"/>
      <c r="J13" s="19"/>
      <c r="K13" s="2"/>
      <c r="L13" s="2">
        <f t="shared" si="0"/>
        <v>-2541.15</v>
      </c>
      <c r="M13" s="2"/>
      <c r="N13" s="19">
        <f t="shared" si="1"/>
        <v>-0.52427274602847129</v>
      </c>
      <c r="O13" s="11"/>
      <c r="P13" s="2">
        <f>--10622.35</f>
        <v>10622.35</v>
      </c>
      <c r="Q13" s="2"/>
      <c r="R13" s="19"/>
      <c r="S13" s="2"/>
      <c r="T13" s="2">
        <v>25536</v>
      </c>
      <c r="U13" s="2"/>
      <c r="V13" s="19"/>
      <c r="W13" s="2"/>
      <c r="X13" s="2">
        <f t="shared" si="2"/>
        <v>-14913.65</v>
      </c>
      <c r="Y13" s="2"/>
      <c r="Z13" s="19">
        <f t="shared" si="3"/>
        <v>-0.58402451441102754</v>
      </c>
    </row>
    <row r="14" spans="1:26" s="24" customFormat="1" hidden="1" outlineLevel="1" x14ac:dyDescent="0.3">
      <c r="A14" s="44"/>
      <c r="B14" s="11" t="str">
        <f>CONCATENATE("          ", "4053", " - ", "TAXABLE SALES-FOOD")</f>
        <v xml:space="preserve">          4053 - TAXABLE SALES-FOOD</v>
      </c>
      <c r="C14" s="11"/>
      <c r="D14" s="2">
        <f>--84.35</f>
        <v>84.35</v>
      </c>
      <c r="E14" s="2"/>
      <c r="F14" s="19"/>
      <c r="G14" s="2"/>
      <c r="H14" s="2"/>
      <c r="I14" s="2"/>
      <c r="J14" s="19"/>
      <c r="K14" s="2"/>
      <c r="L14" s="2">
        <f t="shared" si="0"/>
        <v>84.35</v>
      </c>
      <c r="M14" s="2"/>
      <c r="N14" s="19">
        <f t="shared" si="1"/>
        <v>0</v>
      </c>
      <c r="O14" s="11"/>
      <c r="P14" s="2">
        <f>--627.97</f>
        <v>627.97</v>
      </c>
      <c r="Q14" s="2"/>
      <c r="R14" s="19"/>
      <c r="S14" s="2"/>
      <c r="T14" s="2"/>
      <c r="U14" s="2"/>
      <c r="V14" s="19"/>
      <c r="W14" s="2"/>
      <c r="X14" s="2">
        <f t="shared" si="2"/>
        <v>627.97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--12930.99</f>
        <v>12930.99</v>
      </c>
      <c r="E15" s="2"/>
      <c r="F15" s="19"/>
      <c r="G15" s="2"/>
      <c r="H15" s="2">
        <v>20029</v>
      </c>
      <c r="I15" s="2"/>
      <c r="J15" s="19"/>
      <c r="K15" s="2"/>
      <c r="L15" s="2">
        <f t="shared" si="0"/>
        <v>-7098.01</v>
      </c>
      <c r="M15" s="2"/>
      <c r="N15" s="19">
        <f t="shared" si="1"/>
        <v>-0.35438663937290932</v>
      </c>
      <c r="O15" s="11"/>
      <c r="P15" s="2">
        <f>--52678.96</f>
        <v>52678.96</v>
      </c>
      <c r="Q15" s="2"/>
      <c r="R15" s="19"/>
      <c r="S15" s="2"/>
      <c r="T15" s="2">
        <v>105109</v>
      </c>
      <c r="U15" s="2"/>
      <c r="V15" s="19"/>
      <c r="W15" s="2"/>
      <c r="X15" s="2">
        <f t="shared" si="2"/>
        <v>-52430.04</v>
      </c>
      <c r="Y15" s="2"/>
      <c r="Z15" s="19">
        <f t="shared" si="3"/>
        <v>-0.49881589587951558</v>
      </c>
    </row>
    <row r="16" spans="1:26" s="24" customFormat="1" hidden="1" outlineLevel="1" x14ac:dyDescent="0.3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0</f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0</f>
        <v>0</v>
      </c>
      <c r="Q16" s="2"/>
      <c r="R16" s="19"/>
      <c r="S16" s="2"/>
      <c r="T16" s="2"/>
      <c r="U16" s="2"/>
      <c r="V16" s="19"/>
      <c r="W16" s="2"/>
      <c r="X16" s="2">
        <f t="shared" si="2"/>
        <v>0</v>
      </c>
      <c r="Y16" s="2"/>
      <c r="Z16" s="19">
        <f t="shared" si="3"/>
        <v>0</v>
      </c>
    </row>
    <row r="17" spans="1:26" x14ac:dyDescent="0.3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">
      <c r="A18" s="10"/>
      <c r="B18" s="25" t="s">
        <v>257</v>
      </c>
      <c r="C18" s="10"/>
      <c r="D18" s="4">
        <f>SUM(OSRRefD16x_0)</f>
        <v>15367.18</v>
      </c>
      <c r="E18" s="4"/>
      <c r="F18" s="12">
        <f t="shared" ref="F18:F21" si="4">IF(D$12=0,0,D18/D$12)</f>
        <v>1.0030017250618262</v>
      </c>
      <c r="G18" s="4"/>
      <c r="H18" s="4">
        <f>SUM(OSRRefH16x_0)</f>
        <v>12189</v>
      </c>
      <c r="I18" s="4"/>
      <c r="J18" s="12">
        <f t="shared" ref="J18:J21" si="5">IF(H$12=0,0,H18/H$12)</f>
        <v>0.48999035214664738</v>
      </c>
      <c r="K18" s="4"/>
      <c r="L18" s="4">
        <f t="shared" ref="L18:L21" si="6">+D18-H18</f>
        <v>3178.1800000000003</v>
      </c>
      <c r="M18" s="4"/>
      <c r="N18" s="12">
        <f t="shared" ref="N18:N21" si="7">IF(H18=0,0,L18/H18)</f>
        <v>0.26074165230945939</v>
      </c>
      <c r="O18" s="10"/>
      <c r="P18" s="4">
        <f>SUM(OSRRefP16x_0)</f>
        <v>38733.019999999997</v>
      </c>
      <c r="Q18" s="4"/>
      <c r="R18" s="12">
        <f t="shared" ref="R18:R21" si="8">IF(P$12=0,0,P18/P$12)</f>
        <v>0.6058729270844283</v>
      </c>
      <c r="S18" s="4"/>
      <c r="T18" s="4">
        <f>SUM(OSRRefT16x_0)</f>
        <v>64018</v>
      </c>
      <c r="U18" s="4"/>
      <c r="V18" s="12">
        <f t="shared" ref="V18:V21" si="9">IF(T$12=0,0,T18/T$12)</f>
        <v>0.49001492594435303</v>
      </c>
      <c r="W18" s="4"/>
      <c r="X18" s="4">
        <f t="shared" ref="X18:X21" si="10">+P18-T18</f>
        <v>-25284.980000000003</v>
      </c>
      <c r="Y18" s="4"/>
      <c r="Z18" s="12">
        <f t="shared" ref="Z18:Z21" si="11">IF(T18=0,0,X18/T18)</f>
        <v>-0.39496672810771977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12189</v>
      </c>
      <c r="I19" s="2"/>
      <c r="J19" s="19">
        <f t="shared" si="5"/>
        <v>0.48999035214664738</v>
      </c>
      <c r="K19" s="2"/>
      <c r="L19" s="2">
        <f t="shared" si="6"/>
        <v>-12189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64018</v>
      </c>
      <c r="U19" s="2"/>
      <c r="V19" s="19">
        <f t="shared" si="9"/>
        <v>0.49001492594435303</v>
      </c>
      <c r="W19" s="2"/>
      <c r="X19" s="2">
        <f t="shared" si="10"/>
        <v>-64018</v>
      </c>
      <c r="Y19" s="2"/>
      <c r="Z19" s="19">
        <f t="shared" si="11"/>
        <v>-1</v>
      </c>
    </row>
    <row r="20" spans="1:26" s="24" customFormat="1" hidden="1" outlineLevel="1" x14ac:dyDescent="0.3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3858.46</v>
      </c>
      <c r="E20" s="2"/>
      <c r="F20" s="19">
        <f t="shared" si="4"/>
        <v>0.25183814050997344</v>
      </c>
      <c r="G20" s="2"/>
      <c r="H20" s="2"/>
      <c r="I20" s="2"/>
      <c r="J20" s="19">
        <f t="shared" si="5"/>
        <v>0</v>
      </c>
      <c r="K20" s="2"/>
      <c r="L20" s="2">
        <f t="shared" si="6"/>
        <v>3858.46</v>
      </c>
      <c r="M20" s="2"/>
      <c r="N20" s="19">
        <f t="shared" si="7"/>
        <v>0</v>
      </c>
      <c r="O20" s="11"/>
      <c r="P20" s="2">
        <v>39941.46</v>
      </c>
      <c r="Q20" s="2"/>
      <c r="R20" s="19">
        <f t="shared" si="8"/>
        <v>0.62477568963704899</v>
      </c>
      <c r="S20" s="2"/>
      <c r="T20" s="2"/>
      <c r="U20" s="2"/>
      <c r="V20" s="19">
        <f t="shared" si="9"/>
        <v>0</v>
      </c>
      <c r="W20" s="2"/>
      <c r="X20" s="2">
        <f t="shared" si="10"/>
        <v>39941.46</v>
      </c>
      <c r="Y20" s="2"/>
      <c r="Z20" s="19">
        <f t="shared" si="11"/>
        <v>0</v>
      </c>
    </row>
    <row r="21" spans="1:26" s="24" customFormat="1" hidden="1" outlineLevel="1" x14ac:dyDescent="0.3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11508.72</v>
      </c>
      <c r="E21" s="2"/>
      <c r="F21" s="19">
        <f t="shared" si="4"/>
        <v>0.75116358455185273</v>
      </c>
      <c r="G21" s="2"/>
      <c r="H21" s="2"/>
      <c r="I21" s="2"/>
      <c r="J21" s="19">
        <f t="shared" si="5"/>
        <v>0</v>
      </c>
      <c r="K21" s="2"/>
      <c r="L21" s="2">
        <f t="shared" si="6"/>
        <v>11508.72</v>
      </c>
      <c r="M21" s="2"/>
      <c r="N21" s="19">
        <f t="shared" si="7"/>
        <v>0</v>
      </c>
      <c r="O21" s="11"/>
      <c r="P21" s="2">
        <v>-1208.44</v>
      </c>
      <c r="Q21" s="2"/>
      <c r="R21" s="19">
        <f t="shared" si="8"/>
        <v>-1.8902762552620647E-2</v>
      </c>
      <c r="S21" s="2"/>
      <c r="T21" s="2"/>
      <c r="U21" s="2"/>
      <c r="V21" s="19">
        <f t="shared" si="9"/>
        <v>0</v>
      </c>
      <c r="W21" s="2"/>
      <c r="X21" s="2">
        <f t="shared" si="10"/>
        <v>-1208.44</v>
      </c>
      <c r="Y21" s="2"/>
      <c r="Z21" s="19">
        <f t="shared" si="11"/>
        <v>0</v>
      </c>
    </row>
    <row r="22" spans="1:26" x14ac:dyDescent="0.3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3">
      <c r="A23" s="10"/>
      <c r="B23" s="26" t="s">
        <v>108</v>
      </c>
      <c r="C23" s="26"/>
      <c r="D23" s="20">
        <f>D12-D18</f>
        <v>-45.990000000001601</v>
      </c>
      <c r="E23" s="13"/>
      <c r="F23" s="22">
        <f>IF(D$12=0,0,D23/D$12)</f>
        <v>-3.0017250618262423E-3</v>
      </c>
      <c r="G23" s="13"/>
      <c r="H23" s="20">
        <f>H12-H18</f>
        <v>12687</v>
      </c>
      <c r="I23" s="13"/>
      <c r="J23" s="22">
        <f>IF(H$12=0,0,H23/H$12)</f>
        <v>0.51000964785335268</v>
      </c>
      <c r="K23" s="15"/>
      <c r="L23" s="20">
        <f>+D23-H23</f>
        <v>-12732.990000000002</v>
      </c>
      <c r="M23" s="15"/>
      <c r="N23" s="22">
        <f>IF(H23=0,0,L23/H23)</f>
        <v>-1.0036249704421851</v>
      </c>
      <c r="O23" s="25"/>
      <c r="P23" s="20">
        <f>P12-P18</f>
        <v>25196.260000000002</v>
      </c>
      <c r="Q23" s="13"/>
      <c r="R23" s="22">
        <f>IF(P$12=0,0,P23/P$12)</f>
        <v>0.39412707291557175</v>
      </c>
      <c r="S23" s="13"/>
      <c r="T23" s="20">
        <f>T12-T18</f>
        <v>66627</v>
      </c>
      <c r="U23" s="13"/>
      <c r="V23" s="22">
        <f>IF(T$12=0,0,T23/T$12)</f>
        <v>0.50998507405564697</v>
      </c>
      <c r="W23" s="15"/>
      <c r="X23" s="20">
        <f>+P23-T23</f>
        <v>-41430.74</v>
      </c>
      <c r="Y23" s="15"/>
      <c r="Z23" s="22">
        <f>IF(T23=0,0,X23/T23)</f>
        <v>-0.62183108949825139</v>
      </c>
    </row>
    <row r="24" spans="1:26" x14ac:dyDescent="0.3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">
      <c r="A25" s="10"/>
      <c r="B25" s="25" t="s">
        <v>295</v>
      </c>
      <c r="C25" s="10"/>
      <c r="D25" s="21">
        <f>SUM(OSRRefD22x_0)</f>
        <v>17210.640000000003</v>
      </c>
      <c r="E25" s="21"/>
      <c r="F25" s="30">
        <f t="shared" ref="F25:F35" si="12">IF(D$12=0,0,D25/D$12)</f>
        <v>1.1233226661897675</v>
      </c>
      <c r="G25" s="21"/>
      <c r="H25" s="21">
        <f>SUM(OSRRefH22x_0)</f>
        <v>32448.96838730769</v>
      </c>
      <c r="I25" s="21"/>
      <c r="J25" s="30">
        <f t="shared" ref="J25:J35" si="13">IF(H$12=0,0,H25/H$12)</f>
        <v>1.304428701853501</v>
      </c>
      <c r="K25" s="4"/>
      <c r="L25" s="21">
        <f t="shared" ref="L25:L35" si="14">+D25-H25</f>
        <v>-15238.328387307687</v>
      </c>
      <c r="M25" s="4"/>
      <c r="N25" s="30">
        <f t="shared" ref="N25:N35" si="15">IF(H25=0,0,L25/H25)</f>
        <v>-0.46960902440485935</v>
      </c>
      <c r="O25" s="10"/>
      <c r="P25" s="21">
        <f>SUM(OSRRefP22x_0)</f>
        <v>96096.93</v>
      </c>
      <c r="Q25" s="21"/>
      <c r="R25" s="30">
        <f t="shared" ref="R25:R35" si="16">IF(P$12=0,0,P25/P$12)</f>
        <v>1.5031755402219451</v>
      </c>
      <c r="S25" s="21"/>
      <c r="T25" s="21">
        <f>SUM(OSRRefT22x_0)</f>
        <v>175617.15639269233</v>
      </c>
      <c r="U25" s="21"/>
      <c r="V25" s="30">
        <f t="shared" ref="V25:V35" si="17">IF(T$12=0,0,T25/T$12)</f>
        <v>1.3442317455141208</v>
      </c>
      <c r="W25" s="4"/>
      <c r="X25" s="21">
        <f t="shared" ref="X25:X35" si="18">+P25-T25</f>
        <v>-79520.226392692333</v>
      </c>
      <c r="Y25" s="4"/>
      <c r="Z25" s="30">
        <f t="shared" ref="Z25:Z35" si="19">IF(T25=0,0,X25/T25)</f>
        <v>-0.45280442996628134</v>
      </c>
    </row>
    <row r="26" spans="1:26" s="29" customFormat="1" outlineLevel="1" collapsed="1" x14ac:dyDescent="0.3">
      <c r="A26" s="28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494.53000000000003</v>
      </c>
      <c r="E26" s="1"/>
      <c r="F26" s="5">
        <f t="shared" si="12"/>
        <v>3.2277518913348117E-2</v>
      </c>
      <c r="G26" s="1"/>
      <c r="H26" s="1">
        <f>SUM(OSRRefH22_0x_0)</f>
        <v>4241.1041565384603</v>
      </c>
      <c r="I26" s="1"/>
      <c r="J26" s="5">
        <f t="shared" si="13"/>
        <v>0.17048979564795225</v>
      </c>
      <c r="K26" s="1"/>
      <c r="L26" s="1">
        <f t="shared" si="14"/>
        <v>-3746.5741565384601</v>
      </c>
      <c r="M26" s="1"/>
      <c r="N26" s="5">
        <f t="shared" si="15"/>
        <v>-0.8833959314020644</v>
      </c>
      <c r="O26" s="14"/>
      <c r="P26" s="1">
        <f>SUM(OSRRefP22_0x_0)</f>
        <v>1579.4299999999998</v>
      </c>
      <c r="Q26" s="1"/>
      <c r="R26" s="5">
        <f t="shared" si="16"/>
        <v>2.4705893762607678E-2</v>
      </c>
      <c r="S26" s="1"/>
      <c r="T26" s="1">
        <f>SUM(OSRRefT22_0x_0)</f>
        <v>22100.700623461518</v>
      </c>
      <c r="U26" s="1"/>
      <c r="V26" s="5">
        <f t="shared" si="17"/>
        <v>0.16916606547102084</v>
      </c>
      <c r="W26" s="1"/>
      <c r="X26" s="1">
        <f t="shared" si="18"/>
        <v>-20521.270623461518</v>
      </c>
      <c r="Y26" s="1"/>
      <c r="Z26" s="5">
        <f t="shared" si="19"/>
        <v>-0.92853484480381954</v>
      </c>
    </row>
    <row r="27" spans="1:26" s="24" customFormat="1" hidden="1" outlineLevel="2" x14ac:dyDescent="0.3">
      <c r="A27" s="27"/>
      <c r="B27" s="11" t="str">
        <f>CONCATENATE("          ", "6111", " - ", "F.I.C.A.")</f>
        <v xml:space="preserve">          6111 - F.I.C.A.</v>
      </c>
      <c r="C27" s="11"/>
      <c r="D27" s="6">
        <v>210.4</v>
      </c>
      <c r="E27" s="2"/>
      <c r="F27" s="7">
        <f t="shared" si="12"/>
        <v>1.3732614764257869E-2</v>
      </c>
      <c r="G27" s="2"/>
      <c r="H27" s="6">
        <v>547.53977192307696</v>
      </c>
      <c r="I27" s="2"/>
      <c r="J27" s="7">
        <f t="shared" si="13"/>
        <v>2.2010764267690823E-2</v>
      </c>
      <c r="K27" s="2"/>
      <c r="L27" s="6">
        <f t="shared" si="14"/>
        <v>-337.13977192307698</v>
      </c>
      <c r="M27" s="2"/>
      <c r="N27" s="7">
        <f t="shared" si="15"/>
        <v>-0.61573567658650596</v>
      </c>
      <c r="O27" s="11"/>
      <c r="P27" s="6">
        <v>901.12</v>
      </c>
      <c r="Q27" s="2"/>
      <c r="R27" s="7">
        <f t="shared" si="16"/>
        <v>1.4095575611050211E-2</v>
      </c>
      <c r="S27" s="2"/>
      <c r="T27" s="6">
        <v>3074.31900807692</v>
      </c>
      <c r="U27" s="2"/>
      <c r="V27" s="7">
        <f t="shared" si="17"/>
        <v>2.3531853557938843E-2</v>
      </c>
      <c r="W27" s="2"/>
      <c r="X27" s="6">
        <f t="shared" si="18"/>
        <v>-2173.1990080769201</v>
      </c>
      <c r="Y27" s="2"/>
      <c r="Z27" s="7">
        <f t="shared" si="19"/>
        <v>-0.70688793269906047</v>
      </c>
    </row>
    <row r="28" spans="1:26" s="24" customFormat="1" hidden="1" outlineLevel="2" x14ac:dyDescent="0.3">
      <c r="A28" s="27"/>
      <c r="B28" s="11" t="str">
        <f>CONCATENATE("          ", "6112", " - ", "COMPENSATION INSURANCE")</f>
        <v xml:space="preserve">          6112 - COMPENSATION INSURANCE</v>
      </c>
      <c r="C28" s="11"/>
      <c r="D28" s="6">
        <v>73.540000000000006</v>
      </c>
      <c r="E28" s="2"/>
      <c r="F28" s="7">
        <f t="shared" si="12"/>
        <v>4.7998882593323373E-3</v>
      </c>
      <c r="G28" s="2"/>
      <c r="H28" s="6">
        <v>538.58086538461498</v>
      </c>
      <c r="I28" s="2"/>
      <c r="J28" s="7">
        <f t="shared" si="13"/>
        <v>2.1650621699011698E-2</v>
      </c>
      <c r="K28" s="2"/>
      <c r="L28" s="6">
        <f t="shared" si="14"/>
        <v>-465.04086538461496</v>
      </c>
      <c r="M28" s="2"/>
      <c r="N28" s="7">
        <f t="shared" si="15"/>
        <v>-0.86345597341731939</v>
      </c>
      <c r="O28" s="11"/>
      <c r="P28" s="6">
        <v>309.79000000000002</v>
      </c>
      <c r="Q28" s="2"/>
      <c r="R28" s="7">
        <f t="shared" si="16"/>
        <v>4.845823384840249E-3</v>
      </c>
      <c r="S28" s="2"/>
      <c r="T28" s="6">
        <v>2799.9164346153798</v>
      </c>
      <c r="U28" s="2"/>
      <c r="V28" s="7">
        <f t="shared" si="17"/>
        <v>2.143148558777894E-2</v>
      </c>
      <c r="W28" s="2"/>
      <c r="X28" s="6">
        <f t="shared" si="18"/>
        <v>-2490.1264346153798</v>
      </c>
      <c r="Y28" s="2"/>
      <c r="Z28" s="7">
        <f t="shared" si="19"/>
        <v>-0.88935741218199771</v>
      </c>
    </row>
    <row r="29" spans="1:26" s="24" customFormat="1" hidden="1" outlineLevel="2" x14ac:dyDescent="0.3">
      <c r="A29" s="27"/>
      <c r="B29" s="11" t="str">
        <f>CONCATENATE("          ", "6113", " - ", "GROUP INSURANCE")</f>
        <v xml:space="preserve">          6113 - GROUP INSURANCE</v>
      </c>
      <c r="C29" s="11"/>
      <c r="D29" s="6"/>
      <c r="E29" s="2"/>
      <c r="F29" s="7">
        <f t="shared" si="12"/>
        <v>0</v>
      </c>
      <c r="G29" s="2"/>
      <c r="H29" s="6">
        <v>1977</v>
      </c>
      <c r="I29" s="2"/>
      <c r="J29" s="7">
        <f t="shared" si="13"/>
        <v>7.9474191992281715E-2</v>
      </c>
      <c r="K29" s="2"/>
      <c r="L29" s="6">
        <f t="shared" si="14"/>
        <v>-1977</v>
      </c>
      <c r="M29" s="2"/>
      <c r="N29" s="7">
        <f t="shared" si="15"/>
        <v>-1</v>
      </c>
      <c r="O29" s="11"/>
      <c r="P29" s="6"/>
      <c r="Q29" s="2"/>
      <c r="R29" s="7">
        <f t="shared" si="16"/>
        <v>0</v>
      </c>
      <c r="S29" s="2"/>
      <c r="T29" s="6">
        <v>9885</v>
      </c>
      <c r="U29" s="2"/>
      <c r="V29" s="7">
        <f t="shared" si="17"/>
        <v>7.5663056374143667E-2</v>
      </c>
      <c r="W29" s="2"/>
      <c r="X29" s="6">
        <f t="shared" si="18"/>
        <v>-9885</v>
      </c>
      <c r="Y29" s="2"/>
      <c r="Z29" s="7">
        <f t="shared" si="19"/>
        <v>-1</v>
      </c>
    </row>
    <row r="30" spans="1:26" s="24" customFormat="1" hidden="1" outlineLevel="2" x14ac:dyDescent="0.3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11.18</v>
      </c>
      <c r="E30" s="2"/>
      <c r="F30" s="7">
        <f t="shared" si="12"/>
        <v>7.2970833205514719E-4</v>
      </c>
      <c r="G30" s="2"/>
      <c r="H30" s="6">
        <v>29.842211538461498</v>
      </c>
      <c r="I30" s="2"/>
      <c r="J30" s="7">
        <f t="shared" si="13"/>
        <v>1.1996386693383784E-3</v>
      </c>
      <c r="K30" s="2"/>
      <c r="L30" s="6">
        <f t="shared" si="14"/>
        <v>-18.662211538461499</v>
      </c>
      <c r="M30" s="2"/>
      <c r="N30" s="7">
        <f t="shared" si="15"/>
        <v>-0.62536288620597391</v>
      </c>
      <c r="O30" s="11"/>
      <c r="P30" s="6">
        <v>51.03</v>
      </c>
      <c r="Q30" s="2"/>
      <c r="R30" s="7">
        <f t="shared" si="16"/>
        <v>7.9822578949739461E-4</v>
      </c>
      <c r="S30" s="2"/>
      <c r="T30" s="6">
        <v>155.14048846153801</v>
      </c>
      <c r="U30" s="2"/>
      <c r="V30" s="7">
        <f t="shared" si="17"/>
        <v>1.1874965629112327E-3</v>
      </c>
      <c r="W30" s="2"/>
      <c r="X30" s="6">
        <f t="shared" si="18"/>
        <v>-104.11048846153801</v>
      </c>
      <c r="Y30" s="2"/>
      <c r="Z30" s="7">
        <f t="shared" si="19"/>
        <v>-0.6710723260830056</v>
      </c>
    </row>
    <row r="31" spans="1:26" s="24" customFormat="1" hidden="1" outlineLevel="2" x14ac:dyDescent="0.3">
      <c r="A31" s="27"/>
      <c r="B31" s="11" t="str">
        <f>CONCATENATE("          ", "6115", " - ", "P.E.R.S.")</f>
        <v xml:space="preserve">          6115 - P.E.R.S.</v>
      </c>
      <c r="C31" s="11"/>
      <c r="D31" s="6"/>
      <c r="E31" s="2"/>
      <c r="F31" s="7">
        <f t="shared" si="12"/>
        <v>0</v>
      </c>
      <c r="G31" s="2"/>
      <c r="H31" s="6">
        <v>397.928615384615</v>
      </c>
      <c r="I31" s="2"/>
      <c r="J31" s="7">
        <f t="shared" si="13"/>
        <v>1.5996487191856208E-2</v>
      </c>
      <c r="K31" s="2"/>
      <c r="L31" s="6">
        <f t="shared" si="14"/>
        <v>-397.928615384615</v>
      </c>
      <c r="M31" s="2"/>
      <c r="N31" s="7">
        <f t="shared" si="15"/>
        <v>-1</v>
      </c>
      <c r="O31" s="11"/>
      <c r="P31" s="6"/>
      <c r="Q31" s="2"/>
      <c r="R31" s="7">
        <f t="shared" si="16"/>
        <v>0</v>
      </c>
      <c r="S31" s="2"/>
      <c r="T31" s="6">
        <v>2188.6073846153799</v>
      </c>
      <c r="U31" s="2"/>
      <c r="V31" s="7">
        <f t="shared" si="17"/>
        <v>1.6752324119678363E-2</v>
      </c>
      <c r="W31" s="2"/>
      <c r="X31" s="6">
        <f t="shared" si="18"/>
        <v>-2188.6073846153799</v>
      </c>
      <c r="Y31" s="2"/>
      <c r="Z31" s="7">
        <f t="shared" si="19"/>
        <v>-1</v>
      </c>
    </row>
    <row r="32" spans="1:26" s="24" customFormat="1" hidden="1" outlineLevel="2" x14ac:dyDescent="0.3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3">
      <c r="A33" s="27"/>
      <c r="B33" s="11" t="str">
        <f>CONCATENATE("          ", "6118", " - ", "VACATION")</f>
        <v xml:space="preserve">          6118 - VACATION</v>
      </c>
      <c r="C33" s="11"/>
      <c r="D33" s="6">
        <v>81.62</v>
      </c>
      <c r="E33" s="2"/>
      <c r="F33" s="7">
        <f t="shared" si="12"/>
        <v>5.3272624384920501E-3</v>
      </c>
      <c r="G33" s="2"/>
      <c r="H33" s="6">
        <v>231.35384615384601</v>
      </c>
      <c r="I33" s="2"/>
      <c r="J33" s="7">
        <f t="shared" si="13"/>
        <v>9.3002832510791934E-3</v>
      </c>
      <c r="K33" s="2"/>
      <c r="L33" s="6">
        <f t="shared" si="14"/>
        <v>-149.733846153846</v>
      </c>
      <c r="M33" s="2"/>
      <c r="N33" s="7">
        <f t="shared" si="15"/>
        <v>-0.64720707540896372</v>
      </c>
      <c r="O33" s="11"/>
      <c r="P33" s="6">
        <v>81.62</v>
      </c>
      <c r="Q33" s="2"/>
      <c r="R33" s="7">
        <f t="shared" si="16"/>
        <v>1.2767232792235421E-3</v>
      </c>
      <c r="S33" s="2"/>
      <c r="T33" s="6">
        <v>1272.4461538461501</v>
      </c>
      <c r="U33" s="2"/>
      <c r="V33" s="7">
        <f t="shared" si="17"/>
        <v>9.7397233253943907E-3</v>
      </c>
      <c r="W33" s="2"/>
      <c r="X33" s="6">
        <f t="shared" si="18"/>
        <v>-1190.8261538461502</v>
      </c>
      <c r="Y33" s="2"/>
      <c r="Z33" s="7">
        <f t="shared" si="19"/>
        <v>-0.93585583189253885</v>
      </c>
    </row>
    <row r="34" spans="1:26" s="24" customFormat="1" hidden="1" outlineLevel="2" x14ac:dyDescent="0.3">
      <c r="A34" s="27"/>
      <c r="B34" s="11" t="str">
        <f>CONCATENATE("          ", "6119", " - ", "SICK LEAVE")</f>
        <v xml:space="preserve">          6119 - SICK LEAVE</v>
      </c>
      <c r="C34" s="11"/>
      <c r="D34" s="6">
        <v>97.79</v>
      </c>
      <c r="E34" s="2"/>
      <c r="F34" s="7">
        <f t="shared" si="12"/>
        <v>6.3826634876272678E-3</v>
      </c>
      <c r="G34" s="2"/>
      <c r="H34" s="6">
        <v>518.858846153846</v>
      </c>
      <c r="I34" s="2"/>
      <c r="J34" s="7">
        <f t="shared" si="13"/>
        <v>2.0857808576694243E-2</v>
      </c>
      <c r="K34" s="2"/>
      <c r="L34" s="6">
        <f t="shared" si="14"/>
        <v>-421.06884615384598</v>
      </c>
      <c r="M34" s="2"/>
      <c r="N34" s="7">
        <f t="shared" si="15"/>
        <v>-0.81152870241128261</v>
      </c>
      <c r="O34" s="11"/>
      <c r="P34" s="6">
        <v>97.79</v>
      </c>
      <c r="Q34" s="2"/>
      <c r="R34" s="7">
        <f t="shared" si="16"/>
        <v>1.529659023220659E-3</v>
      </c>
      <c r="S34" s="2"/>
      <c r="T34" s="6">
        <v>2725.2711538461499</v>
      </c>
      <c r="U34" s="2"/>
      <c r="V34" s="7">
        <f t="shared" si="17"/>
        <v>2.0860125943175399E-2</v>
      </c>
      <c r="W34" s="2"/>
      <c r="X34" s="6">
        <f t="shared" si="18"/>
        <v>-2627.4811538461499</v>
      </c>
      <c r="Y34" s="2"/>
      <c r="Z34" s="7">
        <f t="shared" si="19"/>
        <v>-0.96411733200860039</v>
      </c>
    </row>
    <row r="35" spans="1:26" s="24" customFormat="1" hidden="1" outlineLevel="2" x14ac:dyDescent="0.3">
      <c r="A35" s="27"/>
      <c r="B35" s="11" t="str">
        <f>CONCATENATE("          ", "6156", " - ", "EMPLOYEE MEALS")</f>
        <v xml:space="preserve">          6156 - EMPLOYEE MEALS</v>
      </c>
      <c r="C35" s="11"/>
      <c r="D35" s="6">
        <v>20</v>
      </c>
      <c r="E35" s="2"/>
      <c r="F35" s="7">
        <f t="shared" si="12"/>
        <v>1.3053816315834476E-3</v>
      </c>
      <c r="G35" s="2"/>
      <c r="H35" s="6"/>
      <c r="I35" s="2"/>
      <c r="J35" s="7">
        <f t="shared" si="13"/>
        <v>0</v>
      </c>
      <c r="K35" s="2"/>
      <c r="L35" s="6">
        <f t="shared" si="14"/>
        <v>20</v>
      </c>
      <c r="M35" s="2"/>
      <c r="N35" s="7">
        <f t="shared" si="15"/>
        <v>0</v>
      </c>
      <c r="O35" s="11"/>
      <c r="P35" s="6">
        <v>138.08000000000001</v>
      </c>
      <c r="Q35" s="2"/>
      <c r="R35" s="7">
        <f t="shared" si="16"/>
        <v>2.1598866747756275E-3</v>
      </c>
      <c r="S35" s="2"/>
      <c r="T35" s="6"/>
      <c r="U35" s="2"/>
      <c r="V35" s="7">
        <f t="shared" si="17"/>
        <v>0</v>
      </c>
      <c r="W35" s="2"/>
      <c r="X35" s="6">
        <f t="shared" si="18"/>
        <v>138.08000000000001</v>
      </c>
      <c r="Y35" s="2"/>
      <c r="Z35" s="7">
        <f t="shared" si="19"/>
        <v>0</v>
      </c>
    </row>
    <row r="36" spans="1:26" s="29" customFormat="1" outlineLevel="1" collapsed="1" x14ac:dyDescent="0.3">
      <c r="A36" s="28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SUM(OSRRefD22_1x_0)</f>
        <v>4186.26</v>
      </c>
      <c r="E36" s="1"/>
      <c r="F36" s="5">
        <f t="shared" ref="F36:F46" si="20">IF(D$12=0,0,D36/D$12)</f>
        <v>0.2732333454516262</v>
      </c>
      <c r="G36" s="1"/>
      <c r="H36" s="1">
        <f>SUM(OSRRefH22_1x_0)</f>
        <v>13460.36423076923</v>
      </c>
      <c r="I36" s="1"/>
      <c r="J36" s="5">
        <f t="shared" ref="J36:J46" si="21">IF(H$12=0,0,H36/H$12)</f>
        <v>0.54109841738097886</v>
      </c>
      <c r="K36" s="1"/>
      <c r="L36" s="1">
        <f t="shared" ref="L36:L46" si="22">+D36-H36</f>
        <v>-9274.1042307692296</v>
      </c>
      <c r="M36" s="1"/>
      <c r="N36" s="5">
        <f t="shared" ref="N36:N46" si="23">IF(H36=0,0,L36/H36)</f>
        <v>-0.68899355706656351</v>
      </c>
      <c r="O36" s="14"/>
      <c r="P36" s="1">
        <f>SUM(OSRRefP22_1x_0)</f>
        <v>18558.02</v>
      </c>
      <c r="Q36" s="1"/>
      <c r="R36" s="5">
        <f t="shared" ref="R36:R46" si="24">IF(P$12=0,0,P36/P$12)</f>
        <v>0.29028983276520559</v>
      </c>
      <c r="S36" s="1"/>
      <c r="T36" s="1">
        <f>SUM(OSRRefT22_1x_0)</f>
        <v>69878.705769230801</v>
      </c>
      <c r="U36" s="1"/>
      <c r="V36" s="5">
        <f t="shared" ref="V36:V46" si="25">IF(T$12=0,0,T36/T$12)</f>
        <v>0.53487470449868579</v>
      </c>
      <c r="W36" s="1"/>
      <c r="X36" s="1">
        <f t="shared" ref="X36:X46" si="26">+P36-T36</f>
        <v>-51320.685769230797</v>
      </c>
      <c r="Y36" s="1"/>
      <c r="Z36" s="5">
        <f t="shared" ref="Z36:Z46" si="27">IF(T36=0,0,X36/T36)</f>
        <v>-0.73442524735236969</v>
      </c>
    </row>
    <row r="37" spans="1:26" s="24" customFormat="1" hidden="1" outlineLevel="2" x14ac:dyDescent="0.3">
      <c r="A37" s="27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3">
      <c r="A38" s="27"/>
      <c r="B38" s="11" t="str">
        <f>CONCATENATE("          ", "6002", " - ", "STAFF SALARIES")</f>
        <v xml:space="preserve">          6002 - STAFF SALARIES</v>
      </c>
      <c r="C38" s="11"/>
      <c r="D38" s="6"/>
      <c r="E38" s="2"/>
      <c r="F38" s="7">
        <f t="shared" si="20"/>
        <v>0</v>
      </c>
      <c r="G38" s="2"/>
      <c r="H38" s="6">
        <v>4164.3692307692299</v>
      </c>
      <c r="I38" s="2"/>
      <c r="J38" s="7">
        <f t="shared" si="21"/>
        <v>0.16740509851942556</v>
      </c>
      <c r="K38" s="2"/>
      <c r="L38" s="6">
        <f t="shared" si="22"/>
        <v>-4164.3692307692299</v>
      </c>
      <c r="M38" s="2"/>
      <c r="N38" s="7">
        <f t="shared" si="23"/>
        <v>-1</v>
      </c>
      <c r="O38" s="11"/>
      <c r="P38" s="6"/>
      <c r="Q38" s="2"/>
      <c r="R38" s="7">
        <f t="shared" si="24"/>
        <v>0</v>
      </c>
      <c r="S38" s="2"/>
      <c r="T38" s="6">
        <v>22904.030769230802</v>
      </c>
      <c r="U38" s="2"/>
      <c r="V38" s="7">
        <f t="shared" si="25"/>
        <v>0.1753150198570998</v>
      </c>
      <c r="W38" s="2"/>
      <c r="X38" s="6">
        <f t="shared" si="26"/>
        <v>-22904.030769230802</v>
      </c>
      <c r="Y38" s="2"/>
      <c r="Z38" s="7">
        <f t="shared" si="27"/>
        <v>-1</v>
      </c>
    </row>
    <row r="39" spans="1:26" s="24" customFormat="1" hidden="1" outlineLevel="2" x14ac:dyDescent="0.3">
      <c r="A39" s="27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3">
      <c r="A40" s="27"/>
      <c r="B40" s="11" t="str">
        <f>CONCATENATE("          ", "6004", " - ", "STAFF HOURLY")</f>
        <v xml:space="preserve">          6004 - STAFF HOURLY</v>
      </c>
      <c r="C40" s="11"/>
      <c r="D40" s="6">
        <v>466.93</v>
      </c>
      <c r="E40" s="2"/>
      <c r="F40" s="7">
        <f t="shared" si="20"/>
        <v>3.0476092261762962E-2</v>
      </c>
      <c r="G40" s="2"/>
      <c r="H40" s="6">
        <v>2451.6750000000002</v>
      </c>
      <c r="I40" s="2"/>
      <c r="J40" s="7">
        <f t="shared" si="21"/>
        <v>9.8555836951278342E-2</v>
      </c>
      <c r="K40" s="2"/>
      <c r="L40" s="6">
        <f t="shared" si="22"/>
        <v>-1984.7450000000001</v>
      </c>
      <c r="M40" s="2"/>
      <c r="N40" s="7">
        <f t="shared" si="23"/>
        <v>-0.80954653451211922</v>
      </c>
      <c r="O40" s="11"/>
      <c r="P40" s="6">
        <v>466.93</v>
      </c>
      <c r="Q40" s="2"/>
      <c r="R40" s="7">
        <f t="shared" si="24"/>
        <v>7.3038520064671467E-3</v>
      </c>
      <c r="S40" s="2"/>
      <c r="T40" s="6">
        <v>14280.825000000001</v>
      </c>
      <c r="U40" s="2"/>
      <c r="V40" s="7">
        <f t="shared" si="25"/>
        <v>0.10931015346932528</v>
      </c>
      <c r="W40" s="2"/>
      <c r="X40" s="6">
        <f t="shared" si="26"/>
        <v>-13813.895</v>
      </c>
      <c r="Y40" s="2"/>
      <c r="Z40" s="7">
        <f t="shared" si="27"/>
        <v>-0.96730370969464297</v>
      </c>
    </row>
    <row r="41" spans="1:26" s="24" customFormat="1" hidden="1" outlineLevel="2" x14ac:dyDescent="0.3">
      <c r="A41" s="27"/>
      <c r="B41" s="11" t="str">
        <f>CONCATENATE("          ", "6005", " - ", "TEMPORARY WAGES-HOURLY")</f>
        <v xml:space="preserve">          6005 - TEMPORARY WAGES-HOURLY</v>
      </c>
      <c r="C41" s="11"/>
      <c r="D41" s="6">
        <v>2283.4499999999998</v>
      </c>
      <c r="E41" s="2"/>
      <c r="F41" s="7">
        <f t="shared" si="20"/>
        <v>0.14903868433196116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2283.4499999999998</v>
      </c>
      <c r="M41" s="2"/>
      <c r="N41" s="7">
        <f t="shared" si="23"/>
        <v>0</v>
      </c>
      <c r="O41" s="11"/>
      <c r="P41" s="6">
        <v>10463.85</v>
      </c>
      <c r="Q41" s="2"/>
      <c r="R41" s="7">
        <f t="shared" si="24"/>
        <v>0.16367852101572239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10463.85</v>
      </c>
      <c r="Y41" s="2"/>
      <c r="Z41" s="7">
        <f t="shared" si="27"/>
        <v>0</v>
      </c>
    </row>
    <row r="42" spans="1:26" s="24" customFormat="1" hidden="1" outlineLevel="2" x14ac:dyDescent="0.3">
      <c r="A42" s="27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/>
      <c r="Q42" s="2"/>
      <c r="R42" s="7">
        <f t="shared" si="24"/>
        <v>0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0</v>
      </c>
      <c r="Y42" s="2"/>
      <c r="Z42" s="7">
        <f t="shared" si="27"/>
        <v>0</v>
      </c>
    </row>
    <row r="43" spans="1:26" s="24" customFormat="1" hidden="1" outlineLevel="2" x14ac:dyDescent="0.3">
      <c r="A43" s="27"/>
      <c r="B43" s="11" t="str">
        <f>CONCATENATE("          ", "6007", " - ", "STUDENT HOURLY")</f>
        <v xml:space="preserve">          6007 - STUDENT HOURLY</v>
      </c>
      <c r="C43" s="11"/>
      <c r="D43" s="6">
        <v>1435.88</v>
      </c>
      <c r="E43" s="2"/>
      <c r="F43" s="7">
        <f t="shared" si="20"/>
        <v>9.3718568857902043E-2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1435.88</v>
      </c>
      <c r="M43" s="2"/>
      <c r="N43" s="7">
        <f t="shared" si="23"/>
        <v>0</v>
      </c>
      <c r="O43" s="11"/>
      <c r="P43" s="6">
        <v>7627.24</v>
      </c>
      <c r="Q43" s="2"/>
      <c r="R43" s="7">
        <f t="shared" si="24"/>
        <v>0.11930745974301603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7627.24</v>
      </c>
      <c r="Y43" s="2"/>
      <c r="Z43" s="7">
        <f t="shared" si="27"/>
        <v>0</v>
      </c>
    </row>
    <row r="44" spans="1:26" s="24" customFormat="1" hidden="1" outlineLevel="2" x14ac:dyDescent="0.3">
      <c r="A44" s="27"/>
      <c r="B44" s="11" t="str">
        <f>CONCATENATE("          ", "6008", " - ", "STUDENT HOURLY-FICA EXEMPT")</f>
        <v xml:space="preserve">          6008 - STUDENT HOURLY-FICA EXEMPT</v>
      </c>
      <c r="C44" s="11"/>
      <c r="D44" s="6"/>
      <c r="E44" s="2"/>
      <c r="F44" s="7">
        <f t="shared" si="20"/>
        <v>0</v>
      </c>
      <c r="G44" s="2"/>
      <c r="H44" s="6">
        <v>6844.32</v>
      </c>
      <c r="I44" s="2"/>
      <c r="J44" s="7">
        <f t="shared" si="21"/>
        <v>0.27513748191027493</v>
      </c>
      <c r="K44" s="2"/>
      <c r="L44" s="6">
        <f t="shared" si="22"/>
        <v>-6844.32</v>
      </c>
      <c r="M44" s="2"/>
      <c r="N44" s="7">
        <f t="shared" si="23"/>
        <v>-1</v>
      </c>
      <c r="O44" s="11"/>
      <c r="P44" s="6"/>
      <c r="Q44" s="2"/>
      <c r="R44" s="7">
        <f t="shared" si="24"/>
        <v>0</v>
      </c>
      <c r="S44" s="2"/>
      <c r="T44" s="6">
        <v>32693.85</v>
      </c>
      <c r="U44" s="2"/>
      <c r="V44" s="7">
        <f t="shared" si="25"/>
        <v>0.25024953117226068</v>
      </c>
      <c r="W44" s="2"/>
      <c r="X44" s="6">
        <f t="shared" si="26"/>
        <v>-32693.85</v>
      </c>
      <c r="Y44" s="2"/>
      <c r="Z44" s="7">
        <f t="shared" si="27"/>
        <v>-1</v>
      </c>
    </row>
    <row r="45" spans="1:26" s="24" customFormat="1" hidden="1" outlineLevel="2" x14ac:dyDescent="0.3">
      <c r="A45" s="27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3">
      <c r="A46" s="27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9" customFormat="1" outlineLevel="1" collapsed="1" x14ac:dyDescent="0.3">
      <c r="A47" s="28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SUM(OSRRefD22_2x_0)</f>
        <v>3.25</v>
      </c>
      <c r="E47" s="1"/>
      <c r="F47" s="5">
        <f t="shared" ref="F47:F55" si="28">IF(D$12=0,0,D47/D$12)</f>
        <v>2.1212451513231024E-4</v>
      </c>
      <c r="G47" s="1"/>
      <c r="H47" s="1">
        <f>SUM(OSRRefH22_2x_0)</f>
        <v>0</v>
      </c>
      <c r="I47" s="1"/>
      <c r="J47" s="5">
        <f t="shared" ref="J47:J55" si="29">IF(H$12=0,0,H47/H$12)</f>
        <v>0</v>
      </c>
      <c r="K47" s="1"/>
      <c r="L47" s="1">
        <f t="shared" ref="L47:L55" si="30">+D47-H47</f>
        <v>3.25</v>
      </c>
      <c r="M47" s="1"/>
      <c r="N47" s="5">
        <f t="shared" ref="N47:N55" si="31">IF(H47=0,0,L47/H47)</f>
        <v>0</v>
      </c>
      <c r="O47" s="14"/>
      <c r="P47" s="1">
        <f>SUM(OSRRefP22_2x_0)</f>
        <v>91.22</v>
      </c>
      <c r="Q47" s="1"/>
      <c r="R47" s="5">
        <f t="shared" ref="R47:R55" si="32">IF(P$12=0,0,P47/P$12)</f>
        <v>1.4268892125799007E-3</v>
      </c>
      <c r="S47" s="1"/>
      <c r="T47" s="1">
        <f>SUM(OSRRefT22_2x_0)</f>
        <v>0</v>
      </c>
      <c r="U47" s="1"/>
      <c r="V47" s="5">
        <f t="shared" ref="V47:V55" si="33">IF(T$12=0,0,T47/T$12)</f>
        <v>0</v>
      </c>
      <c r="W47" s="1"/>
      <c r="X47" s="1">
        <f t="shared" ref="X47:X55" si="34">+P47-T47</f>
        <v>91.22</v>
      </c>
      <c r="Y47" s="1"/>
      <c r="Z47" s="5">
        <f t="shared" ref="Z47:Z55" si="35">IF(T47=0,0,X47/T47)</f>
        <v>0</v>
      </c>
    </row>
    <row r="48" spans="1:26" s="24" customFormat="1" hidden="1" outlineLevel="2" x14ac:dyDescent="0.3">
      <c r="A48" s="27"/>
      <c r="B48" s="11" t="str">
        <f>CONCATENATE("          ", "6362", " - ", "ADVERTISING EXPENSE")</f>
        <v xml:space="preserve">          6362 - ADVERTISING EXPENSE</v>
      </c>
      <c r="C48" s="11"/>
      <c r="D48" s="6">
        <v>3.25</v>
      </c>
      <c r="E48" s="2"/>
      <c r="F48" s="7">
        <f t="shared" si="28"/>
        <v>2.1212451513231024E-4</v>
      </c>
      <c r="G48" s="2"/>
      <c r="H48" s="6"/>
      <c r="I48" s="2"/>
      <c r="J48" s="7">
        <f t="shared" si="29"/>
        <v>0</v>
      </c>
      <c r="K48" s="2"/>
      <c r="L48" s="6">
        <f t="shared" si="30"/>
        <v>3.25</v>
      </c>
      <c r="M48" s="2"/>
      <c r="N48" s="7">
        <f t="shared" si="31"/>
        <v>0</v>
      </c>
      <c r="O48" s="11"/>
      <c r="P48" s="6">
        <v>91.22</v>
      </c>
      <c r="Q48" s="2"/>
      <c r="R48" s="7">
        <f t="shared" si="32"/>
        <v>1.4268892125799007E-3</v>
      </c>
      <c r="S48" s="2"/>
      <c r="T48" s="6">
        <v>0</v>
      </c>
      <c r="U48" s="2"/>
      <c r="V48" s="7">
        <f t="shared" si="33"/>
        <v>0</v>
      </c>
      <c r="W48" s="2"/>
      <c r="X48" s="6">
        <f t="shared" si="34"/>
        <v>91.22</v>
      </c>
      <c r="Y48" s="2"/>
      <c r="Z48" s="7">
        <f t="shared" si="35"/>
        <v>0</v>
      </c>
    </row>
    <row r="49" spans="1:26" s="29" customFormat="1" outlineLevel="1" collapsed="1" x14ac:dyDescent="0.3">
      <c r="A49" s="28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SUM(OSRRefD22_3x_0)</f>
        <v>2.06</v>
      </c>
      <c r="E49" s="1"/>
      <c r="F49" s="5">
        <f t="shared" si="28"/>
        <v>1.344543080530951E-4</v>
      </c>
      <c r="G49" s="1"/>
      <c r="H49" s="1">
        <f>SUM(OSRRefH22_3x_0)</f>
        <v>0</v>
      </c>
      <c r="I49" s="1"/>
      <c r="J49" s="5">
        <f t="shared" si="29"/>
        <v>0</v>
      </c>
      <c r="K49" s="1"/>
      <c r="L49" s="1">
        <f t="shared" si="30"/>
        <v>2.06</v>
      </c>
      <c r="M49" s="1"/>
      <c r="N49" s="5">
        <f t="shared" si="31"/>
        <v>0</v>
      </c>
      <c r="O49" s="14"/>
      <c r="P49" s="1">
        <f>SUM(OSRRefP22_3x_0)</f>
        <v>9.24</v>
      </c>
      <c r="Q49" s="1"/>
      <c r="R49" s="5">
        <f t="shared" si="32"/>
        <v>1.4453471085549533E-4</v>
      </c>
      <c r="S49" s="1"/>
      <c r="T49" s="1">
        <f>SUM(OSRRefT22_3x_0)</f>
        <v>0</v>
      </c>
      <c r="U49" s="1"/>
      <c r="V49" s="5">
        <f t="shared" si="33"/>
        <v>0</v>
      </c>
      <c r="W49" s="1"/>
      <c r="X49" s="1">
        <f t="shared" si="34"/>
        <v>9.24</v>
      </c>
      <c r="Y49" s="1"/>
      <c r="Z49" s="5">
        <f t="shared" si="35"/>
        <v>0</v>
      </c>
    </row>
    <row r="50" spans="1:26" s="24" customFormat="1" hidden="1" outlineLevel="2" x14ac:dyDescent="0.3">
      <c r="A50" s="27"/>
      <c r="B50" s="11" t="str">
        <f>CONCATENATE("          ", "6272", " - ", "CASH (OVER/SHORT)")</f>
        <v xml:space="preserve">          6272 - CASH (OVER/SHORT)</v>
      </c>
      <c r="C50" s="11"/>
      <c r="D50" s="6">
        <v>2.06</v>
      </c>
      <c r="E50" s="2"/>
      <c r="F50" s="7">
        <f t="shared" si="28"/>
        <v>1.344543080530951E-4</v>
      </c>
      <c r="G50" s="2"/>
      <c r="H50" s="6">
        <v>0</v>
      </c>
      <c r="I50" s="2"/>
      <c r="J50" s="7">
        <f t="shared" si="29"/>
        <v>0</v>
      </c>
      <c r="K50" s="2"/>
      <c r="L50" s="6">
        <f t="shared" si="30"/>
        <v>2.06</v>
      </c>
      <c r="M50" s="2"/>
      <c r="N50" s="7">
        <f t="shared" si="31"/>
        <v>0</v>
      </c>
      <c r="O50" s="11"/>
      <c r="P50" s="6">
        <v>9.24</v>
      </c>
      <c r="Q50" s="2"/>
      <c r="R50" s="7">
        <f t="shared" si="32"/>
        <v>1.4453471085549533E-4</v>
      </c>
      <c r="S50" s="2"/>
      <c r="T50" s="6">
        <v>0</v>
      </c>
      <c r="U50" s="2"/>
      <c r="V50" s="7">
        <f t="shared" si="33"/>
        <v>0</v>
      </c>
      <c r="W50" s="2"/>
      <c r="X50" s="6">
        <f t="shared" si="34"/>
        <v>9.24</v>
      </c>
      <c r="Y50" s="2"/>
      <c r="Z50" s="7">
        <f t="shared" si="35"/>
        <v>0</v>
      </c>
    </row>
    <row r="51" spans="1:26" s="29" customFormat="1" outlineLevel="1" collapsed="1" x14ac:dyDescent="0.3">
      <c r="A51" s="28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SUM(OSRRefD22_4x_0)</f>
        <v>719.42</v>
      </c>
      <c r="E51" s="1"/>
      <c r="F51" s="5">
        <f t="shared" si="28"/>
        <v>4.6955882669688191E-2</v>
      </c>
      <c r="G51" s="1"/>
      <c r="H51" s="1">
        <f>SUM(OSRRefH22_4x_0)</f>
        <v>1178.5</v>
      </c>
      <c r="I51" s="1"/>
      <c r="J51" s="5">
        <f t="shared" si="29"/>
        <v>4.7374979900305515E-2</v>
      </c>
      <c r="K51" s="1"/>
      <c r="L51" s="1">
        <f t="shared" si="30"/>
        <v>-459.08000000000004</v>
      </c>
      <c r="M51" s="1"/>
      <c r="N51" s="5">
        <f t="shared" si="31"/>
        <v>-0.38954603309291475</v>
      </c>
      <c r="O51" s="14"/>
      <c r="P51" s="1">
        <f>SUM(OSRRefP22_4x_0)</f>
        <v>3370.61</v>
      </c>
      <c r="Q51" s="1"/>
      <c r="R51" s="5">
        <f t="shared" si="32"/>
        <v>5.2724041315653801E-2</v>
      </c>
      <c r="S51" s="1"/>
      <c r="T51" s="1">
        <f>SUM(OSRRefT22_4x_0)</f>
        <v>5504.75</v>
      </c>
      <c r="U51" s="1"/>
      <c r="V51" s="5">
        <f t="shared" si="33"/>
        <v>4.2135175475525276E-2</v>
      </c>
      <c r="W51" s="1"/>
      <c r="X51" s="1">
        <f t="shared" si="34"/>
        <v>-2134.14</v>
      </c>
      <c r="Y51" s="1"/>
      <c r="Z51" s="5">
        <f t="shared" si="35"/>
        <v>-0.38769063081883826</v>
      </c>
    </row>
    <row r="52" spans="1:26" s="24" customFormat="1" hidden="1" outlineLevel="2" x14ac:dyDescent="0.3">
      <c r="A52" s="27"/>
      <c r="B52" s="11" t="str">
        <f>CONCATENATE("          ", "6381", " - ", "BANK/CREDIT CARD FEES")</f>
        <v xml:space="preserve">          6381 - BANK/CREDIT CARD FEES</v>
      </c>
      <c r="C52" s="11"/>
      <c r="D52" s="6">
        <v>719.42</v>
      </c>
      <c r="E52" s="2"/>
      <c r="F52" s="7">
        <f t="shared" si="28"/>
        <v>4.6955882669688191E-2</v>
      </c>
      <c r="G52" s="2"/>
      <c r="H52" s="6">
        <v>1178.5</v>
      </c>
      <c r="I52" s="2"/>
      <c r="J52" s="7">
        <f t="shared" si="29"/>
        <v>4.7374979900305515E-2</v>
      </c>
      <c r="K52" s="2"/>
      <c r="L52" s="6">
        <f t="shared" si="30"/>
        <v>-459.08000000000004</v>
      </c>
      <c r="M52" s="2"/>
      <c r="N52" s="7">
        <f t="shared" si="31"/>
        <v>-0.38954603309291475</v>
      </c>
      <c r="O52" s="11"/>
      <c r="P52" s="6">
        <v>3370.61</v>
      </c>
      <c r="Q52" s="2"/>
      <c r="R52" s="7">
        <f t="shared" si="32"/>
        <v>5.2724041315653801E-2</v>
      </c>
      <c r="S52" s="2"/>
      <c r="T52" s="6">
        <v>5504.75</v>
      </c>
      <c r="U52" s="2"/>
      <c r="V52" s="7">
        <f t="shared" si="33"/>
        <v>4.2135175475525276E-2</v>
      </c>
      <c r="W52" s="2"/>
      <c r="X52" s="6">
        <f t="shared" si="34"/>
        <v>-2134.14</v>
      </c>
      <c r="Y52" s="2"/>
      <c r="Z52" s="7">
        <f t="shared" si="35"/>
        <v>-0.38769063081883826</v>
      </c>
    </row>
    <row r="53" spans="1:26" s="29" customFormat="1" outlineLevel="1" collapsed="1" x14ac:dyDescent="0.3">
      <c r="A53" s="28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SUM(OSRRefD22_5x_0)</f>
        <v>6324.75</v>
      </c>
      <c r="E53" s="1"/>
      <c r="F53" s="5">
        <f t="shared" si="28"/>
        <v>0.41281062371787053</v>
      </c>
      <c r="G53" s="1"/>
      <c r="H53" s="1">
        <f>SUM(OSRRefH22_5x_0)</f>
        <v>6324</v>
      </c>
      <c r="I53" s="1"/>
      <c r="J53" s="5">
        <f t="shared" si="29"/>
        <v>0.25422093584177519</v>
      </c>
      <c r="K53" s="1"/>
      <c r="L53" s="1">
        <f t="shared" si="30"/>
        <v>0.75</v>
      </c>
      <c r="M53" s="1"/>
      <c r="N53" s="5">
        <f t="shared" si="31"/>
        <v>1.1859582542694497E-4</v>
      </c>
      <c r="O53" s="14"/>
      <c r="P53" s="1">
        <f>SUM(OSRRefP22_5x_0)</f>
        <v>34056.11</v>
      </c>
      <c r="Q53" s="1"/>
      <c r="R53" s="5">
        <f t="shared" si="32"/>
        <v>0.53271536923300244</v>
      </c>
      <c r="S53" s="1"/>
      <c r="T53" s="1">
        <f>SUM(OSRRefT22_5x_0)</f>
        <v>34050</v>
      </c>
      <c r="U53" s="1"/>
      <c r="V53" s="5">
        <f t="shared" si="33"/>
        <v>0.26062995139500172</v>
      </c>
      <c r="W53" s="1"/>
      <c r="X53" s="1">
        <f t="shared" si="34"/>
        <v>6.1100000000005821</v>
      </c>
      <c r="Y53" s="1"/>
      <c r="Z53" s="5">
        <f t="shared" si="35"/>
        <v>1.7944199706315954E-4</v>
      </c>
    </row>
    <row r="54" spans="1:26" s="24" customFormat="1" hidden="1" outlineLevel="2" x14ac:dyDescent="0.3">
      <c r="A54" s="27"/>
      <c r="B54" s="11" t="str">
        <f>CONCATENATE("          ", "6321", " - ", "BUILDING DEPRECIATION")</f>
        <v xml:space="preserve">          6321 - BUILDING DEPRECIATION</v>
      </c>
      <c r="C54" s="11"/>
      <c r="D54" s="6">
        <v>5080.51</v>
      </c>
      <c r="E54" s="2"/>
      <c r="F54" s="7">
        <f t="shared" si="28"/>
        <v>0.3316002216538011</v>
      </c>
      <c r="G54" s="2"/>
      <c r="H54" s="6"/>
      <c r="I54" s="2"/>
      <c r="J54" s="7">
        <f t="shared" si="29"/>
        <v>0</v>
      </c>
      <c r="K54" s="2"/>
      <c r="L54" s="6">
        <f t="shared" si="30"/>
        <v>5080.51</v>
      </c>
      <c r="M54" s="2"/>
      <c r="N54" s="7">
        <f t="shared" si="31"/>
        <v>0</v>
      </c>
      <c r="O54" s="11"/>
      <c r="P54" s="6">
        <v>25402.55</v>
      </c>
      <c r="Q54" s="2"/>
      <c r="R54" s="7">
        <f t="shared" si="32"/>
        <v>0.39735391983141372</v>
      </c>
      <c r="S54" s="2"/>
      <c r="T54" s="6"/>
      <c r="U54" s="2"/>
      <c r="V54" s="7">
        <f t="shared" si="33"/>
        <v>0</v>
      </c>
      <c r="W54" s="2"/>
      <c r="X54" s="6">
        <f t="shared" si="34"/>
        <v>25402.55</v>
      </c>
      <c r="Y54" s="2"/>
      <c r="Z54" s="7">
        <f t="shared" si="35"/>
        <v>0</v>
      </c>
    </row>
    <row r="55" spans="1:26" s="24" customFormat="1" hidden="1" outlineLevel="2" x14ac:dyDescent="0.3">
      <c r="A55" s="27"/>
      <c r="B55" s="11" t="str">
        <f>CONCATENATE("          ", "6322", " - ", "EQUIPMENT DEPRECIATION EXPENSE")</f>
        <v xml:space="preserve">          6322 - EQUIPMENT DEPRECIATION EXPENSE</v>
      </c>
      <c r="C55" s="11"/>
      <c r="D55" s="6">
        <v>1244.24</v>
      </c>
      <c r="E55" s="2"/>
      <c r="F55" s="7">
        <f t="shared" si="28"/>
        <v>8.1210402064069445E-2</v>
      </c>
      <c r="G55" s="2"/>
      <c r="H55" s="6">
        <v>6324</v>
      </c>
      <c r="I55" s="2"/>
      <c r="J55" s="7">
        <f t="shared" si="29"/>
        <v>0.25422093584177519</v>
      </c>
      <c r="K55" s="2"/>
      <c r="L55" s="6">
        <f t="shared" si="30"/>
        <v>-5079.76</v>
      </c>
      <c r="M55" s="2"/>
      <c r="N55" s="7">
        <f t="shared" si="31"/>
        <v>-0.80325110689437074</v>
      </c>
      <c r="O55" s="11"/>
      <c r="P55" s="6">
        <v>8653.56</v>
      </c>
      <c r="Q55" s="2"/>
      <c r="R55" s="7">
        <f t="shared" si="32"/>
        <v>0.13536144940158876</v>
      </c>
      <c r="S55" s="2"/>
      <c r="T55" s="6">
        <v>34050</v>
      </c>
      <c r="U55" s="2"/>
      <c r="V55" s="7">
        <f t="shared" si="33"/>
        <v>0.26062995139500172</v>
      </c>
      <c r="W55" s="2"/>
      <c r="X55" s="6">
        <f t="shared" si="34"/>
        <v>-25396.440000000002</v>
      </c>
      <c r="Y55" s="2"/>
      <c r="Z55" s="7">
        <f t="shared" si="35"/>
        <v>-0.74585726872246705</v>
      </c>
    </row>
    <row r="56" spans="1:26" s="29" customFormat="1" outlineLevel="1" collapsed="1" x14ac:dyDescent="0.3">
      <c r="A56" s="28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SUM(OSRRefD22_6x_0)</f>
        <v>0</v>
      </c>
      <c r="E56" s="1"/>
      <c r="F56" s="5">
        <f t="shared" ref="F56:F67" si="36">IF(D$12=0,0,D56/D$12)</f>
        <v>0</v>
      </c>
      <c r="G56" s="1"/>
      <c r="H56" s="1">
        <f>SUM(OSRRefH22_6x_0)</f>
        <v>176</v>
      </c>
      <c r="I56" s="1"/>
      <c r="J56" s="5">
        <f t="shared" ref="J56:J67" si="37">IF(H$12=0,0,H56/H$12)</f>
        <v>7.0750924585946291E-3</v>
      </c>
      <c r="K56" s="1"/>
      <c r="L56" s="1">
        <f t="shared" ref="L56:L67" si="38">+D56-H56</f>
        <v>-176</v>
      </c>
      <c r="M56" s="1"/>
      <c r="N56" s="5">
        <f t="shared" ref="N56:N67" si="39">IF(H56=0,0,L56/H56)</f>
        <v>-1</v>
      </c>
      <c r="O56" s="14"/>
      <c r="P56" s="1">
        <f>SUM(OSRRefP22_6x_0)</f>
        <v>0</v>
      </c>
      <c r="Q56" s="1"/>
      <c r="R56" s="5">
        <f t="shared" ref="R56:R67" si="40">IF(P$12=0,0,P56/P$12)</f>
        <v>0</v>
      </c>
      <c r="S56" s="1"/>
      <c r="T56" s="1">
        <f>SUM(OSRRefT22_6x_0)</f>
        <v>880</v>
      </c>
      <c r="U56" s="1"/>
      <c r="V56" s="5">
        <f t="shared" ref="V56:V67" si="41">IF(T$12=0,0,T56/T$12)</f>
        <v>6.7358107849515864E-3</v>
      </c>
      <c r="W56" s="1"/>
      <c r="X56" s="1">
        <f t="shared" ref="X56:X67" si="42">+P56-T56</f>
        <v>-880</v>
      </c>
      <c r="Y56" s="1"/>
      <c r="Z56" s="5">
        <f t="shared" ref="Z56:Z67" si="43">IF(T56=0,0,X56/T56)</f>
        <v>-1</v>
      </c>
    </row>
    <row r="57" spans="1:26" s="24" customFormat="1" hidden="1" outlineLevel="2" x14ac:dyDescent="0.3">
      <c r="A57" s="27"/>
      <c r="B57" s="11" t="str">
        <f>CONCATENATE("          ", "6351", " - ", "EQUIPMENT RENTAL")</f>
        <v xml:space="preserve">          6351 - EQUIPMENT RENTAL</v>
      </c>
      <c r="C57" s="11"/>
      <c r="D57" s="6"/>
      <c r="E57" s="2"/>
      <c r="F57" s="7">
        <f t="shared" si="36"/>
        <v>0</v>
      </c>
      <c r="G57" s="2"/>
      <c r="H57" s="6">
        <v>176</v>
      </c>
      <c r="I57" s="2"/>
      <c r="J57" s="7">
        <f t="shared" si="37"/>
        <v>7.0750924585946291E-3</v>
      </c>
      <c r="K57" s="2"/>
      <c r="L57" s="6">
        <f t="shared" si="38"/>
        <v>-176</v>
      </c>
      <c r="M57" s="2"/>
      <c r="N57" s="7">
        <f t="shared" si="39"/>
        <v>-1</v>
      </c>
      <c r="O57" s="11"/>
      <c r="P57" s="6"/>
      <c r="Q57" s="2"/>
      <c r="R57" s="7">
        <f t="shared" si="40"/>
        <v>0</v>
      </c>
      <c r="S57" s="2"/>
      <c r="T57" s="6">
        <v>880</v>
      </c>
      <c r="U57" s="2"/>
      <c r="V57" s="7">
        <f t="shared" si="41"/>
        <v>6.7358107849515864E-3</v>
      </c>
      <c r="W57" s="2"/>
      <c r="X57" s="6">
        <f t="shared" si="42"/>
        <v>-880</v>
      </c>
      <c r="Y57" s="2"/>
      <c r="Z57" s="7">
        <f t="shared" si="43"/>
        <v>-1</v>
      </c>
    </row>
    <row r="58" spans="1:26" s="29" customFormat="1" outlineLevel="1" collapsed="1" x14ac:dyDescent="0.3">
      <c r="A58" s="28"/>
      <c r="B58" s="14" t="str">
        <f>CONCATENATE("     ","General                                           ")</f>
        <v xml:space="preserve">     General                                           </v>
      </c>
      <c r="C58" s="14"/>
      <c r="D58" s="1">
        <f>SUM(OSRRefD22_7x_0)</f>
        <v>547.19000000000005</v>
      </c>
      <c r="E58" s="1"/>
      <c r="F58" s="5">
        <f t="shared" si="36"/>
        <v>3.5714588749307337E-2</v>
      </c>
      <c r="G58" s="1"/>
      <c r="H58" s="1">
        <f>SUM(OSRRefH22_7x_0)</f>
        <v>0</v>
      </c>
      <c r="I58" s="1"/>
      <c r="J58" s="5">
        <f t="shared" si="37"/>
        <v>0</v>
      </c>
      <c r="K58" s="1"/>
      <c r="L58" s="1">
        <f t="shared" si="38"/>
        <v>547.19000000000005</v>
      </c>
      <c r="M58" s="1"/>
      <c r="N58" s="5">
        <f t="shared" si="39"/>
        <v>0</v>
      </c>
      <c r="O58" s="14"/>
      <c r="P58" s="1">
        <f>SUM(OSRRefP22_7x_0)</f>
        <v>2159.19</v>
      </c>
      <c r="Q58" s="1"/>
      <c r="R58" s="5">
        <f t="shared" si="40"/>
        <v>3.3774664754553783E-2</v>
      </c>
      <c r="S58" s="1"/>
      <c r="T58" s="1">
        <f>SUM(OSRRefT22_7x_0)</f>
        <v>300</v>
      </c>
      <c r="U58" s="1"/>
      <c r="V58" s="5">
        <f t="shared" si="41"/>
        <v>2.2962991312334953E-3</v>
      </c>
      <c r="W58" s="1"/>
      <c r="X58" s="1">
        <f t="shared" si="42"/>
        <v>1859.19</v>
      </c>
      <c r="Y58" s="1"/>
      <c r="Z58" s="5">
        <f t="shared" si="43"/>
        <v>6.1973000000000003</v>
      </c>
    </row>
    <row r="59" spans="1:26" s="24" customFormat="1" hidden="1" outlineLevel="2" x14ac:dyDescent="0.3">
      <c r="A59" s="27"/>
      <c r="B59" s="11" t="str">
        <f>CONCATENATE("          ", "6279", " - ", "GENERAL EXPENSE")</f>
        <v xml:space="preserve">          6279 - GENERAL EXPENSE</v>
      </c>
      <c r="C59" s="11"/>
      <c r="D59" s="6">
        <v>547.19000000000005</v>
      </c>
      <c r="E59" s="2"/>
      <c r="F59" s="7">
        <f t="shared" si="36"/>
        <v>3.5714588749307337E-2</v>
      </c>
      <c r="G59" s="2"/>
      <c r="H59" s="6"/>
      <c r="I59" s="2"/>
      <c r="J59" s="7">
        <f t="shared" si="37"/>
        <v>0</v>
      </c>
      <c r="K59" s="2"/>
      <c r="L59" s="6">
        <f t="shared" si="38"/>
        <v>547.19000000000005</v>
      </c>
      <c r="M59" s="2"/>
      <c r="N59" s="7">
        <f t="shared" si="39"/>
        <v>0</v>
      </c>
      <c r="O59" s="11"/>
      <c r="P59" s="6">
        <v>2159.19</v>
      </c>
      <c r="Q59" s="2"/>
      <c r="R59" s="7">
        <f t="shared" si="40"/>
        <v>3.3774664754553783E-2</v>
      </c>
      <c r="S59" s="2"/>
      <c r="T59" s="6">
        <v>300</v>
      </c>
      <c r="U59" s="2"/>
      <c r="V59" s="7">
        <f t="shared" si="41"/>
        <v>2.2962991312334953E-3</v>
      </c>
      <c r="W59" s="2"/>
      <c r="X59" s="6">
        <f t="shared" si="42"/>
        <v>1859.19</v>
      </c>
      <c r="Y59" s="2"/>
      <c r="Z59" s="7">
        <f t="shared" si="43"/>
        <v>6.1973000000000003</v>
      </c>
    </row>
    <row r="60" spans="1:26" s="29" customFormat="1" outlineLevel="1" collapsed="1" x14ac:dyDescent="0.3">
      <c r="A60" s="28"/>
      <c r="B60" s="14" t="str">
        <f>CONCATENATE("     ","Insurance                                         ")</f>
        <v xml:space="preserve">     Insurance                                         </v>
      </c>
      <c r="C60" s="14"/>
      <c r="D60" s="1">
        <f>SUM(OSRRefD22_8x_0)</f>
        <v>331.01</v>
      </c>
      <c r="E60" s="1"/>
      <c r="F60" s="5">
        <f t="shared" si="36"/>
        <v>2.160471869352185E-2</v>
      </c>
      <c r="G60" s="1"/>
      <c r="H60" s="1">
        <f>SUM(OSRRefH22_8x_0)</f>
        <v>330</v>
      </c>
      <c r="I60" s="1"/>
      <c r="J60" s="5">
        <f t="shared" si="37"/>
        <v>1.326579835986493E-2</v>
      </c>
      <c r="K60" s="1"/>
      <c r="L60" s="1">
        <f t="shared" si="38"/>
        <v>1.0099999999999909</v>
      </c>
      <c r="M60" s="1"/>
      <c r="N60" s="5">
        <f t="shared" si="39"/>
        <v>3.0606060606060332E-3</v>
      </c>
      <c r="O60" s="14"/>
      <c r="P60" s="1">
        <f>SUM(OSRRefP22_8x_0)</f>
        <v>1655.05</v>
      </c>
      <c r="Q60" s="1"/>
      <c r="R60" s="5">
        <f t="shared" si="40"/>
        <v>2.58887633334835E-2</v>
      </c>
      <c r="S60" s="1"/>
      <c r="T60" s="1">
        <f>SUM(OSRRefT22_8x_0)</f>
        <v>1650</v>
      </c>
      <c r="U60" s="1"/>
      <c r="V60" s="5">
        <f t="shared" si="41"/>
        <v>1.2629645221784225E-2</v>
      </c>
      <c r="W60" s="1"/>
      <c r="X60" s="1">
        <f t="shared" si="42"/>
        <v>5.0499999999999545</v>
      </c>
      <c r="Y60" s="1"/>
      <c r="Z60" s="5">
        <f t="shared" si="43"/>
        <v>3.0606060606060332E-3</v>
      </c>
    </row>
    <row r="61" spans="1:26" s="24" customFormat="1" hidden="1" outlineLevel="2" x14ac:dyDescent="0.3">
      <c r="A61" s="27"/>
      <c r="B61" s="11" t="str">
        <f>CONCATENATE("          ", "6314", " - ", "LIABILITY INSURANCE")</f>
        <v xml:space="preserve">          6314 - LIABILITY INSURANCE</v>
      </c>
      <c r="C61" s="11"/>
      <c r="D61" s="6">
        <v>331.01</v>
      </c>
      <c r="E61" s="2"/>
      <c r="F61" s="7">
        <f t="shared" si="36"/>
        <v>2.160471869352185E-2</v>
      </c>
      <c r="G61" s="2"/>
      <c r="H61" s="6">
        <v>330</v>
      </c>
      <c r="I61" s="2"/>
      <c r="J61" s="7">
        <f t="shared" si="37"/>
        <v>1.326579835986493E-2</v>
      </c>
      <c r="K61" s="2"/>
      <c r="L61" s="6">
        <f t="shared" si="38"/>
        <v>1.0099999999999909</v>
      </c>
      <c r="M61" s="2"/>
      <c r="N61" s="7">
        <f t="shared" si="39"/>
        <v>3.0606060606060332E-3</v>
      </c>
      <c r="O61" s="11"/>
      <c r="P61" s="6">
        <v>1655.05</v>
      </c>
      <c r="Q61" s="2"/>
      <c r="R61" s="7">
        <f t="shared" si="40"/>
        <v>2.58887633334835E-2</v>
      </c>
      <c r="S61" s="2"/>
      <c r="T61" s="6">
        <v>1650</v>
      </c>
      <c r="U61" s="2"/>
      <c r="V61" s="7">
        <f t="shared" si="41"/>
        <v>1.2629645221784225E-2</v>
      </c>
      <c r="W61" s="2"/>
      <c r="X61" s="6">
        <f t="shared" si="42"/>
        <v>5.0499999999999545</v>
      </c>
      <c r="Y61" s="2"/>
      <c r="Z61" s="7">
        <f t="shared" si="43"/>
        <v>3.0606060606060332E-3</v>
      </c>
    </row>
    <row r="62" spans="1:26" s="29" customFormat="1" outlineLevel="1" collapsed="1" x14ac:dyDescent="0.3">
      <c r="A62" s="28"/>
      <c r="B62" s="14" t="str">
        <f>CONCATENATE("     ","Interest                                          ")</f>
        <v xml:space="preserve">     Interest                                          </v>
      </c>
      <c r="C62" s="14"/>
      <c r="D62" s="1">
        <f>SUM(OSRRefD22_9x_0)</f>
        <v>3905</v>
      </c>
      <c r="E62" s="1"/>
      <c r="F62" s="5">
        <f t="shared" si="36"/>
        <v>0.25487576356666813</v>
      </c>
      <c r="G62" s="1"/>
      <c r="H62" s="1">
        <f>SUM(OSRRefH22_9x_0)</f>
        <v>3905</v>
      </c>
      <c r="I62" s="1"/>
      <c r="J62" s="5">
        <f t="shared" si="37"/>
        <v>0.15697861392506834</v>
      </c>
      <c r="K62" s="1"/>
      <c r="L62" s="1">
        <f t="shared" si="38"/>
        <v>0</v>
      </c>
      <c r="M62" s="1"/>
      <c r="N62" s="5">
        <f t="shared" si="39"/>
        <v>0</v>
      </c>
      <c r="O62" s="14"/>
      <c r="P62" s="1">
        <f>SUM(OSRRefP22_9x_0)</f>
        <v>19249</v>
      </c>
      <c r="Q62" s="1"/>
      <c r="R62" s="5">
        <f t="shared" si="40"/>
        <v>0.30109833866422397</v>
      </c>
      <c r="S62" s="1"/>
      <c r="T62" s="1">
        <f>SUM(OSRRefT22_9x_0)</f>
        <v>19525</v>
      </c>
      <c r="U62" s="1"/>
      <c r="V62" s="5">
        <f t="shared" si="41"/>
        <v>0.14945080179111334</v>
      </c>
      <c r="W62" s="1"/>
      <c r="X62" s="1">
        <f t="shared" si="42"/>
        <v>-276</v>
      </c>
      <c r="Y62" s="1"/>
      <c r="Z62" s="5">
        <f t="shared" si="43"/>
        <v>-1.413572343149808E-2</v>
      </c>
    </row>
    <row r="63" spans="1:26" s="24" customFormat="1" hidden="1" outlineLevel="2" x14ac:dyDescent="0.3">
      <c r="A63" s="27"/>
      <c r="B63" s="11" t="str">
        <f>CONCATENATE("          ", "6401", " - ", "INTEREST EXPENSE")</f>
        <v xml:space="preserve">          6401 - INTEREST EXPENSE</v>
      </c>
      <c r="C63" s="11"/>
      <c r="D63" s="6">
        <v>3905</v>
      </c>
      <c r="E63" s="2"/>
      <c r="F63" s="7">
        <f t="shared" si="36"/>
        <v>0.25487576356666813</v>
      </c>
      <c r="G63" s="2"/>
      <c r="H63" s="6">
        <v>3905</v>
      </c>
      <c r="I63" s="2"/>
      <c r="J63" s="7">
        <f t="shared" si="37"/>
        <v>0.15697861392506834</v>
      </c>
      <c r="K63" s="2"/>
      <c r="L63" s="6">
        <f t="shared" si="38"/>
        <v>0</v>
      </c>
      <c r="M63" s="2"/>
      <c r="N63" s="7">
        <f t="shared" si="39"/>
        <v>0</v>
      </c>
      <c r="O63" s="11"/>
      <c r="P63" s="6">
        <v>19249</v>
      </c>
      <c r="Q63" s="2"/>
      <c r="R63" s="7">
        <f t="shared" si="40"/>
        <v>0.30109833866422397</v>
      </c>
      <c r="S63" s="2"/>
      <c r="T63" s="6">
        <v>19525</v>
      </c>
      <c r="U63" s="2"/>
      <c r="V63" s="7">
        <f t="shared" si="41"/>
        <v>0.14945080179111334</v>
      </c>
      <c r="W63" s="2"/>
      <c r="X63" s="6">
        <f t="shared" si="42"/>
        <v>-276</v>
      </c>
      <c r="Y63" s="2"/>
      <c r="Z63" s="7">
        <f t="shared" si="43"/>
        <v>-1.413572343149808E-2</v>
      </c>
    </row>
    <row r="64" spans="1:26" s="29" customFormat="1" outlineLevel="1" collapsed="1" x14ac:dyDescent="0.3">
      <c r="A64" s="28"/>
      <c r="B64" s="14" t="str">
        <f>CONCATENATE("     ","Repair and Maintenance                            ")</f>
        <v xml:space="preserve">     Repair and Maintenance                            </v>
      </c>
      <c r="C64" s="14"/>
      <c r="D64" s="1">
        <f>SUM(OSRRefD22_10x_0)</f>
        <v>0</v>
      </c>
      <c r="E64" s="1"/>
      <c r="F64" s="5">
        <f t="shared" si="36"/>
        <v>0</v>
      </c>
      <c r="G64" s="1"/>
      <c r="H64" s="1">
        <f>SUM(OSRRefH22_10x_0)</f>
        <v>215</v>
      </c>
      <c r="I64" s="1"/>
      <c r="J64" s="5">
        <f t="shared" si="37"/>
        <v>8.6428686283968482E-3</v>
      </c>
      <c r="K64" s="1"/>
      <c r="L64" s="1">
        <f t="shared" si="38"/>
        <v>-215</v>
      </c>
      <c r="M64" s="1"/>
      <c r="N64" s="5">
        <f t="shared" si="39"/>
        <v>-1</v>
      </c>
      <c r="O64" s="14"/>
      <c r="P64" s="1">
        <f>SUM(OSRRefP22_10x_0)</f>
        <v>2364.83</v>
      </c>
      <c r="Q64" s="1"/>
      <c r="R64" s="5">
        <f t="shared" si="40"/>
        <v>3.6991344185324786E-2</v>
      </c>
      <c r="S64" s="1"/>
      <c r="T64" s="1">
        <f>SUM(OSRRefT22_10x_0)</f>
        <v>6026</v>
      </c>
      <c r="U64" s="1"/>
      <c r="V64" s="5">
        <f t="shared" si="41"/>
        <v>4.6124995216043477E-2</v>
      </c>
      <c r="W64" s="1"/>
      <c r="X64" s="1">
        <f t="shared" si="42"/>
        <v>-3661.17</v>
      </c>
      <c r="Y64" s="1"/>
      <c r="Z64" s="5">
        <f t="shared" si="43"/>
        <v>-0.60756223033521406</v>
      </c>
    </row>
    <row r="65" spans="1:26" s="24" customFormat="1" hidden="1" outlineLevel="2" x14ac:dyDescent="0.3">
      <c r="A65" s="27"/>
      <c r="B65" s="11" t="str">
        <f>CONCATENATE("          ", "6371", " - ", "COMPUTER SOFTWARE MAINTENANCE")</f>
        <v xml:space="preserve">          6371 - COMPUTER SOFTWARE MAINTENANCE</v>
      </c>
      <c r="C65" s="11"/>
      <c r="D65" s="6"/>
      <c r="E65" s="2"/>
      <c r="F65" s="7">
        <f t="shared" si="36"/>
        <v>0</v>
      </c>
      <c r="G65" s="2"/>
      <c r="H65" s="6"/>
      <c r="I65" s="2"/>
      <c r="J65" s="7">
        <f t="shared" si="37"/>
        <v>0</v>
      </c>
      <c r="K65" s="2"/>
      <c r="L65" s="6">
        <f t="shared" si="38"/>
        <v>0</v>
      </c>
      <c r="M65" s="2"/>
      <c r="N65" s="7">
        <f t="shared" si="39"/>
        <v>0</v>
      </c>
      <c r="O65" s="11"/>
      <c r="P65" s="6"/>
      <c r="Q65" s="2"/>
      <c r="R65" s="7">
        <f t="shared" si="40"/>
        <v>0</v>
      </c>
      <c r="S65" s="2"/>
      <c r="T65" s="6">
        <v>2623</v>
      </c>
      <c r="U65" s="2"/>
      <c r="V65" s="7">
        <f t="shared" si="41"/>
        <v>2.0077308737418195E-2</v>
      </c>
      <c r="W65" s="2"/>
      <c r="X65" s="6">
        <f t="shared" si="42"/>
        <v>-2623</v>
      </c>
      <c r="Y65" s="2"/>
      <c r="Z65" s="7">
        <f t="shared" si="43"/>
        <v>-1</v>
      </c>
    </row>
    <row r="66" spans="1:26" s="24" customFormat="1" hidden="1" outlineLevel="2" x14ac:dyDescent="0.3">
      <c r="A66" s="27"/>
      <c r="B66" s="11" t="str">
        <f>CONCATENATE("          ", "6373", " - ", "MAINTENANCE CONTRACTS")</f>
        <v xml:space="preserve">          6373 - MAINTENANCE CONTRACTS</v>
      </c>
      <c r="C66" s="11"/>
      <c r="D66" s="6"/>
      <c r="E66" s="2"/>
      <c r="F66" s="7">
        <f t="shared" si="36"/>
        <v>0</v>
      </c>
      <c r="G66" s="2"/>
      <c r="H66" s="6"/>
      <c r="I66" s="2"/>
      <c r="J66" s="7">
        <f t="shared" si="37"/>
        <v>0</v>
      </c>
      <c r="K66" s="2"/>
      <c r="L66" s="6">
        <f t="shared" si="38"/>
        <v>0</v>
      </c>
      <c r="M66" s="2"/>
      <c r="N66" s="7">
        <f t="shared" si="39"/>
        <v>0</v>
      </c>
      <c r="O66" s="11"/>
      <c r="P66" s="6">
        <v>203.58</v>
      </c>
      <c r="Q66" s="2"/>
      <c r="R66" s="7">
        <f t="shared" si="40"/>
        <v>3.1844563242382834E-3</v>
      </c>
      <c r="S66" s="2"/>
      <c r="T66" s="6">
        <v>698</v>
      </c>
      <c r="U66" s="2"/>
      <c r="V66" s="7">
        <f t="shared" si="41"/>
        <v>5.3427226453365995E-3</v>
      </c>
      <c r="W66" s="2"/>
      <c r="X66" s="6">
        <f t="shared" si="42"/>
        <v>-494.41999999999996</v>
      </c>
      <c r="Y66" s="2"/>
      <c r="Z66" s="7">
        <f t="shared" si="43"/>
        <v>-0.70833810888252147</v>
      </c>
    </row>
    <row r="67" spans="1:26" s="24" customFormat="1" hidden="1" outlineLevel="2" x14ac:dyDescent="0.3">
      <c r="A67" s="27"/>
      <c r="B67" s="11" t="str">
        <f>CONCATENATE("          ", "6375", " - ", "OUTSIDE REPAIRS &amp; MAINTENANCE")</f>
        <v xml:space="preserve">          6375 - OUTSIDE REPAIRS &amp; MAINTENANCE</v>
      </c>
      <c r="C67" s="11"/>
      <c r="D67" s="6"/>
      <c r="E67" s="2"/>
      <c r="F67" s="7">
        <f t="shared" si="36"/>
        <v>0</v>
      </c>
      <c r="G67" s="2"/>
      <c r="H67" s="6">
        <v>215</v>
      </c>
      <c r="I67" s="2"/>
      <c r="J67" s="7">
        <f t="shared" si="37"/>
        <v>8.6428686283968482E-3</v>
      </c>
      <c r="K67" s="2"/>
      <c r="L67" s="6">
        <f t="shared" si="38"/>
        <v>-215</v>
      </c>
      <c r="M67" s="2"/>
      <c r="N67" s="7">
        <f t="shared" si="39"/>
        <v>-1</v>
      </c>
      <c r="O67" s="11"/>
      <c r="P67" s="6">
        <v>2161.25</v>
      </c>
      <c r="Q67" s="2"/>
      <c r="R67" s="7">
        <f t="shared" si="40"/>
        <v>3.3806887861086501E-2</v>
      </c>
      <c r="S67" s="2"/>
      <c r="T67" s="6">
        <v>2705</v>
      </c>
      <c r="U67" s="2"/>
      <c r="V67" s="7">
        <f t="shared" si="41"/>
        <v>2.0704963833288684E-2</v>
      </c>
      <c r="W67" s="2"/>
      <c r="X67" s="6">
        <f t="shared" si="42"/>
        <v>-543.75</v>
      </c>
      <c r="Y67" s="2"/>
      <c r="Z67" s="7">
        <f t="shared" si="43"/>
        <v>-0.2010166358595194</v>
      </c>
    </row>
    <row r="68" spans="1:26" s="29" customFormat="1" outlineLevel="1" collapsed="1" x14ac:dyDescent="0.3">
      <c r="A68" s="28"/>
      <c r="B68" s="14" t="str">
        <f>CONCATENATE("     ","Royalty &amp; Commissions                             ")</f>
        <v xml:space="preserve">     Royalty &amp; Commissions                             </v>
      </c>
      <c r="C68" s="14"/>
      <c r="D68" s="1">
        <f>SUM(OSRRefD22_11x_0)</f>
        <v>0</v>
      </c>
      <c r="E68" s="1"/>
      <c r="F68" s="5">
        <f t="shared" ref="F68:F73" si="44">IF(D$12=0,0,D68/D$12)</f>
        <v>0</v>
      </c>
      <c r="G68" s="1"/>
      <c r="H68" s="1">
        <f>SUM(OSRRefH22_11x_0)</f>
        <v>649</v>
      </c>
      <c r="I68" s="1"/>
      <c r="J68" s="5">
        <f t="shared" ref="J68:J73" si="45">IF(H$12=0,0,H68/H$12)</f>
        <v>2.6089403441067697E-2</v>
      </c>
      <c r="K68" s="1"/>
      <c r="L68" s="1">
        <f t="shared" ref="L68:L73" si="46">+D68-H68</f>
        <v>-649</v>
      </c>
      <c r="M68" s="1"/>
      <c r="N68" s="5">
        <f t="shared" ref="N68:N73" si="47">IF(H68=0,0,L68/H68)</f>
        <v>-1</v>
      </c>
      <c r="O68" s="14"/>
      <c r="P68" s="1">
        <f>SUM(OSRRefP22_11x_0)</f>
        <v>0</v>
      </c>
      <c r="Q68" s="1"/>
      <c r="R68" s="5">
        <f t="shared" ref="R68:R73" si="48">IF(P$12=0,0,P68/P$12)</f>
        <v>0</v>
      </c>
      <c r="S68" s="1"/>
      <c r="T68" s="1">
        <f>SUM(OSRRefT22_11x_0)</f>
        <v>3660</v>
      </c>
      <c r="U68" s="1"/>
      <c r="V68" s="5">
        <f t="shared" ref="V68:V73" si="49">IF(T$12=0,0,T68/T$12)</f>
        <v>2.8014849401048644E-2</v>
      </c>
      <c r="W68" s="1"/>
      <c r="X68" s="1">
        <f t="shared" ref="X68:X73" si="50">+P68-T68</f>
        <v>-3660</v>
      </c>
      <c r="Y68" s="1"/>
      <c r="Z68" s="5">
        <f t="shared" ref="Z68:Z73" si="51">IF(T68=0,0,X68/T68)</f>
        <v>-1</v>
      </c>
    </row>
    <row r="69" spans="1:26" s="24" customFormat="1" hidden="1" outlineLevel="2" x14ac:dyDescent="0.3">
      <c r="A69" s="27"/>
      <c r="B69" s="11" t="str">
        <f>CONCATENATE("          ", "6259", " - ", "ROYALTY &amp; COMMISSIONS")</f>
        <v xml:space="preserve">          6259 - ROYALTY &amp; COMMISSIONS</v>
      </c>
      <c r="C69" s="11"/>
      <c r="D69" s="6"/>
      <c r="E69" s="2"/>
      <c r="F69" s="7">
        <f t="shared" si="44"/>
        <v>0</v>
      </c>
      <c r="G69" s="2"/>
      <c r="H69" s="6">
        <v>649</v>
      </c>
      <c r="I69" s="2"/>
      <c r="J69" s="7">
        <f t="shared" si="45"/>
        <v>2.6089403441067697E-2</v>
      </c>
      <c r="K69" s="2"/>
      <c r="L69" s="6">
        <f t="shared" si="46"/>
        <v>-649</v>
      </c>
      <c r="M69" s="2"/>
      <c r="N69" s="7">
        <f t="shared" si="47"/>
        <v>-1</v>
      </c>
      <c r="O69" s="11"/>
      <c r="P69" s="6"/>
      <c r="Q69" s="2"/>
      <c r="R69" s="7">
        <f t="shared" si="48"/>
        <v>0</v>
      </c>
      <c r="S69" s="2"/>
      <c r="T69" s="6">
        <v>3660</v>
      </c>
      <c r="U69" s="2"/>
      <c r="V69" s="7">
        <f t="shared" si="49"/>
        <v>2.8014849401048644E-2</v>
      </c>
      <c r="W69" s="2"/>
      <c r="X69" s="6">
        <f t="shared" si="50"/>
        <v>-3660</v>
      </c>
      <c r="Y69" s="2"/>
      <c r="Z69" s="7">
        <f t="shared" si="51"/>
        <v>-1</v>
      </c>
    </row>
    <row r="70" spans="1:26" s="29" customFormat="1" outlineLevel="1" collapsed="1" x14ac:dyDescent="0.3">
      <c r="A70" s="28"/>
      <c r="B70" s="14" t="str">
        <f>CONCATENATE("     ","Services                                          ")</f>
        <v xml:space="preserve">     Services                                          </v>
      </c>
      <c r="C70" s="14"/>
      <c r="D70" s="1">
        <f>SUM(OSRRefD22_12x_0)</f>
        <v>424.13</v>
      </c>
      <c r="E70" s="1"/>
      <c r="F70" s="5">
        <f t="shared" si="44"/>
        <v>2.7682575570174381E-2</v>
      </c>
      <c r="G70" s="1"/>
      <c r="H70" s="1">
        <f>SUM(OSRRefH22_12x_0)</f>
        <v>292</v>
      </c>
      <c r="I70" s="1"/>
      <c r="J70" s="5">
        <f t="shared" si="45"/>
        <v>1.1738221579032E-2</v>
      </c>
      <c r="K70" s="1"/>
      <c r="L70" s="1">
        <f t="shared" si="46"/>
        <v>132.13</v>
      </c>
      <c r="M70" s="1"/>
      <c r="N70" s="5">
        <f t="shared" si="47"/>
        <v>0.45249999999999996</v>
      </c>
      <c r="O70" s="14"/>
      <c r="P70" s="1">
        <f>SUM(OSRRefP22_12x_0)</f>
        <v>9368.5299999999988</v>
      </c>
      <c r="Q70" s="1"/>
      <c r="R70" s="5">
        <f t="shared" si="48"/>
        <v>0.14654521371115081</v>
      </c>
      <c r="S70" s="1"/>
      <c r="T70" s="1">
        <f>SUM(OSRRefT22_12x_0)</f>
        <v>1177</v>
      </c>
      <c r="U70" s="1"/>
      <c r="V70" s="5">
        <f t="shared" si="49"/>
        <v>9.009146924872747E-3</v>
      </c>
      <c r="W70" s="1"/>
      <c r="X70" s="1">
        <f t="shared" si="50"/>
        <v>8191.5299999999988</v>
      </c>
      <c r="Y70" s="1"/>
      <c r="Z70" s="5">
        <f t="shared" si="51"/>
        <v>6.9596686491079005</v>
      </c>
    </row>
    <row r="71" spans="1:26" s="24" customFormat="1" hidden="1" outlineLevel="2" x14ac:dyDescent="0.3">
      <c r="A71" s="27"/>
      <c r="B71" s="11" t="str">
        <f>CONCATENATE("          ", "6282", " - ", "JANITORIAL/EXTERMINATOR EXPENS")</f>
        <v xml:space="preserve">          6282 - JANITORIAL/EXTERMINATOR EXPENS</v>
      </c>
      <c r="C71" s="11"/>
      <c r="D71" s="6">
        <v>320.25</v>
      </c>
      <c r="E71" s="2"/>
      <c r="F71" s="7">
        <f t="shared" si="44"/>
        <v>2.0902423375729954E-2</v>
      </c>
      <c r="G71" s="2"/>
      <c r="H71" s="6">
        <v>258</v>
      </c>
      <c r="I71" s="2"/>
      <c r="J71" s="7">
        <f t="shared" si="45"/>
        <v>1.0371442354076218E-2</v>
      </c>
      <c r="K71" s="2"/>
      <c r="L71" s="6">
        <f t="shared" si="46"/>
        <v>62.25</v>
      </c>
      <c r="M71" s="2"/>
      <c r="N71" s="7">
        <f t="shared" si="47"/>
        <v>0.24127906976744187</v>
      </c>
      <c r="O71" s="11"/>
      <c r="P71" s="6">
        <v>1601.25</v>
      </c>
      <c r="Q71" s="2"/>
      <c r="R71" s="7">
        <f t="shared" si="48"/>
        <v>2.5047208415298904E-2</v>
      </c>
      <c r="S71" s="2"/>
      <c r="T71" s="6">
        <v>1032</v>
      </c>
      <c r="U71" s="2"/>
      <c r="V71" s="7">
        <f t="shared" si="49"/>
        <v>7.8992690114432235E-3</v>
      </c>
      <c r="W71" s="2"/>
      <c r="X71" s="6">
        <f t="shared" si="50"/>
        <v>569.25</v>
      </c>
      <c r="Y71" s="2"/>
      <c r="Z71" s="7">
        <f t="shared" si="51"/>
        <v>0.55159883720930236</v>
      </c>
    </row>
    <row r="72" spans="1:26" s="24" customFormat="1" hidden="1" outlineLevel="2" x14ac:dyDescent="0.3">
      <c r="A72" s="27"/>
      <c r="B72" s="11" t="str">
        <f>CONCATENATE("          ", "6285", " - ", "JANITORIAL SERVICES")</f>
        <v xml:space="preserve">          6285 - JANITORIAL SERVICES</v>
      </c>
      <c r="C72" s="11"/>
      <c r="D72" s="6"/>
      <c r="E72" s="2"/>
      <c r="F72" s="7">
        <f t="shared" si="44"/>
        <v>0</v>
      </c>
      <c r="G72" s="2"/>
      <c r="H72" s="6"/>
      <c r="I72" s="2"/>
      <c r="J72" s="7">
        <f t="shared" si="45"/>
        <v>0</v>
      </c>
      <c r="K72" s="2"/>
      <c r="L72" s="6">
        <f t="shared" si="46"/>
        <v>0</v>
      </c>
      <c r="M72" s="2"/>
      <c r="N72" s="7">
        <f t="shared" si="47"/>
        <v>0</v>
      </c>
      <c r="O72" s="11"/>
      <c r="P72" s="6">
        <v>7455.64</v>
      </c>
      <c r="Q72" s="2"/>
      <c r="R72" s="7">
        <f t="shared" si="48"/>
        <v>0.11662324368427113</v>
      </c>
      <c r="S72" s="2"/>
      <c r="T72" s="6"/>
      <c r="U72" s="2"/>
      <c r="V72" s="7">
        <f t="shared" si="49"/>
        <v>0</v>
      </c>
      <c r="W72" s="2"/>
      <c r="X72" s="6">
        <f t="shared" si="50"/>
        <v>7455.64</v>
      </c>
      <c r="Y72" s="2"/>
      <c r="Z72" s="7">
        <f t="shared" si="51"/>
        <v>0</v>
      </c>
    </row>
    <row r="73" spans="1:26" s="24" customFormat="1" hidden="1" outlineLevel="2" x14ac:dyDescent="0.3">
      <c r="A73" s="27"/>
      <c r="B73" s="11" t="str">
        <f>CONCATENATE("          ", "6286", " - ", "LAUNDRY EXPENSE")</f>
        <v xml:space="preserve">          6286 - LAUNDRY EXPENSE</v>
      </c>
      <c r="C73" s="11"/>
      <c r="D73" s="6">
        <v>103.88</v>
      </c>
      <c r="E73" s="2"/>
      <c r="F73" s="7">
        <f t="shared" si="44"/>
        <v>6.7801521944444269E-3</v>
      </c>
      <c r="G73" s="2"/>
      <c r="H73" s="6">
        <v>34</v>
      </c>
      <c r="I73" s="2"/>
      <c r="J73" s="7">
        <f t="shared" si="45"/>
        <v>1.3667792249557806E-3</v>
      </c>
      <c r="K73" s="2"/>
      <c r="L73" s="6">
        <f t="shared" si="46"/>
        <v>69.88</v>
      </c>
      <c r="M73" s="2"/>
      <c r="N73" s="7">
        <f t="shared" si="47"/>
        <v>2.0552941176470587</v>
      </c>
      <c r="O73" s="11"/>
      <c r="P73" s="6">
        <v>311.64</v>
      </c>
      <c r="Q73" s="2"/>
      <c r="R73" s="7">
        <f t="shared" si="48"/>
        <v>4.8747616115807964E-3</v>
      </c>
      <c r="S73" s="2"/>
      <c r="T73" s="6">
        <v>145</v>
      </c>
      <c r="U73" s="2"/>
      <c r="V73" s="7">
        <f t="shared" si="49"/>
        <v>1.1098779134295228E-3</v>
      </c>
      <c r="W73" s="2"/>
      <c r="X73" s="6">
        <f t="shared" si="50"/>
        <v>166.64</v>
      </c>
      <c r="Y73" s="2"/>
      <c r="Z73" s="7">
        <f t="shared" si="51"/>
        <v>1.1492413793103446</v>
      </c>
    </row>
    <row r="74" spans="1:26" s="29" customFormat="1" outlineLevel="1" collapsed="1" x14ac:dyDescent="0.3">
      <c r="A74" s="28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SUM(OSRRefD22_13x_0)</f>
        <v>121.04</v>
      </c>
      <c r="E74" s="1"/>
      <c r="F74" s="5">
        <f t="shared" ref="F74:F79" si="52">IF(D$12=0,0,D74/D$12)</f>
        <v>7.9001696343430246E-3</v>
      </c>
      <c r="G74" s="1"/>
      <c r="H74" s="1">
        <f>SUM(OSRRefH22_13x_0)</f>
        <v>1500</v>
      </c>
      <c r="I74" s="1"/>
      <c r="J74" s="5">
        <f t="shared" ref="J74:J79" si="53">IF(H$12=0,0,H74/H$12)</f>
        <v>6.02990834539315E-2</v>
      </c>
      <c r="K74" s="1"/>
      <c r="L74" s="1">
        <f t="shared" ref="L74:L79" si="54">+D74-H74</f>
        <v>-1378.96</v>
      </c>
      <c r="M74" s="1"/>
      <c r="N74" s="5">
        <f t="shared" ref="N74:N79" si="55">IF(H74=0,0,L74/H74)</f>
        <v>-0.91930666666666672</v>
      </c>
      <c r="O74" s="14"/>
      <c r="P74" s="1">
        <f>SUM(OSRRefP22_13x_0)</f>
        <v>2584.7000000000003</v>
      </c>
      <c r="Q74" s="1"/>
      <c r="R74" s="5">
        <f t="shared" ref="R74:R79" si="56">IF(P$12=0,0,P74/P$12)</f>
        <v>4.0430613327727141E-2</v>
      </c>
      <c r="S74" s="1"/>
      <c r="T74" s="1">
        <f>SUM(OSRRefT22_13x_0)</f>
        <v>9900</v>
      </c>
      <c r="U74" s="1"/>
      <c r="V74" s="5">
        <f t="shared" ref="V74:V79" si="57">IF(T$12=0,0,T74/T$12)</f>
        <v>7.5777871330705349E-2</v>
      </c>
      <c r="W74" s="1"/>
      <c r="X74" s="1">
        <f t="shared" ref="X74:X79" si="58">+P74-T74</f>
        <v>-7315.2999999999993</v>
      </c>
      <c r="Y74" s="1"/>
      <c r="Z74" s="5">
        <f t="shared" ref="Z74:Z79" si="59">IF(T74=0,0,X74/T74)</f>
        <v>-0.73891919191919186</v>
      </c>
    </row>
    <row r="75" spans="1:26" s="24" customFormat="1" hidden="1" outlineLevel="2" x14ac:dyDescent="0.3">
      <c r="A75" s="27"/>
      <c r="B75" s="11" t="str">
        <f>CONCATENATE("          ", "6234", " - ", "EXPENDABLE SUPPLIES &amp; EQUIPMEN")</f>
        <v xml:space="preserve">          6234 - EXPENDABLE SUPPLIES &amp; EQUIPMEN</v>
      </c>
      <c r="C75" s="11"/>
      <c r="D75" s="6"/>
      <c r="E75" s="2"/>
      <c r="F75" s="7">
        <f t="shared" si="52"/>
        <v>0</v>
      </c>
      <c r="G75" s="2"/>
      <c r="H75" s="6">
        <v>50</v>
      </c>
      <c r="I75" s="2"/>
      <c r="J75" s="7">
        <f t="shared" si="53"/>
        <v>2.0099694484643832E-3</v>
      </c>
      <c r="K75" s="2"/>
      <c r="L75" s="6">
        <f t="shared" si="54"/>
        <v>-50</v>
      </c>
      <c r="M75" s="2"/>
      <c r="N75" s="7">
        <f t="shared" si="55"/>
        <v>-1</v>
      </c>
      <c r="O75" s="11"/>
      <c r="P75" s="6">
        <v>1194.8900000000001</v>
      </c>
      <c r="Q75" s="2"/>
      <c r="R75" s="7">
        <f t="shared" si="56"/>
        <v>1.8690809594602037E-2</v>
      </c>
      <c r="S75" s="2"/>
      <c r="T75" s="6">
        <v>350</v>
      </c>
      <c r="U75" s="2"/>
      <c r="V75" s="7">
        <f t="shared" si="57"/>
        <v>2.6790156531057447E-3</v>
      </c>
      <c r="W75" s="2"/>
      <c r="X75" s="6">
        <f t="shared" si="58"/>
        <v>844.8900000000001</v>
      </c>
      <c r="Y75" s="2"/>
      <c r="Z75" s="7">
        <f t="shared" si="59"/>
        <v>2.4139714285714287</v>
      </c>
    </row>
    <row r="76" spans="1:26" s="24" customFormat="1" hidden="1" outlineLevel="2" x14ac:dyDescent="0.3">
      <c r="A76" s="27"/>
      <c r="B76" s="11" t="str">
        <f>CONCATENATE("          ", "6237", " - ", "JANITORIAL SUPPLIES")</f>
        <v xml:space="preserve">          6237 - JANITORIAL SUPPLIES</v>
      </c>
      <c r="C76" s="11"/>
      <c r="D76" s="6"/>
      <c r="E76" s="2"/>
      <c r="F76" s="7">
        <f t="shared" si="52"/>
        <v>0</v>
      </c>
      <c r="G76" s="2"/>
      <c r="H76" s="6">
        <v>0</v>
      </c>
      <c r="I76" s="2"/>
      <c r="J76" s="7">
        <f t="shared" si="53"/>
        <v>0</v>
      </c>
      <c r="K76" s="2"/>
      <c r="L76" s="6">
        <f t="shared" si="54"/>
        <v>0</v>
      </c>
      <c r="M76" s="2"/>
      <c r="N76" s="7">
        <f t="shared" si="55"/>
        <v>0</v>
      </c>
      <c r="O76" s="11"/>
      <c r="P76" s="6">
        <v>527.17999999999995</v>
      </c>
      <c r="Q76" s="2"/>
      <c r="R76" s="7">
        <f t="shared" si="56"/>
        <v>8.2462996611255435E-3</v>
      </c>
      <c r="S76" s="2"/>
      <c r="T76" s="6">
        <v>100</v>
      </c>
      <c r="U76" s="2"/>
      <c r="V76" s="7">
        <f t="shared" si="57"/>
        <v>7.6543304374449841E-4</v>
      </c>
      <c r="W76" s="2"/>
      <c r="X76" s="6">
        <f t="shared" si="58"/>
        <v>427.17999999999995</v>
      </c>
      <c r="Y76" s="2"/>
      <c r="Z76" s="7">
        <f t="shared" si="59"/>
        <v>4.2717999999999998</v>
      </c>
    </row>
    <row r="77" spans="1:26" s="24" customFormat="1" hidden="1" outlineLevel="2" x14ac:dyDescent="0.3">
      <c r="A77" s="27"/>
      <c r="B77" s="11" t="str">
        <f>CONCATENATE("          ", "6241", " - ", "OFFICE EXPENSE")</f>
        <v xml:space="preserve">          6241 - OFFICE EXPENSE</v>
      </c>
      <c r="C77" s="11"/>
      <c r="D77" s="6"/>
      <c r="E77" s="2"/>
      <c r="F77" s="7">
        <f t="shared" si="52"/>
        <v>0</v>
      </c>
      <c r="G77" s="2"/>
      <c r="H77" s="6"/>
      <c r="I77" s="2"/>
      <c r="J77" s="7">
        <f t="shared" si="53"/>
        <v>0</v>
      </c>
      <c r="K77" s="2"/>
      <c r="L77" s="6">
        <f t="shared" si="54"/>
        <v>0</v>
      </c>
      <c r="M77" s="2"/>
      <c r="N77" s="7">
        <f t="shared" si="55"/>
        <v>0</v>
      </c>
      <c r="O77" s="11"/>
      <c r="P77" s="6">
        <v>177.48</v>
      </c>
      <c r="Q77" s="2"/>
      <c r="R77" s="7">
        <f t="shared" si="56"/>
        <v>2.7761926929256828E-3</v>
      </c>
      <c r="S77" s="2"/>
      <c r="T77" s="6"/>
      <c r="U77" s="2"/>
      <c r="V77" s="7">
        <f t="shared" si="57"/>
        <v>0</v>
      </c>
      <c r="W77" s="2"/>
      <c r="X77" s="6">
        <f t="shared" si="58"/>
        <v>177.48</v>
      </c>
      <c r="Y77" s="2"/>
      <c r="Z77" s="7">
        <f t="shared" si="59"/>
        <v>0</v>
      </c>
    </row>
    <row r="78" spans="1:26" s="24" customFormat="1" hidden="1" outlineLevel="2" x14ac:dyDescent="0.3">
      <c r="A78" s="27"/>
      <c r="B78" s="11" t="str">
        <f>CONCATENATE("          ", "6243", " - ", "PAPER SUPPLIES")</f>
        <v xml:space="preserve">          6243 - PAPER SUPPLIES</v>
      </c>
      <c r="C78" s="11"/>
      <c r="D78" s="6"/>
      <c r="E78" s="2"/>
      <c r="F78" s="7">
        <f t="shared" si="52"/>
        <v>0</v>
      </c>
      <c r="G78" s="2"/>
      <c r="H78" s="6">
        <v>200</v>
      </c>
      <c r="I78" s="2"/>
      <c r="J78" s="7">
        <f t="shared" si="53"/>
        <v>8.0398777938575326E-3</v>
      </c>
      <c r="K78" s="2"/>
      <c r="L78" s="6">
        <f t="shared" si="54"/>
        <v>-200</v>
      </c>
      <c r="M78" s="2"/>
      <c r="N78" s="7">
        <f t="shared" si="55"/>
        <v>-1</v>
      </c>
      <c r="O78" s="11"/>
      <c r="P78" s="6"/>
      <c r="Q78" s="2"/>
      <c r="R78" s="7">
        <f t="shared" si="56"/>
        <v>0</v>
      </c>
      <c r="S78" s="2"/>
      <c r="T78" s="6">
        <v>800</v>
      </c>
      <c r="U78" s="2"/>
      <c r="V78" s="7">
        <f t="shared" si="57"/>
        <v>6.1234643499559873E-3</v>
      </c>
      <c r="W78" s="2"/>
      <c r="X78" s="6">
        <f t="shared" si="58"/>
        <v>-800</v>
      </c>
      <c r="Y78" s="2"/>
      <c r="Z78" s="7">
        <f t="shared" si="59"/>
        <v>-1</v>
      </c>
    </row>
    <row r="79" spans="1:26" s="24" customFormat="1" hidden="1" outlineLevel="2" x14ac:dyDescent="0.3">
      <c r="A79" s="27"/>
      <c r="B79" s="11" t="str">
        <f>CONCATENATE("          ", "6247", " - ", "STORE SUPPLIES")</f>
        <v xml:space="preserve">          6247 - STORE SUPPLIES</v>
      </c>
      <c r="C79" s="11"/>
      <c r="D79" s="6">
        <v>121.04</v>
      </c>
      <c r="E79" s="2"/>
      <c r="F79" s="7">
        <f t="shared" si="52"/>
        <v>7.9001696343430246E-3</v>
      </c>
      <c r="G79" s="2"/>
      <c r="H79" s="6">
        <v>1250</v>
      </c>
      <c r="I79" s="2"/>
      <c r="J79" s="7">
        <f t="shared" si="53"/>
        <v>5.0249236211609587E-2</v>
      </c>
      <c r="K79" s="2"/>
      <c r="L79" s="6">
        <f t="shared" si="54"/>
        <v>-1128.96</v>
      </c>
      <c r="M79" s="2"/>
      <c r="N79" s="7">
        <f t="shared" si="55"/>
        <v>-0.90316800000000008</v>
      </c>
      <c r="O79" s="11"/>
      <c r="P79" s="6">
        <v>685.15</v>
      </c>
      <c r="Q79" s="2"/>
      <c r="R79" s="7">
        <f t="shared" si="56"/>
        <v>1.0717311379073877E-2</v>
      </c>
      <c r="S79" s="2"/>
      <c r="T79" s="6">
        <v>8650</v>
      </c>
      <c r="U79" s="2"/>
      <c r="V79" s="7">
        <f t="shared" si="57"/>
        <v>6.6209958283899112E-2</v>
      </c>
      <c r="W79" s="2"/>
      <c r="X79" s="6">
        <f t="shared" si="58"/>
        <v>-7964.85</v>
      </c>
      <c r="Y79" s="2"/>
      <c r="Z79" s="7">
        <f t="shared" si="59"/>
        <v>-0.92079190751445095</v>
      </c>
    </row>
    <row r="80" spans="1:26" s="29" customFormat="1" outlineLevel="1" collapsed="1" x14ac:dyDescent="0.3">
      <c r="A80" s="28"/>
      <c r="B80" s="14" t="str">
        <f>CONCATENATE("     ","Telephone/Data Lines                              ")</f>
        <v xml:space="preserve">     Telephone/Data Lines                              </v>
      </c>
      <c r="C80" s="14"/>
      <c r="D80" s="1">
        <f>SUM(OSRRefD22_14x_0)</f>
        <v>52</v>
      </c>
      <c r="E80" s="1"/>
      <c r="F80" s="5">
        <f t="shared" ref="F80:F82" si="60">IF(D$12=0,0,D80/D$12)</f>
        <v>3.3939922421169638E-3</v>
      </c>
      <c r="G80" s="1"/>
      <c r="H80" s="1">
        <f>SUM(OSRRefH22_14x_0)</f>
        <v>178</v>
      </c>
      <c r="I80" s="1"/>
      <c r="J80" s="5">
        <f t="shared" ref="J80:J82" si="61">IF(H$12=0,0,H80/H$12)</f>
        <v>7.1554912365332044E-3</v>
      </c>
      <c r="K80" s="1"/>
      <c r="L80" s="1">
        <f t="shared" ref="L80:L82" si="62">+D80-H80</f>
        <v>-126</v>
      </c>
      <c r="M80" s="1"/>
      <c r="N80" s="5">
        <f t="shared" ref="N80:N82" si="63">IF(H80=0,0,L80/H80)</f>
        <v>-0.7078651685393258</v>
      </c>
      <c r="O80" s="14"/>
      <c r="P80" s="1">
        <f>SUM(OSRRefP22_14x_0)</f>
        <v>551</v>
      </c>
      <c r="Q80" s="1"/>
      <c r="R80" s="5">
        <f t="shared" ref="R80:R82" si="64">IF(P$12=0,0,P80/P$12)</f>
        <v>8.6188988832660088E-3</v>
      </c>
      <c r="S80" s="1"/>
      <c r="T80" s="1">
        <f>SUM(OSRRefT22_14x_0)</f>
        <v>890</v>
      </c>
      <c r="U80" s="1"/>
      <c r="V80" s="5">
        <f t="shared" ref="V80:V82" si="65">IF(T$12=0,0,T80/T$12)</f>
        <v>6.8123540893260358E-3</v>
      </c>
      <c r="W80" s="1"/>
      <c r="X80" s="1">
        <f t="shared" ref="X80:X82" si="66">+P80-T80</f>
        <v>-339</v>
      </c>
      <c r="Y80" s="1"/>
      <c r="Z80" s="5">
        <f t="shared" ref="Z80:Z82" si="67">IF(T80=0,0,X80/T80)</f>
        <v>-0.38089887640449438</v>
      </c>
    </row>
    <row r="81" spans="1:26" s="24" customFormat="1" hidden="1" outlineLevel="2" x14ac:dyDescent="0.3">
      <c r="A81" s="27"/>
      <c r="B81" s="11" t="str">
        <f>CONCATENATE("          ", "6303", " - ", "DATA PHONE LINES")</f>
        <v xml:space="preserve">          6303 - DATA PHONE LINES</v>
      </c>
      <c r="C81" s="11"/>
      <c r="D81" s="6"/>
      <c r="E81" s="2"/>
      <c r="F81" s="7">
        <f t="shared" si="60"/>
        <v>0</v>
      </c>
      <c r="G81" s="2"/>
      <c r="H81" s="6">
        <v>50</v>
      </c>
      <c r="I81" s="2"/>
      <c r="J81" s="7">
        <f t="shared" si="61"/>
        <v>2.0099694484643832E-3</v>
      </c>
      <c r="K81" s="2"/>
      <c r="L81" s="6">
        <f t="shared" si="62"/>
        <v>-50</v>
      </c>
      <c r="M81" s="2"/>
      <c r="N81" s="7">
        <f t="shared" si="63"/>
        <v>-1</v>
      </c>
      <c r="O81" s="11"/>
      <c r="P81" s="6"/>
      <c r="Q81" s="2"/>
      <c r="R81" s="7">
        <f t="shared" si="64"/>
        <v>0</v>
      </c>
      <c r="S81" s="2"/>
      <c r="T81" s="6">
        <v>250</v>
      </c>
      <c r="U81" s="2"/>
      <c r="V81" s="7">
        <f t="shared" si="65"/>
        <v>1.9135826093612462E-3</v>
      </c>
      <c r="W81" s="2"/>
      <c r="X81" s="6">
        <f t="shared" si="66"/>
        <v>-250</v>
      </c>
      <c r="Y81" s="2"/>
      <c r="Z81" s="7">
        <f t="shared" si="67"/>
        <v>-1</v>
      </c>
    </row>
    <row r="82" spans="1:26" s="24" customFormat="1" hidden="1" outlineLevel="2" x14ac:dyDescent="0.3">
      <c r="A82" s="27"/>
      <c r="B82" s="11" t="str">
        <f>CONCATENATE("          ", "6309", " - ", "TELEPHONE")</f>
        <v xml:space="preserve">          6309 - TELEPHONE</v>
      </c>
      <c r="C82" s="11"/>
      <c r="D82" s="6">
        <v>52</v>
      </c>
      <c r="E82" s="2"/>
      <c r="F82" s="7">
        <f t="shared" si="60"/>
        <v>3.3939922421169638E-3</v>
      </c>
      <c r="G82" s="2"/>
      <c r="H82" s="6">
        <v>128</v>
      </c>
      <c r="I82" s="2"/>
      <c r="J82" s="7">
        <f t="shared" si="61"/>
        <v>5.1455217880688213E-3</v>
      </c>
      <c r="K82" s="2"/>
      <c r="L82" s="6">
        <f t="shared" si="62"/>
        <v>-76</v>
      </c>
      <c r="M82" s="2"/>
      <c r="N82" s="7">
        <f t="shared" si="63"/>
        <v>-0.59375</v>
      </c>
      <c r="O82" s="11"/>
      <c r="P82" s="6">
        <v>551</v>
      </c>
      <c r="Q82" s="2"/>
      <c r="R82" s="7">
        <f t="shared" si="64"/>
        <v>8.6188988832660088E-3</v>
      </c>
      <c r="S82" s="2"/>
      <c r="T82" s="6">
        <v>640</v>
      </c>
      <c r="U82" s="2"/>
      <c r="V82" s="7">
        <f t="shared" si="65"/>
        <v>4.8987714799647898E-3</v>
      </c>
      <c r="W82" s="2"/>
      <c r="X82" s="6">
        <f t="shared" si="66"/>
        <v>-89</v>
      </c>
      <c r="Y82" s="2"/>
      <c r="Z82" s="7">
        <f t="shared" si="67"/>
        <v>-0.13906250000000001</v>
      </c>
    </row>
    <row r="83" spans="1:26" s="29" customFormat="1" outlineLevel="1" collapsed="1" x14ac:dyDescent="0.3">
      <c r="A83" s="28"/>
      <c r="B83" s="14" t="str">
        <f>CONCATENATE("     ","Training                                          ")</f>
        <v xml:space="preserve">     Training                                          </v>
      </c>
      <c r="C83" s="14"/>
      <c r="D83" s="1">
        <f>SUM(OSRRefD22_15x_0)</f>
        <v>0</v>
      </c>
      <c r="E83" s="1"/>
      <c r="F83" s="5">
        <f t="shared" ref="F83:F86" si="68">IF(D$12=0,0,D83/D$12)</f>
        <v>0</v>
      </c>
      <c r="G83" s="1"/>
      <c r="H83" s="1">
        <f>SUM(OSRRefH22_15x_0)</f>
        <v>0</v>
      </c>
      <c r="I83" s="1"/>
      <c r="J83" s="5">
        <f t="shared" ref="J83:J86" si="69">IF(H$12=0,0,H83/H$12)</f>
        <v>0</v>
      </c>
      <c r="K83" s="1"/>
      <c r="L83" s="1">
        <f t="shared" ref="L83:L86" si="70">+D83-H83</f>
        <v>0</v>
      </c>
      <c r="M83" s="1"/>
      <c r="N83" s="5">
        <f t="shared" ref="N83:N86" si="71">IF(H83=0,0,L83/H83)</f>
        <v>0</v>
      </c>
      <c r="O83" s="14"/>
      <c r="P83" s="1">
        <f>SUM(OSRRefP22_15x_0)</f>
        <v>0</v>
      </c>
      <c r="Q83" s="1"/>
      <c r="R83" s="5">
        <f t="shared" ref="R83:R86" si="72">IF(P$12=0,0,P83/P$12)</f>
        <v>0</v>
      </c>
      <c r="S83" s="1"/>
      <c r="T83" s="1">
        <f>SUM(OSRRefT22_15x_0)</f>
        <v>75</v>
      </c>
      <c r="U83" s="1"/>
      <c r="V83" s="5">
        <f t="shared" ref="V83:V86" si="73">IF(T$12=0,0,T83/T$12)</f>
        <v>5.7407478280837383E-4</v>
      </c>
      <c r="W83" s="1"/>
      <c r="X83" s="1">
        <f t="shared" ref="X83:X86" si="74">+P83-T83</f>
        <v>-75</v>
      </c>
      <c r="Y83" s="1"/>
      <c r="Z83" s="5">
        <f t="shared" ref="Z83:Z86" si="75">IF(T83=0,0,X83/T83)</f>
        <v>-1</v>
      </c>
    </row>
    <row r="84" spans="1:26" s="24" customFormat="1" hidden="1" outlineLevel="2" x14ac:dyDescent="0.3">
      <c r="A84" s="27"/>
      <c r="B84" s="11" t="str">
        <f>CONCATENATE("          ", "6376", " - ", "TRAINING")</f>
        <v xml:space="preserve">          6376 - TRAINING</v>
      </c>
      <c r="C84" s="11"/>
      <c r="D84" s="6"/>
      <c r="E84" s="2"/>
      <c r="F84" s="7">
        <f t="shared" si="68"/>
        <v>0</v>
      </c>
      <c r="G84" s="2"/>
      <c r="H84" s="6"/>
      <c r="I84" s="2"/>
      <c r="J84" s="7">
        <f t="shared" si="69"/>
        <v>0</v>
      </c>
      <c r="K84" s="2"/>
      <c r="L84" s="6">
        <f t="shared" si="70"/>
        <v>0</v>
      </c>
      <c r="M84" s="2"/>
      <c r="N84" s="7">
        <f t="shared" si="71"/>
        <v>0</v>
      </c>
      <c r="O84" s="11"/>
      <c r="P84" s="6"/>
      <c r="Q84" s="2"/>
      <c r="R84" s="7">
        <f t="shared" si="72"/>
        <v>0</v>
      </c>
      <c r="S84" s="2"/>
      <c r="T84" s="6">
        <v>75</v>
      </c>
      <c r="U84" s="2"/>
      <c r="V84" s="7">
        <f t="shared" si="73"/>
        <v>5.7407478280837383E-4</v>
      </c>
      <c r="W84" s="2"/>
      <c r="X84" s="6">
        <f t="shared" si="74"/>
        <v>-75</v>
      </c>
      <c r="Y84" s="2"/>
      <c r="Z84" s="7">
        <f t="shared" si="75"/>
        <v>-1</v>
      </c>
    </row>
    <row r="85" spans="1:26" s="29" customFormat="1" outlineLevel="1" collapsed="1" x14ac:dyDescent="0.3">
      <c r="A85" s="28"/>
      <c r="B85" s="14" t="str">
        <f>CONCATENATE("     ","Utilities                                         ")</f>
        <v xml:space="preserve">     Utilities                                         </v>
      </c>
      <c r="C85" s="14"/>
      <c r="D85" s="1">
        <f>SUM(OSRRefD22_16x_0)</f>
        <v>100</v>
      </c>
      <c r="E85" s="1"/>
      <c r="F85" s="5">
        <f t="shared" si="68"/>
        <v>6.526908157917238E-3</v>
      </c>
      <c r="G85" s="1"/>
      <c r="H85" s="1">
        <f>SUM(OSRRefH22_16x_0)</f>
        <v>0</v>
      </c>
      <c r="I85" s="1"/>
      <c r="J85" s="5">
        <f t="shared" si="69"/>
        <v>0</v>
      </c>
      <c r="K85" s="1"/>
      <c r="L85" s="1">
        <f t="shared" si="70"/>
        <v>100</v>
      </c>
      <c r="M85" s="1"/>
      <c r="N85" s="5">
        <f t="shared" si="71"/>
        <v>0</v>
      </c>
      <c r="O85" s="14"/>
      <c r="P85" s="1">
        <f>SUM(OSRRefP22_16x_0)</f>
        <v>500</v>
      </c>
      <c r="Q85" s="1"/>
      <c r="R85" s="5">
        <f t="shared" si="72"/>
        <v>7.8211423623103533E-3</v>
      </c>
      <c r="S85" s="1"/>
      <c r="T85" s="1">
        <f>SUM(OSRRefT22_16x_0)</f>
        <v>0</v>
      </c>
      <c r="U85" s="1"/>
      <c r="V85" s="5">
        <f t="shared" si="73"/>
        <v>0</v>
      </c>
      <c r="W85" s="1"/>
      <c r="X85" s="1">
        <f t="shared" si="74"/>
        <v>500</v>
      </c>
      <c r="Y85" s="1"/>
      <c r="Z85" s="5">
        <f t="shared" si="75"/>
        <v>0</v>
      </c>
    </row>
    <row r="86" spans="1:26" s="24" customFormat="1" hidden="1" outlineLevel="2" x14ac:dyDescent="0.3">
      <c r="A86" s="27"/>
      <c r="B86" s="11" t="str">
        <f>CONCATENATE("          ", "6274", " - ", "UTILITIES")</f>
        <v xml:space="preserve">          6274 - UTILITIES</v>
      </c>
      <c r="C86" s="11"/>
      <c r="D86" s="6">
        <v>100</v>
      </c>
      <c r="E86" s="2"/>
      <c r="F86" s="7">
        <f t="shared" si="68"/>
        <v>6.526908157917238E-3</v>
      </c>
      <c r="G86" s="2"/>
      <c r="H86" s="6">
        <v>0</v>
      </c>
      <c r="I86" s="2"/>
      <c r="J86" s="7">
        <f t="shared" si="69"/>
        <v>0</v>
      </c>
      <c r="K86" s="2"/>
      <c r="L86" s="6">
        <f t="shared" si="70"/>
        <v>100</v>
      </c>
      <c r="M86" s="2"/>
      <c r="N86" s="7">
        <f t="shared" si="71"/>
        <v>0</v>
      </c>
      <c r="O86" s="11"/>
      <c r="P86" s="6">
        <v>500</v>
      </c>
      <c r="Q86" s="2"/>
      <c r="R86" s="7">
        <f t="shared" si="72"/>
        <v>7.8211423623103533E-3</v>
      </c>
      <c r="S86" s="2"/>
      <c r="T86" s="6">
        <v>0</v>
      </c>
      <c r="U86" s="2"/>
      <c r="V86" s="7">
        <f t="shared" si="73"/>
        <v>0</v>
      </c>
      <c r="W86" s="2"/>
      <c r="X86" s="6">
        <f t="shared" si="74"/>
        <v>500</v>
      </c>
      <c r="Y86" s="2"/>
      <c r="Z86" s="7">
        <f t="shared" si="75"/>
        <v>0</v>
      </c>
    </row>
    <row r="87" spans="1:26" s="63" customFormat="1" x14ac:dyDescent="0.3">
      <c r="A87" s="36"/>
      <c r="B87" s="36"/>
      <c r="C87" s="36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6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3" customFormat="1" x14ac:dyDescent="0.3">
      <c r="A88" s="10"/>
      <c r="B88" s="25" t="s">
        <v>293</v>
      </c>
      <c r="C88" s="10"/>
      <c r="D88" s="4">
        <f>SUM(0)</f>
        <v>0</v>
      </c>
      <c r="E88" s="4"/>
      <c r="F88" s="12">
        <f>IF(D$12=0,0,D88/D$12)</f>
        <v>0</v>
      </c>
      <c r="G88" s="4"/>
      <c r="H88" s="4">
        <f>SUM(0)</f>
        <v>0</v>
      </c>
      <c r="I88" s="4"/>
      <c r="J88" s="12">
        <f>IF(H$12=0,0,H88/H$12)</f>
        <v>0</v>
      </c>
      <c r="K88" s="4"/>
      <c r="L88" s="4">
        <f>+D88-H88</f>
        <v>0</v>
      </c>
      <c r="M88" s="4"/>
      <c r="N88" s="12">
        <f>IF(H88=0,0,L88/H88)</f>
        <v>0</v>
      </c>
      <c r="O88" s="10"/>
      <c r="P88" s="4">
        <f>SUM(0)</f>
        <v>0</v>
      </c>
      <c r="Q88" s="4"/>
      <c r="R88" s="12">
        <f>IF(P$12=0,0,P88/P$12)</f>
        <v>0</v>
      </c>
      <c r="S88" s="4"/>
      <c r="T88" s="4">
        <f>SUM(0)</f>
        <v>0</v>
      </c>
      <c r="U88" s="4"/>
      <c r="V88" s="12">
        <f>IF(T$12=0,0,T88/T$12)</f>
        <v>0</v>
      </c>
      <c r="W88" s="4"/>
      <c r="X88" s="4">
        <f>+P88-T88</f>
        <v>0</v>
      </c>
      <c r="Y88" s="4"/>
      <c r="Z88" s="12">
        <f>IF(T88=0,0,X88/T88)</f>
        <v>0</v>
      </c>
    </row>
    <row r="89" spans="1:26" x14ac:dyDescent="0.3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3">
      <c r="A90" s="10"/>
      <c r="B90" s="26" t="s">
        <v>277</v>
      </c>
      <c r="C90" s="26"/>
      <c r="D90" s="20">
        <f>+D23-D25+D88</f>
        <v>-17256.630000000005</v>
      </c>
      <c r="E90" s="13"/>
      <c r="F90" s="22">
        <f>IF(D$12=0,0,D90/D$12)</f>
        <v>-1.1263243912515937</v>
      </c>
      <c r="G90" s="13"/>
      <c r="H90" s="20">
        <f>+H23-H25+H88</f>
        <v>-19761.96838730769</v>
      </c>
      <c r="I90" s="13"/>
      <c r="J90" s="22">
        <f>IF(H$12=0,0,H90/H$12)</f>
        <v>-0.79441905400014834</v>
      </c>
      <c r="K90" s="15"/>
      <c r="L90" s="20">
        <f>+D90-H90</f>
        <v>2505.3383873076855</v>
      </c>
      <c r="M90" s="15"/>
      <c r="N90" s="22">
        <f>IF(H90=0,0,L90/H90)</f>
        <v>-0.12677575119069429</v>
      </c>
      <c r="O90" s="25"/>
      <c r="P90" s="20">
        <f>+P23-P25+P88</f>
        <v>-70900.669999999984</v>
      </c>
      <c r="Q90" s="13"/>
      <c r="R90" s="22">
        <f>IF(P$12=0,0,P90/P$12)</f>
        <v>-1.1090484673063734</v>
      </c>
      <c r="S90" s="13"/>
      <c r="T90" s="20">
        <f>+T23-T25+T88</f>
        <v>-108990.15639269233</v>
      </c>
      <c r="U90" s="13"/>
      <c r="V90" s="22">
        <f>IF(T$12=0,0,T90/T$12)</f>
        <v>-0.83424667145847398</v>
      </c>
      <c r="W90" s="15"/>
      <c r="X90" s="20">
        <f>+P90-T90</f>
        <v>38089.486392692343</v>
      </c>
      <c r="Y90" s="15"/>
      <c r="Z90" s="22">
        <f>IF(T90=0,0,X90/T90)</f>
        <v>-0.3494763899177798</v>
      </c>
    </row>
    <row r="91" spans="1:26" x14ac:dyDescent="0.3">
      <c r="A91" s="9"/>
      <c r="B91" s="10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3">
      <c r="A92" s="52"/>
      <c r="B92" s="10" t="s">
        <v>128</v>
      </c>
      <c r="C92" s="10"/>
      <c r="D92" s="4">
        <v>1996.03</v>
      </c>
      <c r="E92" s="4"/>
      <c r="F92" s="12">
        <f>IF(D$12=0,0,D92/D$12)</f>
        <v>0.13027904490447545</v>
      </c>
      <c r="G92" s="4"/>
      <c r="H92" s="4">
        <v>4170</v>
      </c>
      <c r="I92" s="4"/>
      <c r="J92" s="12">
        <f>IF(H$12=0,0,H92/H$12)</f>
        <v>0.16763145200192958</v>
      </c>
      <c r="K92" s="4"/>
      <c r="L92" s="4">
        <f>+D92-H92</f>
        <v>-2173.9700000000003</v>
      </c>
      <c r="M92" s="4"/>
      <c r="N92" s="12">
        <f>IF(H92=0,0,L92/H92)</f>
        <v>-0.52133573141486822</v>
      </c>
      <c r="O92" s="10"/>
      <c r="P92" s="4">
        <v>7614.73</v>
      </c>
      <c r="Q92" s="4"/>
      <c r="R92" s="12">
        <f>IF(P$12=0,0,P92/P$12)</f>
        <v>0.11911177476111103</v>
      </c>
      <c r="S92" s="4"/>
      <c r="T92" s="4">
        <v>16331</v>
      </c>
      <c r="U92" s="4"/>
      <c r="V92" s="12">
        <f>IF(T$12=0,0,T92/T$12)</f>
        <v>0.12500287037391405</v>
      </c>
      <c r="W92" s="4"/>
      <c r="X92" s="4">
        <f>+P92-T92</f>
        <v>-8716.27</v>
      </c>
      <c r="Y92" s="4"/>
      <c r="Z92" s="12">
        <f>IF(T92=0,0,X92/T92)</f>
        <v>-0.53372543016349272</v>
      </c>
    </row>
    <row r="93" spans="1:26" x14ac:dyDescent="0.3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" thickBot="1" x14ac:dyDescent="0.35">
      <c r="A94" s="10"/>
      <c r="B94" s="26" t="s">
        <v>126</v>
      </c>
      <c r="C94" s="26"/>
      <c r="D94" s="33">
        <f>+D90-D92</f>
        <v>-19252.660000000003</v>
      </c>
      <c r="E94" s="13"/>
      <c r="F94" s="34">
        <f>IF(D$12=0,0,D94/D$12)</f>
        <v>-1.2566034361560692</v>
      </c>
      <c r="G94" s="13"/>
      <c r="H94" s="33">
        <f>+H90-H92</f>
        <v>-23931.96838730769</v>
      </c>
      <c r="I94" s="13"/>
      <c r="J94" s="34">
        <f>IF(H$12=0,0,H94/H$12)</f>
        <v>-0.96205050600207787</v>
      </c>
      <c r="K94" s="15"/>
      <c r="L94" s="33">
        <f>D94-H94</f>
        <v>4679.3083873076866</v>
      </c>
      <c r="M94" s="15"/>
      <c r="N94" s="34">
        <f>IF(H94=0,0,L94/H94)</f>
        <v>-0.19552542906539003</v>
      </c>
      <c r="O94" s="25"/>
      <c r="P94" s="33">
        <f>+P90-P92</f>
        <v>-78515.39999999998</v>
      </c>
      <c r="Q94" s="13"/>
      <c r="R94" s="34">
        <f>IF(P$12=0,0,P94/P$12)</f>
        <v>-1.2281602420674842</v>
      </c>
      <c r="S94" s="13"/>
      <c r="T94" s="33">
        <f>+T90-T92</f>
        <v>-125321.15639269233</v>
      </c>
      <c r="U94" s="13"/>
      <c r="V94" s="34">
        <f>IF(T$12=0,0,T94/T$12)</f>
        <v>-0.95924954183238798</v>
      </c>
      <c r="W94" s="15"/>
      <c r="X94" s="33">
        <f>P94-T94</f>
        <v>46805.756392692347</v>
      </c>
      <c r="Y94" s="15"/>
      <c r="Z94" s="34">
        <f>IF(T94=0,0,X94/T94)</f>
        <v>-0.37348647060059897</v>
      </c>
    </row>
    <row r="95" spans="1:26" ht="15" thickTop="1" x14ac:dyDescent="0.3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x14ac:dyDescent="0.3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" thickBot="1" x14ac:dyDescent="0.35">
      <c r="A97" s="10"/>
      <c r="B97" s="26" t="s">
        <v>294</v>
      </c>
      <c r="C97" s="26"/>
      <c r="D97" s="35">
        <f>SUM(D94:D96)</f>
        <v>-19252.660000000003</v>
      </c>
      <c r="E97" s="13"/>
      <c r="F97" s="32">
        <f>IF(D$12=0,0,D97/D$12)</f>
        <v>-1.2566034361560692</v>
      </c>
      <c r="G97" s="13"/>
      <c r="H97" s="35">
        <f>SUM(H94:H96)</f>
        <v>-23931.96838730769</v>
      </c>
      <c r="I97" s="13"/>
      <c r="J97" s="32">
        <f>IF(H$12=0,0,H97/H$12)</f>
        <v>-0.96205050600207787</v>
      </c>
      <c r="K97" s="15"/>
      <c r="L97" s="35">
        <f>+D97-H97</f>
        <v>4679.3083873076866</v>
      </c>
      <c r="M97" s="15"/>
      <c r="N97" s="32">
        <f>IF(H97=0,0,L97/H97)</f>
        <v>-0.19552542906539003</v>
      </c>
      <c r="O97" s="25"/>
      <c r="P97" s="35">
        <f>SUM(P94:P96)</f>
        <v>-78515.39999999998</v>
      </c>
      <c r="Q97" s="13"/>
      <c r="R97" s="32">
        <f>IF(P$12=0,0,P97/P$12)</f>
        <v>-1.2281602420674842</v>
      </c>
      <c r="S97" s="13"/>
      <c r="T97" s="35">
        <f>SUM(T94:T96)</f>
        <v>-125321.15639269233</v>
      </c>
      <c r="U97" s="13"/>
      <c r="V97" s="32">
        <f>IF(T$12=0,0,T97/T$12)</f>
        <v>-0.95924954183238798</v>
      </c>
      <c r="W97" s="15"/>
      <c r="X97" s="35">
        <f>+P97-T97</f>
        <v>46805.756392692347</v>
      </c>
      <c r="Y97" s="15"/>
      <c r="Z97" s="32">
        <f>IF(T97=0,0,X97/T97)</f>
        <v>-0.37348647060059897</v>
      </c>
    </row>
    <row r="98" spans="1:26" ht="15" thickTop="1" x14ac:dyDescent="0.3">
      <c r="A98" s="9"/>
      <c r="C98" s="9"/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  <row r="99" spans="1:26" x14ac:dyDescent="0.3">
      <c r="A99" s="9"/>
      <c r="B99" s="60">
        <v>44543.753067245372</v>
      </c>
      <c r="D99" s="17"/>
      <c r="E99" s="17"/>
      <c r="G99" s="17"/>
      <c r="H99" s="17"/>
      <c r="I99" s="17"/>
      <c r="J99" s="42"/>
      <c r="K99" s="17"/>
      <c r="L99" s="17"/>
      <c r="M99" s="17"/>
      <c r="P99" s="17"/>
      <c r="Q99" s="17"/>
      <c r="R99" s="42"/>
      <c r="S99" s="17"/>
      <c r="T99" s="17"/>
      <c r="U99" s="17"/>
      <c r="V99" s="42"/>
      <c r="W99" s="17"/>
      <c r="X99" s="17"/>
    </row>
    <row r="100" spans="1:26" x14ac:dyDescent="0.3">
      <c r="A100" s="9"/>
      <c r="B100" s="58" t="s">
        <v>56</v>
      </c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  <row r="101" spans="1:26" x14ac:dyDescent="0.3">
      <c r="A101" s="9"/>
      <c r="B101" s="55"/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  <row r="102" spans="1:26" x14ac:dyDescent="0.3"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92D050"/>
    <outlinePr summaryBelow="0" summaryRight="0"/>
  </sheetPr>
  <dimension ref="A2:Z4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","309", " - ", "Carts")</f>
        <v>Department 309 - Carts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5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1">
        <f>SUM(OSRRefD22x_0)</f>
        <v>1205.79</v>
      </c>
      <c r="E18" s="21"/>
      <c r="F18" s="30">
        <f t="shared" ref="F18:F27" si="0">IF(D$12=0,0,D18/D$12)</f>
        <v>0</v>
      </c>
      <c r="G18" s="21"/>
      <c r="H18" s="21">
        <f>SUM(OSRRefH22x_0)</f>
        <v>588</v>
      </c>
      <c r="I18" s="21"/>
      <c r="J18" s="30">
        <f t="shared" ref="J18:J27" si="1">IF(H$12=0,0,H18/H$12)</f>
        <v>0</v>
      </c>
      <c r="K18" s="4"/>
      <c r="L18" s="21">
        <f t="shared" ref="L18:L27" si="2">+D18-H18</f>
        <v>617.79</v>
      </c>
      <c r="M18" s="4"/>
      <c r="N18" s="30">
        <f t="shared" ref="N18:N27" si="3">IF(H18=0,0,L18/H18)</f>
        <v>1.0506632653061223</v>
      </c>
      <c r="O18" s="10"/>
      <c r="P18" s="21">
        <f>SUM(OSRRefP22x_0)</f>
        <v>4459.7700000000004</v>
      </c>
      <c r="Q18" s="21"/>
      <c r="R18" s="30">
        <f t="shared" ref="R18:R27" si="4">IF(P$12=0,0,P18/P$12)</f>
        <v>0</v>
      </c>
      <c r="S18" s="21"/>
      <c r="T18" s="21">
        <f>SUM(OSRRefT22x_0)</f>
        <v>2940</v>
      </c>
      <c r="U18" s="21"/>
      <c r="V18" s="30">
        <f t="shared" ref="V18:V27" si="5">IF(T$12=0,0,T18/T$12)</f>
        <v>0</v>
      </c>
      <c r="W18" s="4"/>
      <c r="X18" s="21">
        <f t="shared" ref="X18:X27" si="6">+P18-T18</f>
        <v>1519.7700000000004</v>
      </c>
      <c r="Y18" s="4"/>
      <c r="Z18" s="30">
        <f t="shared" ref="Z18:Z27" si="7">IF(T18=0,0,X18/T18)</f>
        <v>0.51692857142857163</v>
      </c>
    </row>
    <row r="19" spans="1:26" s="29" customFormat="1" outlineLevel="1" collapsed="1" x14ac:dyDescent="0.3">
      <c r="A19" s="28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588.94000000000005</v>
      </c>
      <c r="E19" s="1"/>
      <c r="F19" s="5">
        <f t="shared" si="0"/>
        <v>0</v>
      </c>
      <c r="G19" s="1"/>
      <c r="H19" s="1">
        <f>SUM(OSRRefH22_0x_0)</f>
        <v>588</v>
      </c>
      <c r="I19" s="1"/>
      <c r="J19" s="5">
        <f t="shared" si="1"/>
        <v>0</v>
      </c>
      <c r="K19" s="1"/>
      <c r="L19" s="1">
        <f t="shared" si="2"/>
        <v>0.94000000000005457</v>
      </c>
      <c r="M19" s="1"/>
      <c r="N19" s="5">
        <f t="shared" si="3"/>
        <v>1.5986394557824057E-3</v>
      </c>
      <c r="O19" s="14"/>
      <c r="P19" s="1">
        <f>SUM(OSRRefP22_0x_0)</f>
        <v>2944.7</v>
      </c>
      <c r="Q19" s="1"/>
      <c r="R19" s="5">
        <f t="shared" si="4"/>
        <v>0</v>
      </c>
      <c r="S19" s="1"/>
      <c r="T19" s="1">
        <f>SUM(OSRRefT22_0x_0)</f>
        <v>2940</v>
      </c>
      <c r="U19" s="1"/>
      <c r="V19" s="5">
        <f t="shared" si="5"/>
        <v>0</v>
      </c>
      <c r="W19" s="1"/>
      <c r="X19" s="1">
        <f t="shared" si="6"/>
        <v>4.6999999999998181</v>
      </c>
      <c r="Y19" s="1"/>
      <c r="Z19" s="5">
        <f t="shared" si="7"/>
        <v>1.5986394557822511E-3</v>
      </c>
    </row>
    <row r="20" spans="1:26" s="24" customFormat="1" hidden="1" outlineLevel="2" x14ac:dyDescent="0.3">
      <c r="A20" s="27"/>
      <c r="B20" s="11" t="str">
        <f>CONCATENATE("          ", "6322", " - ", "EQUIPMENT DEPRECIATION EXPENSE")</f>
        <v xml:space="preserve">          6322 - EQUIPMENT DEPRECIATION EXPENSE</v>
      </c>
      <c r="C20" s="11"/>
      <c r="D20" s="6">
        <v>588.94000000000005</v>
      </c>
      <c r="E20" s="2"/>
      <c r="F20" s="7">
        <f t="shared" si="0"/>
        <v>0</v>
      </c>
      <c r="G20" s="2"/>
      <c r="H20" s="6">
        <v>588</v>
      </c>
      <c r="I20" s="2"/>
      <c r="J20" s="7">
        <f t="shared" si="1"/>
        <v>0</v>
      </c>
      <c r="K20" s="2"/>
      <c r="L20" s="6">
        <f t="shared" si="2"/>
        <v>0.94000000000005457</v>
      </c>
      <c r="M20" s="2"/>
      <c r="N20" s="7">
        <f t="shared" si="3"/>
        <v>1.5986394557824057E-3</v>
      </c>
      <c r="O20" s="11"/>
      <c r="P20" s="6">
        <v>2944.7</v>
      </c>
      <c r="Q20" s="2"/>
      <c r="R20" s="7">
        <f t="shared" si="4"/>
        <v>0</v>
      </c>
      <c r="S20" s="2"/>
      <c r="T20" s="6">
        <v>2940</v>
      </c>
      <c r="U20" s="2"/>
      <c r="V20" s="7">
        <f t="shared" si="5"/>
        <v>0</v>
      </c>
      <c r="W20" s="2"/>
      <c r="X20" s="6">
        <f t="shared" si="6"/>
        <v>4.6999999999998181</v>
      </c>
      <c r="Y20" s="2"/>
      <c r="Z20" s="7">
        <f t="shared" si="7"/>
        <v>1.5986394557822511E-3</v>
      </c>
    </row>
    <row r="21" spans="1:26" s="29" customFormat="1" outlineLevel="1" collapsed="1" x14ac:dyDescent="0.3">
      <c r="A21" s="28"/>
      <c r="B21" s="14" t="str">
        <f>CONCATENATE("     ","General                                           ")</f>
        <v xml:space="preserve">     General                                           </v>
      </c>
      <c r="C21" s="14"/>
      <c r="D21" s="1">
        <f>SUM(OSRRefD22_1x_0)</f>
        <v>435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435</v>
      </c>
      <c r="M21" s="1"/>
      <c r="N21" s="5">
        <f t="shared" si="3"/>
        <v>0</v>
      </c>
      <c r="O21" s="14"/>
      <c r="P21" s="1">
        <f>SUM(OSRRefP22_1x_0)</f>
        <v>435</v>
      </c>
      <c r="Q21" s="1"/>
      <c r="R21" s="5">
        <f t="shared" si="4"/>
        <v>0</v>
      </c>
      <c r="S21" s="1"/>
      <c r="T21" s="1">
        <f>SUM(OSRRefT22_1x_0)</f>
        <v>0</v>
      </c>
      <c r="U21" s="1"/>
      <c r="V21" s="5">
        <f t="shared" si="5"/>
        <v>0</v>
      </c>
      <c r="W21" s="1"/>
      <c r="X21" s="1">
        <f t="shared" si="6"/>
        <v>435</v>
      </c>
      <c r="Y21" s="1"/>
      <c r="Z21" s="5">
        <f t="shared" si="7"/>
        <v>0</v>
      </c>
    </row>
    <row r="22" spans="1:26" s="24" customFormat="1" hidden="1" outlineLevel="2" x14ac:dyDescent="0.3">
      <c r="A22" s="27"/>
      <c r="B22" s="11" t="str">
        <f>CONCATENATE("          ", "6279", " - ", "GENERAL EXPENSE")</f>
        <v xml:space="preserve">          6279 - GENERAL EXPENSE</v>
      </c>
      <c r="C22" s="11"/>
      <c r="D22" s="6">
        <v>435</v>
      </c>
      <c r="E22" s="2"/>
      <c r="F22" s="7">
        <f t="shared" si="0"/>
        <v>0</v>
      </c>
      <c r="G22" s="2"/>
      <c r="H22" s="6"/>
      <c r="I22" s="2"/>
      <c r="J22" s="7">
        <f t="shared" si="1"/>
        <v>0</v>
      </c>
      <c r="K22" s="2"/>
      <c r="L22" s="6">
        <f t="shared" si="2"/>
        <v>435</v>
      </c>
      <c r="M22" s="2"/>
      <c r="N22" s="7">
        <f t="shared" si="3"/>
        <v>0</v>
      </c>
      <c r="O22" s="11"/>
      <c r="P22" s="6">
        <v>435</v>
      </c>
      <c r="Q22" s="2"/>
      <c r="R22" s="7">
        <f t="shared" si="4"/>
        <v>0</v>
      </c>
      <c r="S22" s="2"/>
      <c r="T22" s="6"/>
      <c r="U22" s="2"/>
      <c r="V22" s="7">
        <f t="shared" si="5"/>
        <v>0</v>
      </c>
      <c r="W22" s="2"/>
      <c r="X22" s="6">
        <f t="shared" si="6"/>
        <v>435</v>
      </c>
      <c r="Y22" s="2"/>
      <c r="Z22" s="7">
        <f t="shared" si="7"/>
        <v>0</v>
      </c>
    </row>
    <row r="23" spans="1:26" s="29" customFormat="1" outlineLevel="1" collapsed="1" x14ac:dyDescent="0.3">
      <c r="A23" s="28"/>
      <c r="B23" s="14" t="str">
        <f>CONCATENATE("     ","Repair and Maintenance                            ")</f>
        <v xml:space="preserve">     Repair and Maintenance                            </v>
      </c>
      <c r="C23" s="14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0</v>
      </c>
      <c r="M23" s="1"/>
      <c r="N23" s="5">
        <f t="shared" si="3"/>
        <v>0</v>
      </c>
      <c r="O23" s="14"/>
      <c r="P23" s="1">
        <f>SUM(OSRRefP22_2x_0)</f>
        <v>47.9</v>
      </c>
      <c r="Q23" s="1"/>
      <c r="R23" s="5">
        <f t="shared" si="4"/>
        <v>0</v>
      </c>
      <c r="S23" s="1"/>
      <c r="T23" s="1">
        <f>SUM(OSRRefT22_2x_0)</f>
        <v>0</v>
      </c>
      <c r="U23" s="1"/>
      <c r="V23" s="5">
        <f t="shared" si="5"/>
        <v>0</v>
      </c>
      <c r="W23" s="1"/>
      <c r="X23" s="1">
        <f t="shared" si="6"/>
        <v>47.9</v>
      </c>
      <c r="Y23" s="1"/>
      <c r="Z23" s="5">
        <f t="shared" si="7"/>
        <v>0</v>
      </c>
    </row>
    <row r="24" spans="1:26" s="24" customFormat="1" hidden="1" outlineLevel="2" x14ac:dyDescent="0.3">
      <c r="A24" s="27"/>
      <c r="B24" s="11" t="str">
        <f>CONCATENATE("          ", "6373", " - ", "MAINTENANCE CONTRACTS")</f>
        <v xml:space="preserve">          6373 - MAINTENANCE CONTRACTS</v>
      </c>
      <c r="C24" s="11"/>
      <c r="D24" s="6"/>
      <c r="E24" s="2"/>
      <c r="F24" s="7">
        <f t="shared" si="0"/>
        <v>0</v>
      </c>
      <c r="G24" s="2"/>
      <c r="H24" s="6"/>
      <c r="I24" s="2"/>
      <c r="J24" s="7">
        <f t="shared" si="1"/>
        <v>0</v>
      </c>
      <c r="K24" s="2"/>
      <c r="L24" s="6">
        <f t="shared" si="2"/>
        <v>0</v>
      </c>
      <c r="M24" s="2"/>
      <c r="N24" s="7">
        <f t="shared" si="3"/>
        <v>0</v>
      </c>
      <c r="O24" s="11"/>
      <c r="P24" s="6">
        <v>47.9</v>
      </c>
      <c r="Q24" s="2"/>
      <c r="R24" s="7">
        <f t="shared" si="4"/>
        <v>0</v>
      </c>
      <c r="S24" s="2"/>
      <c r="T24" s="6"/>
      <c r="U24" s="2"/>
      <c r="V24" s="7">
        <f t="shared" si="5"/>
        <v>0</v>
      </c>
      <c r="W24" s="2"/>
      <c r="X24" s="6">
        <f t="shared" si="6"/>
        <v>47.9</v>
      </c>
      <c r="Y24" s="2"/>
      <c r="Z24" s="7">
        <f t="shared" si="7"/>
        <v>0</v>
      </c>
    </row>
    <row r="25" spans="1:26" s="29" customFormat="1" outlineLevel="1" collapsed="1" x14ac:dyDescent="0.3">
      <c r="A25" s="28"/>
      <c r="B25" s="14" t="str">
        <f>CONCATENATE("     ","Services                                          ")</f>
        <v xml:space="preserve">     Services                                          </v>
      </c>
      <c r="C25" s="14"/>
      <c r="D25" s="1">
        <f>SUM(OSRRefD22_3x_0)</f>
        <v>151.85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151.85</v>
      </c>
      <c r="M25" s="1"/>
      <c r="N25" s="5">
        <f t="shared" si="3"/>
        <v>0</v>
      </c>
      <c r="O25" s="14"/>
      <c r="P25" s="1">
        <f>SUM(OSRRefP22_3x_0)</f>
        <v>882.17</v>
      </c>
      <c r="Q25" s="1"/>
      <c r="R25" s="5">
        <f t="shared" si="4"/>
        <v>0</v>
      </c>
      <c r="S25" s="1"/>
      <c r="T25" s="1">
        <f>SUM(OSRRefT22_3x_0)</f>
        <v>0</v>
      </c>
      <c r="U25" s="1"/>
      <c r="V25" s="5">
        <f t="shared" si="5"/>
        <v>0</v>
      </c>
      <c r="W25" s="1"/>
      <c r="X25" s="1">
        <f t="shared" si="6"/>
        <v>882.17</v>
      </c>
      <c r="Y25" s="1"/>
      <c r="Z25" s="5">
        <f t="shared" si="7"/>
        <v>0</v>
      </c>
    </row>
    <row r="26" spans="1:26" s="24" customFormat="1" hidden="1" outlineLevel="2" x14ac:dyDescent="0.3">
      <c r="A26" s="27"/>
      <c r="B26" s="11" t="str">
        <f>CONCATENATE("          ", "6282", " - ", "JANITORIAL/EXTERMINATOR EXPENS")</f>
        <v xml:space="preserve">          6282 - JANITORIAL/EXTERMINATOR EXPENS</v>
      </c>
      <c r="C26" s="11"/>
      <c r="D26" s="6">
        <v>151.85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151.85</v>
      </c>
      <c r="M26" s="2"/>
      <c r="N26" s="7">
        <f t="shared" si="3"/>
        <v>0</v>
      </c>
      <c r="O26" s="11"/>
      <c r="P26" s="6">
        <v>759.25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759.25</v>
      </c>
      <c r="Y26" s="2"/>
      <c r="Z26" s="7">
        <f t="shared" si="7"/>
        <v>0</v>
      </c>
    </row>
    <row r="27" spans="1:26" s="24" customFormat="1" hidden="1" outlineLevel="2" x14ac:dyDescent="0.3">
      <c r="A27" s="27"/>
      <c r="B27" s="11" t="str">
        <f>CONCATENATE("          ", "6285", " - ", "JANITORIAL SERVICES")</f>
        <v xml:space="preserve">          6285 - JANITORIAL SERVICES</v>
      </c>
      <c r="C27" s="11"/>
      <c r="D27" s="6"/>
      <c r="E27" s="2"/>
      <c r="F27" s="7">
        <f t="shared" si="0"/>
        <v>0</v>
      </c>
      <c r="G27" s="2"/>
      <c r="H27" s="6"/>
      <c r="I27" s="2"/>
      <c r="J27" s="7">
        <f t="shared" si="1"/>
        <v>0</v>
      </c>
      <c r="K27" s="2"/>
      <c r="L27" s="6">
        <f t="shared" si="2"/>
        <v>0</v>
      </c>
      <c r="M27" s="2"/>
      <c r="N27" s="7">
        <f t="shared" si="3"/>
        <v>0</v>
      </c>
      <c r="O27" s="11"/>
      <c r="P27" s="6">
        <v>122.92</v>
      </c>
      <c r="Q27" s="2"/>
      <c r="R27" s="7">
        <f t="shared" si="4"/>
        <v>0</v>
      </c>
      <c r="S27" s="2"/>
      <c r="T27" s="6"/>
      <c r="U27" s="2"/>
      <c r="V27" s="7">
        <f t="shared" si="5"/>
        <v>0</v>
      </c>
      <c r="W27" s="2"/>
      <c r="X27" s="6">
        <f t="shared" si="6"/>
        <v>122.92</v>
      </c>
      <c r="Y27" s="2"/>
      <c r="Z27" s="7">
        <f t="shared" si="7"/>
        <v>0</v>
      </c>
    </row>
    <row r="28" spans="1:26" s="29" customFormat="1" outlineLevel="1" collapsed="1" x14ac:dyDescent="0.3">
      <c r="A28" s="28"/>
      <c r="B28" s="14" t="str">
        <f>CONCATENATE("     ","Telephone/Data Lines                              ")</f>
        <v xml:space="preserve">     Telephone/Data Lines                              </v>
      </c>
      <c r="C28" s="14"/>
      <c r="D28" s="1">
        <f>SUM(OSRRefD22_4x_0)</f>
        <v>30</v>
      </c>
      <c r="E28" s="1"/>
      <c r="F28" s="5">
        <f t="shared" ref="F28:F29" si="8">IF(D$12=0,0,D28/D$12)</f>
        <v>0</v>
      </c>
      <c r="G28" s="1"/>
      <c r="H28" s="1">
        <f>SUM(OSRRefH22_4x_0)</f>
        <v>0</v>
      </c>
      <c r="I28" s="1"/>
      <c r="J28" s="5">
        <f t="shared" ref="J28:J29" si="9">IF(H$12=0,0,H28/H$12)</f>
        <v>0</v>
      </c>
      <c r="K28" s="1"/>
      <c r="L28" s="1">
        <f t="shared" ref="L28:L29" si="10">+D28-H28</f>
        <v>30</v>
      </c>
      <c r="M28" s="1"/>
      <c r="N28" s="5">
        <f t="shared" ref="N28:N29" si="11">IF(H28=0,0,L28/H28)</f>
        <v>0</v>
      </c>
      <c r="O28" s="14"/>
      <c r="P28" s="1">
        <f>SUM(OSRRefP22_4x_0)</f>
        <v>150</v>
      </c>
      <c r="Q28" s="1"/>
      <c r="R28" s="5">
        <f t="shared" ref="R28:R29" si="12">IF(P$12=0,0,P28/P$12)</f>
        <v>0</v>
      </c>
      <c r="S28" s="1"/>
      <c r="T28" s="1">
        <f>SUM(OSRRefT22_4x_0)</f>
        <v>0</v>
      </c>
      <c r="U28" s="1"/>
      <c r="V28" s="5">
        <f t="shared" ref="V28:V29" si="13">IF(T$12=0,0,T28/T$12)</f>
        <v>0</v>
      </c>
      <c r="W28" s="1"/>
      <c r="X28" s="1">
        <f t="shared" ref="X28:X29" si="14">+P28-T28</f>
        <v>150</v>
      </c>
      <c r="Y28" s="1"/>
      <c r="Z28" s="5">
        <f t="shared" ref="Z28:Z29" si="15">IF(T28=0,0,X28/T28)</f>
        <v>0</v>
      </c>
    </row>
    <row r="29" spans="1:26" s="24" customFormat="1" hidden="1" outlineLevel="2" x14ac:dyDescent="0.3">
      <c r="A29" s="27"/>
      <c r="B29" s="11" t="str">
        <f>CONCATENATE("          ", "6309", " - ", "TELEPHONE")</f>
        <v xml:space="preserve">          6309 - TELEPHONE</v>
      </c>
      <c r="C29" s="11"/>
      <c r="D29" s="6">
        <v>30</v>
      </c>
      <c r="E29" s="2"/>
      <c r="F29" s="7">
        <f t="shared" si="8"/>
        <v>0</v>
      </c>
      <c r="G29" s="2"/>
      <c r="H29" s="6"/>
      <c r="I29" s="2"/>
      <c r="J29" s="7">
        <f t="shared" si="9"/>
        <v>0</v>
      </c>
      <c r="K29" s="2"/>
      <c r="L29" s="6">
        <f t="shared" si="10"/>
        <v>30</v>
      </c>
      <c r="M29" s="2"/>
      <c r="N29" s="7">
        <f t="shared" si="11"/>
        <v>0</v>
      </c>
      <c r="O29" s="11"/>
      <c r="P29" s="6">
        <v>150</v>
      </c>
      <c r="Q29" s="2"/>
      <c r="R29" s="7">
        <f t="shared" si="12"/>
        <v>0</v>
      </c>
      <c r="S29" s="2"/>
      <c r="T29" s="6"/>
      <c r="U29" s="2"/>
      <c r="V29" s="7">
        <f t="shared" si="13"/>
        <v>0</v>
      </c>
      <c r="W29" s="2"/>
      <c r="X29" s="6">
        <f t="shared" si="14"/>
        <v>150</v>
      </c>
      <c r="Y29" s="2"/>
      <c r="Z29" s="7">
        <f t="shared" si="15"/>
        <v>0</v>
      </c>
    </row>
    <row r="30" spans="1:26" s="63" customFormat="1" x14ac:dyDescent="0.3">
      <c r="A30" s="36"/>
      <c r="B30" s="36"/>
      <c r="C30" s="36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6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3">
      <c r="A31" s="10"/>
      <c r="B31" s="25" t="s">
        <v>293</v>
      </c>
      <c r="C31" s="10"/>
      <c r="D31" s="4">
        <f>SUM(0)</f>
        <v>0</v>
      </c>
      <c r="E31" s="4"/>
      <c r="F31" s="12">
        <f>IF(D$12=0,0,D31/D$12)</f>
        <v>0</v>
      </c>
      <c r="G31" s="4"/>
      <c r="H31" s="4">
        <f>SUM(0)</f>
        <v>0</v>
      </c>
      <c r="I31" s="4"/>
      <c r="J31" s="12">
        <f>IF(H$12=0,0,H31/H$12)</f>
        <v>0</v>
      </c>
      <c r="K31" s="4"/>
      <c r="L31" s="4">
        <f>+D31-H31</f>
        <v>0</v>
      </c>
      <c r="M31" s="4"/>
      <c r="N31" s="12">
        <f>IF(H31=0,0,L31/H31)</f>
        <v>0</v>
      </c>
      <c r="O31" s="10"/>
      <c r="P31" s="4">
        <f>SUM(0)</f>
        <v>0</v>
      </c>
      <c r="Q31" s="4"/>
      <c r="R31" s="12">
        <f>IF(P$12=0,0,P31/P$12)</f>
        <v>0</v>
      </c>
      <c r="S31" s="4"/>
      <c r="T31" s="4">
        <f>SUM(0)</f>
        <v>0</v>
      </c>
      <c r="U31" s="4"/>
      <c r="V31" s="12">
        <f>IF(T$12=0,0,T31/T$12)</f>
        <v>0</v>
      </c>
      <c r="W31" s="4"/>
      <c r="X31" s="4">
        <f>+P31-T31</f>
        <v>0</v>
      </c>
      <c r="Y31" s="4"/>
      <c r="Z31" s="12">
        <f>IF(T31=0,0,X31/T31)</f>
        <v>0</v>
      </c>
    </row>
    <row r="32" spans="1:26" x14ac:dyDescent="0.3">
      <c r="A32" s="9"/>
      <c r="B32" s="10"/>
      <c r="C32" s="10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0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10"/>
      <c r="B33" s="26" t="s">
        <v>277</v>
      </c>
      <c r="C33" s="26"/>
      <c r="D33" s="20">
        <f>+D16-D18+D31</f>
        <v>-1205.79</v>
      </c>
      <c r="E33" s="13"/>
      <c r="F33" s="22">
        <f>IF(D$12=0,0,D33/D$12)</f>
        <v>0</v>
      </c>
      <c r="G33" s="13"/>
      <c r="H33" s="20">
        <f>+H16-H18+H31</f>
        <v>-588</v>
      </c>
      <c r="I33" s="13"/>
      <c r="J33" s="22">
        <f>IF(H$12=0,0,H33/H$12)</f>
        <v>0</v>
      </c>
      <c r="K33" s="15"/>
      <c r="L33" s="20">
        <f>+D33-H33</f>
        <v>-617.79</v>
      </c>
      <c r="M33" s="15"/>
      <c r="N33" s="22">
        <f>IF(H33=0,0,L33/H33)</f>
        <v>1.0506632653061223</v>
      </c>
      <c r="O33" s="25"/>
      <c r="P33" s="20">
        <f>+P16-P18+P31</f>
        <v>-4459.7700000000004</v>
      </c>
      <c r="Q33" s="13"/>
      <c r="R33" s="22">
        <f>IF(P$12=0,0,P33/P$12)</f>
        <v>0</v>
      </c>
      <c r="S33" s="13"/>
      <c r="T33" s="20">
        <f>+T16-T18+T31</f>
        <v>-2940</v>
      </c>
      <c r="U33" s="13"/>
      <c r="V33" s="22">
        <f>IF(T$12=0,0,T33/T$12)</f>
        <v>0</v>
      </c>
      <c r="W33" s="15"/>
      <c r="X33" s="20">
        <f>+P33-T33</f>
        <v>-1519.7700000000004</v>
      </c>
      <c r="Y33" s="15"/>
      <c r="Z33" s="22">
        <f>IF(T33=0,0,X33/T33)</f>
        <v>0.51692857142857163</v>
      </c>
    </row>
    <row r="34" spans="1:26" x14ac:dyDescent="0.3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3">
      <c r="A35" s="52"/>
      <c r="B35" s="10" t="s">
        <v>128</v>
      </c>
      <c r="C35" s="10"/>
      <c r="D35" s="4"/>
      <c r="E35" s="4"/>
      <c r="F35" s="12">
        <f>IF(D$12=0,0,D35/D$12)</f>
        <v>0</v>
      </c>
      <c r="G35" s="4"/>
      <c r="H35" s="4"/>
      <c r="I35" s="4"/>
      <c r="J35" s="12">
        <f>IF(H$12=0,0,H35/H$12)</f>
        <v>0</v>
      </c>
      <c r="K35" s="4"/>
      <c r="L35" s="4">
        <f>+D35-H35</f>
        <v>0</v>
      </c>
      <c r="M35" s="4"/>
      <c r="N35" s="12">
        <f>IF(H35=0,0,L35/H35)</f>
        <v>0</v>
      </c>
      <c r="O35" s="10"/>
      <c r="P35" s="4"/>
      <c r="Q35" s="4"/>
      <c r="R35" s="12">
        <f>IF(P$12=0,0,P35/P$12)</f>
        <v>0</v>
      </c>
      <c r="S35" s="4"/>
      <c r="T35" s="4"/>
      <c r="U35" s="4"/>
      <c r="V35" s="12">
        <f>IF(T$12=0,0,T35/T$12)</f>
        <v>0</v>
      </c>
      <c r="W35" s="4"/>
      <c r="X35" s="4">
        <f>+P35-T35</f>
        <v>0</v>
      </c>
      <c r="Y35" s="4"/>
      <c r="Z35" s="12">
        <f>IF(T35=0,0,X35/T35)</f>
        <v>0</v>
      </c>
    </row>
    <row r="36" spans="1:26" x14ac:dyDescent="0.3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" thickBot="1" x14ac:dyDescent="0.35">
      <c r="A37" s="10"/>
      <c r="B37" s="26" t="s">
        <v>126</v>
      </c>
      <c r="C37" s="26"/>
      <c r="D37" s="33">
        <f>+D33-D35</f>
        <v>-1205.79</v>
      </c>
      <c r="E37" s="13"/>
      <c r="F37" s="34">
        <f>IF(D$12=0,0,D37/D$12)</f>
        <v>0</v>
      </c>
      <c r="G37" s="13"/>
      <c r="H37" s="33">
        <f>+H33-H35</f>
        <v>-588</v>
      </c>
      <c r="I37" s="13"/>
      <c r="J37" s="34">
        <f>IF(H$12=0,0,H37/H$12)</f>
        <v>0</v>
      </c>
      <c r="K37" s="15"/>
      <c r="L37" s="33">
        <f>D37-H37</f>
        <v>-617.79</v>
      </c>
      <c r="M37" s="15"/>
      <c r="N37" s="34">
        <f>IF(H37=0,0,L37/H37)</f>
        <v>1.0506632653061223</v>
      </c>
      <c r="O37" s="25"/>
      <c r="P37" s="33">
        <f>+P33-P35</f>
        <v>-4459.7700000000004</v>
      </c>
      <c r="Q37" s="13"/>
      <c r="R37" s="34">
        <f>IF(P$12=0,0,P37/P$12)</f>
        <v>0</v>
      </c>
      <c r="S37" s="13"/>
      <c r="T37" s="33">
        <f>+T33-T35</f>
        <v>-2940</v>
      </c>
      <c r="U37" s="13"/>
      <c r="V37" s="34">
        <f>IF(T$12=0,0,T37/T$12)</f>
        <v>0</v>
      </c>
      <c r="W37" s="15"/>
      <c r="X37" s="33">
        <f>P37-T37</f>
        <v>-1519.7700000000004</v>
      </c>
      <c r="Y37" s="15"/>
      <c r="Z37" s="34">
        <f>IF(T37=0,0,X37/T37)</f>
        <v>0.51692857142857163</v>
      </c>
    </row>
    <row r="38" spans="1:26" ht="15" thickTop="1" x14ac:dyDescent="0.3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x14ac:dyDescent="0.3">
      <c r="A39" s="9"/>
      <c r="B39" s="9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ht="15" thickBot="1" x14ac:dyDescent="0.35">
      <c r="A40" s="10"/>
      <c r="B40" s="26" t="s">
        <v>294</v>
      </c>
      <c r="C40" s="26"/>
      <c r="D40" s="35">
        <f>SUM(D37:D39)</f>
        <v>-1205.79</v>
      </c>
      <c r="E40" s="13"/>
      <c r="F40" s="32">
        <f>IF(D$12=0,0,D40/D$12)</f>
        <v>0</v>
      </c>
      <c r="G40" s="13"/>
      <c r="H40" s="35">
        <f>SUM(H37:H39)</f>
        <v>-588</v>
      </c>
      <c r="I40" s="13"/>
      <c r="J40" s="32">
        <f>IF(H$12=0,0,H40/H$12)</f>
        <v>0</v>
      </c>
      <c r="K40" s="15"/>
      <c r="L40" s="35">
        <f>+D40-H40</f>
        <v>-617.79</v>
      </c>
      <c r="M40" s="15"/>
      <c r="N40" s="32">
        <f>IF(H40=0,0,L40/H40)</f>
        <v>1.0506632653061223</v>
      </c>
      <c r="O40" s="25"/>
      <c r="P40" s="35">
        <f>SUM(P37:P39)</f>
        <v>-4459.7700000000004</v>
      </c>
      <c r="Q40" s="13"/>
      <c r="R40" s="32">
        <f>IF(P$12=0,0,P40/P$12)</f>
        <v>0</v>
      </c>
      <c r="S40" s="13"/>
      <c r="T40" s="35">
        <f>SUM(T37:T39)</f>
        <v>-2940</v>
      </c>
      <c r="U40" s="13"/>
      <c r="V40" s="32">
        <f>IF(T$12=0,0,T40/T$12)</f>
        <v>0</v>
      </c>
      <c r="W40" s="15"/>
      <c r="X40" s="35">
        <f>+P40-T40</f>
        <v>-1519.7700000000004</v>
      </c>
      <c r="Y40" s="15"/>
      <c r="Z40" s="32">
        <f>IF(T40=0,0,X40/T40)</f>
        <v>0.51692857142857163</v>
      </c>
    </row>
    <row r="41" spans="1:26" ht="15" thickTop="1" x14ac:dyDescent="0.3">
      <c r="A41" s="9"/>
      <c r="C41" s="9"/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  <row r="42" spans="1:26" x14ac:dyDescent="0.3">
      <c r="A42" s="9"/>
      <c r="B42" s="60">
        <v>44543.753113078703</v>
      </c>
      <c r="D42" s="17"/>
      <c r="E42" s="17"/>
      <c r="G42" s="17"/>
      <c r="H42" s="17"/>
      <c r="I42" s="17"/>
      <c r="J42" s="42"/>
      <c r="K42" s="17"/>
      <c r="L42" s="17"/>
      <c r="M42" s="17"/>
      <c r="P42" s="17"/>
      <c r="Q42" s="17"/>
      <c r="R42" s="42"/>
      <c r="S42" s="17"/>
      <c r="T42" s="17"/>
      <c r="U42" s="17"/>
      <c r="V42" s="42"/>
      <c r="W42" s="17"/>
      <c r="X42" s="17"/>
    </row>
    <row r="43" spans="1:26" x14ac:dyDescent="0.3">
      <c r="A43" s="9"/>
      <c r="B43" s="58" t="s">
        <v>56</v>
      </c>
      <c r="D43" s="17"/>
      <c r="E43" s="17"/>
      <c r="G43" s="17"/>
      <c r="H43" s="17"/>
      <c r="I43" s="17"/>
      <c r="J43" s="42"/>
      <c r="K43" s="17"/>
      <c r="L43" s="17"/>
      <c r="M43" s="17"/>
      <c r="P43" s="17"/>
      <c r="Q43" s="17"/>
      <c r="R43" s="42"/>
      <c r="S43" s="17"/>
      <c r="T43" s="17"/>
      <c r="U43" s="17"/>
      <c r="V43" s="42"/>
      <c r="W43" s="17"/>
      <c r="X43" s="17"/>
    </row>
    <row r="44" spans="1:26" x14ac:dyDescent="0.3">
      <c r="A44" s="9"/>
      <c r="B44" s="55"/>
      <c r="D44" s="17"/>
      <c r="E44" s="17"/>
      <c r="G44" s="17"/>
      <c r="H44" s="17"/>
      <c r="I44" s="17"/>
      <c r="J44" s="42"/>
      <c r="K44" s="17"/>
      <c r="L44" s="17"/>
      <c r="M44" s="17"/>
      <c r="P44" s="17"/>
      <c r="Q44" s="17"/>
      <c r="R44" s="42"/>
      <c r="S44" s="17"/>
      <c r="T44" s="17"/>
      <c r="U44" s="17"/>
      <c r="V44" s="42"/>
      <c r="W44" s="17"/>
      <c r="X44" s="17"/>
    </row>
    <row r="45" spans="1:26" x14ac:dyDescent="0.3">
      <c r="D45" s="17"/>
      <c r="E45" s="17"/>
      <c r="G45" s="17"/>
      <c r="H45" s="17"/>
      <c r="I45" s="17"/>
      <c r="J45" s="42"/>
      <c r="K45" s="17"/>
      <c r="L45" s="17"/>
      <c r="M45" s="17"/>
      <c r="P45" s="17"/>
      <c r="Q45" s="17"/>
      <c r="R45" s="42"/>
      <c r="S45" s="17"/>
      <c r="T45" s="17"/>
      <c r="U45" s="17"/>
      <c r="V45" s="42"/>
      <c r="W45" s="17"/>
      <c r="X45" s="17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92D050"/>
    <outlinePr summaryBelow="0" summaryRight="0"/>
  </sheetPr>
  <dimension ref="A2:Z8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","321", " - ", "Corner Market")</f>
        <v>Department 321 - Corner Market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7209</v>
      </c>
      <c r="I12" s="4"/>
      <c r="J12" s="12"/>
      <c r="K12" s="4"/>
      <c r="L12" s="4">
        <f t="shared" ref="L12:L14" si="0">+D12-H12</f>
        <v>-7209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40662</v>
      </c>
      <c r="U12" s="4"/>
      <c r="V12" s="12"/>
      <c r="W12" s="4"/>
      <c r="X12" s="4">
        <f t="shared" ref="X12:X14" si="2">+P12-T12</f>
        <v>-40662</v>
      </c>
      <c r="Y12" s="4"/>
      <c r="Z12" s="12">
        <f t="shared" ref="Z12:Z14" si="3">IF(T12=0,0,X12/T12)</f>
        <v>-1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19"/>
      <c r="G13" s="2"/>
      <c r="H13" s="2">
        <v>1674</v>
      </c>
      <c r="I13" s="2"/>
      <c r="J13" s="19"/>
      <c r="K13" s="2"/>
      <c r="L13" s="2">
        <f t="shared" si="0"/>
        <v>-1674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v>9442</v>
      </c>
      <c r="U13" s="2"/>
      <c r="V13" s="19"/>
      <c r="W13" s="2"/>
      <c r="X13" s="2">
        <f t="shared" si="2"/>
        <v>-9442</v>
      </c>
      <c r="Y13" s="2"/>
      <c r="Z13" s="19">
        <f t="shared" si="3"/>
        <v>-1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5535</v>
      </c>
      <c r="I14" s="2"/>
      <c r="J14" s="19"/>
      <c r="K14" s="2"/>
      <c r="L14" s="2">
        <f t="shared" si="0"/>
        <v>-5535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v>31220</v>
      </c>
      <c r="U14" s="2"/>
      <c r="V14" s="19"/>
      <c r="W14" s="2"/>
      <c r="X14" s="2">
        <f t="shared" si="2"/>
        <v>-31220</v>
      </c>
      <c r="Y14" s="2"/>
      <c r="Z14" s="19">
        <f t="shared" si="3"/>
        <v>-1</v>
      </c>
    </row>
    <row r="15" spans="1:26" x14ac:dyDescent="0.3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3">
      <c r="A16" s="10"/>
      <c r="B16" s="25" t="s">
        <v>257</v>
      </c>
      <c r="C16" s="10"/>
      <c r="D16" s="4">
        <f>SUM(OSRRefD16x_0)</f>
        <v>8639</v>
      </c>
      <c r="E16" s="4"/>
      <c r="F16" s="12">
        <f t="shared" ref="F16:F18" si="6">IF(D$12=0,0,D16/D$12)</f>
        <v>0</v>
      </c>
      <c r="G16" s="4"/>
      <c r="H16" s="4">
        <f>SUM(OSRRefH16x_0)</f>
        <v>3532</v>
      </c>
      <c r="I16" s="4"/>
      <c r="J16" s="12">
        <f t="shared" ref="J16:J18" si="7">IF(H$12=0,0,H16/H$12)</f>
        <v>0.48994312664724649</v>
      </c>
      <c r="K16" s="4"/>
      <c r="L16" s="4">
        <f t="shared" ref="L16:L18" si="8">+D16-H16</f>
        <v>5107</v>
      </c>
      <c r="M16" s="4"/>
      <c r="N16" s="12">
        <f t="shared" ref="N16:N18" si="9">IF(H16=0,0,L16/H16)</f>
        <v>1.4459229898074746</v>
      </c>
      <c r="O16" s="10"/>
      <c r="P16" s="4">
        <f>SUM(OSRRefP16x_0)</f>
        <v>8639</v>
      </c>
      <c r="Q16" s="4"/>
      <c r="R16" s="12">
        <f t="shared" ref="R16:R18" si="10">IF(P$12=0,0,P16/P$12)</f>
        <v>0</v>
      </c>
      <c r="S16" s="4"/>
      <c r="T16" s="4">
        <f>SUM(OSRRefT16x_0)</f>
        <v>19924</v>
      </c>
      <c r="U16" s="4"/>
      <c r="V16" s="12">
        <f t="shared" ref="V16:V18" si="11">IF(T$12=0,0,T16/T$12)</f>
        <v>0.48999065466528946</v>
      </c>
      <c r="W16" s="4"/>
      <c r="X16" s="4">
        <f t="shared" ref="X16:X18" si="12">+P16-T16</f>
        <v>-11285</v>
      </c>
      <c r="Y16" s="4"/>
      <c r="Z16" s="12">
        <f t="shared" ref="Z16:Z18" si="13">IF(T16=0,0,X16/T16)</f>
        <v>-0.5664023288496286</v>
      </c>
    </row>
    <row r="17" spans="1:26" s="24" customFormat="1" hidden="1" outlineLevel="1" x14ac:dyDescent="0.3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6"/>
        <v>0</v>
      </c>
      <c r="G17" s="2"/>
      <c r="H17" s="2">
        <v>3532</v>
      </c>
      <c r="I17" s="2"/>
      <c r="J17" s="19">
        <f t="shared" si="7"/>
        <v>0.48994312664724649</v>
      </c>
      <c r="K17" s="2"/>
      <c r="L17" s="2">
        <f t="shared" si="8"/>
        <v>-3532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19924</v>
      </c>
      <c r="U17" s="2"/>
      <c r="V17" s="19">
        <f t="shared" si="11"/>
        <v>0.48999065466528946</v>
      </c>
      <c r="W17" s="2"/>
      <c r="X17" s="2">
        <f t="shared" si="12"/>
        <v>-19924</v>
      </c>
      <c r="Y17" s="2"/>
      <c r="Z17" s="19">
        <f t="shared" si="13"/>
        <v>-1</v>
      </c>
    </row>
    <row r="18" spans="1:26" s="24" customFormat="1" hidden="1" outlineLevel="1" x14ac:dyDescent="0.3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8639</v>
      </c>
      <c r="E18" s="2"/>
      <c r="F18" s="19">
        <f t="shared" si="6"/>
        <v>0</v>
      </c>
      <c r="G18" s="2"/>
      <c r="H18" s="2"/>
      <c r="I18" s="2"/>
      <c r="J18" s="19">
        <f t="shared" si="7"/>
        <v>0</v>
      </c>
      <c r="K18" s="2"/>
      <c r="L18" s="2">
        <f t="shared" si="8"/>
        <v>8639</v>
      </c>
      <c r="M18" s="2"/>
      <c r="N18" s="19">
        <f t="shared" si="9"/>
        <v>0</v>
      </c>
      <c r="O18" s="11"/>
      <c r="P18" s="2">
        <v>8639</v>
      </c>
      <c r="Q18" s="2"/>
      <c r="R18" s="19">
        <f t="shared" si="10"/>
        <v>0</v>
      </c>
      <c r="S18" s="2"/>
      <c r="T18" s="2"/>
      <c r="U18" s="2"/>
      <c r="V18" s="19">
        <f t="shared" si="11"/>
        <v>0</v>
      </c>
      <c r="W18" s="2"/>
      <c r="X18" s="2">
        <f t="shared" si="12"/>
        <v>8639</v>
      </c>
      <c r="Y18" s="2"/>
      <c r="Z18" s="19">
        <f t="shared" si="13"/>
        <v>0</v>
      </c>
    </row>
    <row r="19" spans="1:26" x14ac:dyDescent="0.3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3">
      <c r="A20" s="10"/>
      <c r="B20" s="26" t="s">
        <v>108</v>
      </c>
      <c r="C20" s="26"/>
      <c r="D20" s="20">
        <f>D12-D16</f>
        <v>-8639</v>
      </c>
      <c r="E20" s="13"/>
      <c r="F20" s="22">
        <f>IF(D$12=0,0,D20/D$12)</f>
        <v>0</v>
      </c>
      <c r="G20" s="13"/>
      <c r="H20" s="20">
        <f>H12-H16</f>
        <v>3677</v>
      </c>
      <c r="I20" s="13"/>
      <c r="J20" s="22">
        <f>IF(H$12=0,0,H20/H$12)</f>
        <v>0.51005687335275351</v>
      </c>
      <c r="K20" s="15"/>
      <c r="L20" s="20">
        <f>+D20-H20</f>
        <v>-12316</v>
      </c>
      <c r="M20" s="15"/>
      <c r="N20" s="22">
        <f>IF(H20=0,0,L20/H20)</f>
        <v>-3.3494696763666032</v>
      </c>
      <c r="O20" s="25"/>
      <c r="P20" s="20">
        <f>P12-P16</f>
        <v>-8639</v>
      </c>
      <c r="Q20" s="13"/>
      <c r="R20" s="22">
        <f>IF(P$12=0,0,P20/P$12)</f>
        <v>0</v>
      </c>
      <c r="S20" s="13"/>
      <c r="T20" s="20">
        <f>T12-T16</f>
        <v>20738</v>
      </c>
      <c r="U20" s="13"/>
      <c r="V20" s="22">
        <f>IF(T$12=0,0,T20/T$12)</f>
        <v>0.51000934533471054</v>
      </c>
      <c r="W20" s="15"/>
      <c r="X20" s="20">
        <f>+P20-T20</f>
        <v>-29377</v>
      </c>
      <c r="Y20" s="15"/>
      <c r="Z20" s="22">
        <f>IF(T20=0,0,X20/T20)</f>
        <v>-1.4165782621274954</v>
      </c>
    </row>
    <row r="21" spans="1:26" x14ac:dyDescent="0.3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">
      <c r="A22" s="10"/>
      <c r="B22" s="25" t="s">
        <v>295</v>
      </c>
      <c r="C22" s="10"/>
      <c r="D22" s="21">
        <f>SUM(OSRRefD22x_0)</f>
        <v>1101.8700000000001</v>
      </c>
      <c r="E22" s="21"/>
      <c r="F22" s="30">
        <f t="shared" ref="F22:F32" si="14">IF(D$12=0,0,D22/D$12)</f>
        <v>0</v>
      </c>
      <c r="G22" s="21"/>
      <c r="H22" s="21">
        <f>SUM(OSRRefH22x_0)</f>
        <v>5939.7935749999997</v>
      </c>
      <c r="I22" s="21"/>
      <c r="J22" s="30">
        <f t="shared" ref="J22:J32" si="15">IF(H$12=0,0,H22/H$12)</f>
        <v>0.82394140310722708</v>
      </c>
      <c r="K22" s="4"/>
      <c r="L22" s="21">
        <f t="shared" ref="L22:L32" si="16">+D22-H22</f>
        <v>-4837.9235749999998</v>
      </c>
      <c r="M22" s="4"/>
      <c r="N22" s="30">
        <f t="shared" ref="N22:N32" si="17">IF(H22=0,0,L22/H22)</f>
        <v>-0.81449355333867812</v>
      </c>
      <c r="O22" s="10"/>
      <c r="P22" s="21">
        <f>SUM(OSRRefP22x_0)</f>
        <v>7485.66</v>
      </c>
      <c r="Q22" s="21"/>
      <c r="R22" s="30">
        <f t="shared" ref="R22:R32" si="18">IF(P$12=0,0,P22/P$12)</f>
        <v>0</v>
      </c>
      <c r="S22" s="21"/>
      <c r="T22" s="21">
        <f>SUM(OSRRefT22x_0)</f>
        <v>36070.652925000002</v>
      </c>
      <c r="U22" s="21"/>
      <c r="V22" s="30">
        <f t="shared" ref="V22:V32" si="19">IF(T$12=0,0,T22/T$12)</f>
        <v>0.88708506529437814</v>
      </c>
      <c r="W22" s="4"/>
      <c r="X22" s="21">
        <f t="shared" ref="X22:X32" si="20">+P22-T22</f>
        <v>-28584.992925000002</v>
      </c>
      <c r="Y22" s="4"/>
      <c r="Z22" s="30">
        <f t="shared" ref="Z22:Z32" si="21">IF(T22=0,0,X22/T22)</f>
        <v>-0.79247228999251618</v>
      </c>
    </row>
    <row r="23" spans="1:26" s="29" customFormat="1" outlineLevel="1" collapsed="1" x14ac:dyDescent="0.3">
      <c r="A23" s="28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233.15000000000003</v>
      </c>
      <c r="E23" s="1"/>
      <c r="F23" s="5">
        <f t="shared" si="14"/>
        <v>0</v>
      </c>
      <c r="G23" s="1"/>
      <c r="H23" s="1">
        <f>SUM(OSRRefH22_0x_0)</f>
        <v>351.31857500000001</v>
      </c>
      <c r="I23" s="1"/>
      <c r="J23" s="5">
        <f t="shared" si="15"/>
        <v>4.8733329865445971E-2</v>
      </c>
      <c r="K23" s="1"/>
      <c r="L23" s="1">
        <f t="shared" si="16"/>
        <v>-118.16857499999998</v>
      </c>
      <c r="M23" s="1"/>
      <c r="N23" s="5">
        <f t="shared" si="17"/>
        <v>-0.33635732184100992</v>
      </c>
      <c r="O23" s="14"/>
      <c r="P23" s="1">
        <f>SUM(OSRRefP22_0x_0)</f>
        <v>318.14</v>
      </c>
      <c r="Q23" s="1"/>
      <c r="R23" s="5">
        <f t="shared" si="18"/>
        <v>0</v>
      </c>
      <c r="S23" s="1"/>
      <c r="T23" s="1">
        <f>SUM(OSRRefT22_0x_0)</f>
        <v>2037.117925</v>
      </c>
      <c r="U23" s="1"/>
      <c r="V23" s="5">
        <f t="shared" si="19"/>
        <v>5.0098812773596971E-2</v>
      </c>
      <c r="W23" s="1"/>
      <c r="X23" s="1">
        <f t="shared" si="20"/>
        <v>-1718.9779250000001</v>
      </c>
      <c r="Y23" s="1"/>
      <c r="Z23" s="5">
        <f t="shared" si="21"/>
        <v>-0.84382838318012454</v>
      </c>
    </row>
    <row r="24" spans="1:26" s="24" customFormat="1" hidden="1" outlineLevel="2" x14ac:dyDescent="0.3">
      <c r="A24" s="27"/>
      <c r="B24" s="11" t="str">
        <f>CONCATENATE("          ", "6111", " - ", "F.I.C.A.")</f>
        <v xml:space="preserve">          6111 - F.I.C.A.</v>
      </c>
      <c r="C24" s="11"/>
      <c r="D24" s="6">
        <v>35.72</v>
      </c>
      <c r="E24" s="2"/>
      <c r="F24" s="7">
        <f t="shared" si="14"/>
        <v>0</v>
      </c>
      <c r="G24" s="2"/>
      <c r="H24" s="6">
        <v>101.593575</v>
      </c>
      <c r="I24" s="2"/>
      <c r="J24" s="7">
        <f t="shared" si="15"/>
        <v>1.4092602996254682E-2</v>
      </c>
      <c r="K24" s="2"/>
      <c r="L24" s="6">
        <f t="shared" si="16"/>
        <v>-65.873575000000002</v>
      </c>
      <c r="M24" s="2"/>
      <c r="N24" s="7">
        <f t="shared" si="17"/>
        <v>-0.64840296249049212</v>
      </c>
      <c r="O24" s="11"/>
      <c r="P24" s="6">
        <v>42.63</v>
      </c>
      <c r="Q24" s="2"/>
      <c r="R24" s="7">
        <f t="shared" si="18"/>
        <v>0</v>
      </c>
      <c r="S24" s="2"/>
      <c r="T24" s="6">
        <v>667.53292499999998</v>
      </c>
      <c r="U24" s="2"/>
      <c r="V24" s="7">
        <f t="shared" si="19"/>
        <v>1.641662793271359E-2</v>
      </c>
      <c r="W24" s="2"/>
      <c r="X24" s="6">
        <f t="shared" si="20"/>
        <v>-624.90292499999998</v>
      </c>
      <c r="Y24" s="2"/>
      <c r="Z24" s="7">
        <f t="shared" si="21"/>
        <v>-0.93613798150855254</v>
      </c>
    </row>
    <row r="25" spans="1:26" s="24" customFormat="1" hidden="1" outlineLevel="2" x14ac:dyDescent="0.3">
      <c r="A25" s="27"/>
      <c r="B25" s="11" t="str">
        <f>CONCATENATE("          ", "6112", " - ", "COMPENSATION INSURANCE")</f>
        <v xml:space="preserve">          6112 - COMPENSATION INSURANCE</v>
      </c>
      <c r="C25" s="11"/>
      <c r="D25" s="6">
        <v>16.809999999999999</v>
      </c>
      <c r="E25" s="2"/>
      <c r="F25" s="7">
        <f t="shared" si="14"/>
        <v>0</v>
      </c>
      <c r="G25" s="2"/>
      <c r="H25" s="6">
        <v>135.20824999999999</v>
      </c>
      <c r="I25" s="2"/>
      <c r="J25" s="7">
        <f t="shared" si="15"/>
        <v>1.8755479262033567E-2</v>
      </c>
      <c r="K25" s="2"/>
      <c r="L25" s="6">
        <f t="shared" si="16"/>
        <v>-118.39824999999999</v>
      </c>
      <c r="M25" s="2"/>
      <c r="N25" s="7">
        <f t="shared" si="17"/>
        <v>-0.87567326697890102</v>
      </c>
      <c r="O25" s="11"/>
      <c r="P25" s="6">
        <v>16.809999999999999</v>
      </c>
      <c r="Q25" s="2"/>
      <c r="R25" s="7">
        <f t="shared" si="18"/>
        <v>0</v>
      </c>
      <c r="S25" s="2"/>
      <c r="T25" s="6">
        <v>741.53245000000004</v>
      </c>
      <c r="U25" s="2"/>
      <c r="V25" s="7">
        <f t="shared" si="19"/>
        <v>1.8236497220992572E-2</v>
      </c>
      <c r="W25" s="2"/>
      <c r="X25" s="6">
        <f t="shared" si="20"/>
        <v>-724.72245000000009</v>
      </c>
      <c r="Y25" s="2"/>
      <c r="Z25" s="7">
        <f t="shared" si="21"/>
        <v>-0.97733072908677165</v>
      </c>
    </row>
    <row r="26" spans="1:26" s="24" customFormat="1" hidden="1" outlineLevel="2" x14ac:dyDescent="0.3">
      <c r="A26" s="27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4"/>
        <v>0</v>
      </c>
      <c r="G26" s="2"/>
      <c r="H26" s="6">
        <v>0</v>
      </c>
      <c r="I26" s="2"/>
      <c r="J26" s="7">
        <f t="shared" si="15"/>
        <v>0</v>
      </c>
      <c r="K26" s="2"/>
      <c r="L26" s="6">
        <f t="shared" si="16"/>
        <v>0</v>
      </c>
      <c r="M26" s="2"/>
      <c r="N26" s="7">
        <f t="shared" si="17"/>
        <v>0</v>
      </c>
      <c r="O26" s="11"/>
      <c r="P26" s="6"/>
      <c r="Q26" s="2"/>
      <c r="R26" s="7">
        <f t="shared" si="18"/>
        <v>0</v>
      </c>
      <c r="S26" s="2"/>
      <c r="T26" s="6">
        <v>0</v>
      </c>
      <c r="U26" s="2"/>
      <c r="V26" s="7">
        <f t="shared" si="19"/>
        <v>0</v>
      </c>
      <c r="W26" s="2"/>
      <c r="X26" s="6">
        <f t="shared" si="20"/>
        <v>0</v>
      </c>
      <c r="Y26" s="2"/>
      <c r="Z26" s="7">
        <f t="shared" si="21"/>
        <v>0</v>
      </c>
    </row>
    <row r="27" spans="1:26" s="24" customFormat="1" hidden="1" outlineLevel="2" x14ac:dyDescent="0.3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6">
        <v>1.21</v>
      </c>
      <c r="E27" s="2"/>
      <c r="F27" s="7">
        <f t="shared" si="14"/>
        <v>0</v>
      </c>
      <c r="G27" s="2"/>
      <c r="H27" s="6">
        <v>7.4917499999999997</v>
      </c>
      <c r="I27" s="2"/>
      <c r="J27" s="7">
        <f t="shared" si="15"/>
        <v>1.0392218060757386E-3</v>
      </c>
      <c r="K27" s="2"/>
      <c r="L27" s="6">
        <f t="shared" si="16"/>
        <v>-6.2817499999999997</v>
      </c>
      <c r="M27" s="2"/>
      <c r="N27" s="7">
        <f t="shared" si="17"/>
        <v>-0.83848900457169551</v>
      </c>
      <c r="O27" s="11"/>
      <c r="P27" s="6">
        <v>1.21</v>
      </c>
      <c r="Q27" s="2"/>
      <c r="R27" s="7">
        <f t="shared" si="18"/>
        <v>0</v>
      </c>
      <c r="S27" s="2"/>
      <c r="T27" s="6">
        <v>41.08755</v>
      </c>
      <c r="U27" s="2"/>
      <c r="V27" s="7">
        <f t="shared" si="19"/>
        <v>1.0104655452265014E-3</v>
      </c>
      <c r="W27" s="2"/>
      <c r="X27" s="6">
        <f t="shared" si="20"/>
        <v>-39.877549999999999</v>
      </c>
      <c r="Y27" s="2"/>
      <c r="Z27" s="7">
        <f t="shared" si="21"/>
        <v>-0.9705506899291878</v>
      </c>
    </row>
    <row r="28" spans="1:26" s="24" customFormat="1" hidden="1" outlineLevel="2" x14ac:dyDescent="0.3">
      <c r="A28" s="27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4"/>
        <v>0</v>
      </c>
      <c r="G28" s="2"/>
      <c r="H28" s="6">
        <v>0</v>
      </c>
      <c r="I28" s="2"/>
      <c r="J28" s="7">
        <f t="shared" si="15"/>
        <v>0</v>
      </c>
      <c r="K28" s="2"/>
      <c r="L28" s="6">
        <f t="shared" si="16"/>
        <v>0</v>
      </c>
      <c r="M28" s="2"/>
      <c r="N28" s="7">
        <f t="shared" si="17"/>
        <v>0</v>
      </c>
      <c r="O28" s="11"/>
      <c r="P28" s="6"/>
      <c r="Q28" s="2"/>
      <c r="R28" s="7">
        <f t="shared" si="18"/>
        <v>0</v>
      </c>
      <c r="S28" s="2"/>
      <c r="T28" s="6">
        <v>0</v>
      </c>
      <c r="U28" s="2"/>
      <c r="V28" s="7">
        <f t="shared" si="19"/>
        <v>0</v>
      </c>
      <c r="W28" s="2"/>
      <c r="X28" s="6">
        <f t="shared" si="20"/>
        <v>0</v>
      </c>
      <c r="Y28" s="2"/>
      <c r="Z28" s="7">
        <f t="shared" si="21"/>
        <v>0</v>
      </c>
    </row>
    <row r="29" spans="1:26" s="24" customFormat="1" hidden="1" outlineLevel="2" x14ac:dyDescent="0.3">
      <c r="A29" s="27"/>
      <c r="B29" s="11" t="str">
        <f>CONCATENATE("          ", "6116", " - ", "EDUCATIONAL BENEFITS")</f>
        <v xml:space="preserve">          6116 - EDUCATIONAL BENEFITS</v>
      </c>
      <c r="C29" s="11"/>
      <c r="D29" s="6"/>
      <c r="E29" s="2"/>
      <c r="F29" s="7">
        <f t="shared" si="14"/>
        <v>0</v>
      </c>
      <c r="G29" s="2"/>
      <c r="H29" s="6">
        <v>0</v>
      </c>
      <c r="I29" s="2"/>
      <c r="J29" s="7">
        <f t="shared" si="15"/>
        <v>0</v>
      </c>
      <c r="K29" s="2"/>
      <c r="L29" s="6">
        <f t="shared" si="16"/>
        <v>0</v>
      </c>
      <c r="M29" s="2"/>
      <c r="N29" s="7">
        <f t="shared" si="17"/>
        <v>0</v>
      </c>
      <c r="O29" s="11"/>
      <c r="P29" s="6"/>
      <c r="Q29" s="2"/>
      <c r="R29" s="7">
        <f t="shared" si="18"/>
        <v>0</v>
      </c>
      <c r="S29" s="2"/>
      <c r="T29" s="6">
        <v>0</v>
      </c>
      <c r="U29" s="2"/>
      <c r="V29" s="7">
        <f t="shared" si="19"/>
        <v>0</v>
      </c>
      <c r="W29" s="2"/>
      <c r="X29" s="6">
        <f t="shared" si="20"/>
        <v>0</v>
      </c>
      <c r="Y29" s="2"/>
      <c r="Z29" s="7">
        <f t="shared" si="21"/>
        <v>0</v>
      </c>
    </row>
    <row r="30" spans="1:26" s="24" customFormat="1" hidden="1" outlineLevel="2" x14ac:dyDescent="0.3">
      <c r="A30" s="27"/>
      <c r="B30" s="11" t="str">
        <f>CONCATENATE("          ", "6118", " - ", "VACATION")</f>
        <v xml:space="preserve">          6118 - VACATION</v>
      </c>
      <c r="C30" s="11"/>
      <c r="D30" s="6">
        <v>81.62</v>
      </c>
      <c r="E30" s="2"/>
      <c r="F30" s="7">
        <f t="shared" si="14"/>
        <v>0</v>
      </c>
      <c r="G30" s="2"/>
      <c r="H30" s="6">
        <v>0</v>
      </c>
      <c r="I30" s="2"/>
      <c r="J30" s="7">
        <f t="shared" si="15"/>
        <v>0</v>
      </c>
      <c r="K30" s="2"/>
      <c r="L30" s="6">
        <f t="shared" si="16"/>
        <v>81.62</v>
      </c>
      <c r="M30" s="2"/>
      <c r="N30" s="7">
        <f t="shared" si="17"/>
        <v>0</v>
      </c>
      <c r="O30" s="11"/>
      <c r="P30" s="6">
        <v>81.62</v>
      </c>
      <c r="Q30" s="2"/>
      <c r="R30" s="7">
        <f t="shared" si="18"/>
        <v>0</v>
      </c>
      <c r="S30" s="2"/>
      <c r="T30" s="6">
        <v>0</v>
      </c>
      <c r="U30" s="2"/>
      <c r="V30" s="7">
        <f t="shared" si="19"/>
        <v>0</v>
      </c>
      <c r="W30" s="2"/>
      <c r="X30" s="6">
        <f t="shared" si="20"/>
        <v>81.62</v>
      </c>
      <c r="Y30" s="2"/>
      <c r="Z30" s="7">
        <f t="shared" si="21"/>
        <v>0</v>
      </c>
    </row>
    <row r="31" spans="1:26" s="24" customFormat="1" hidden="1" outlineLevel="2" x14ac:dyDescent="0.3">
      <c r="A31" s="27"/>
      <c r="B31" s="11" t="str">
        <f>CONCATENATE("          ", "6119", " - ", "SICK LEAVE")</f>
        <v xml:space="preserve">          6119 - SICK LEAVE</v>
      </c>
      <c r="C31" s="11"/>
      <c r="D31" s="6">
        <v>97.79</v>
      </c>
      <c r="E31" s="2"/>
      <c r="F31" s="7">
        <f t="shared" si="14"/>
        <v>0</v>
      </c>
      <c r="G31" s="2"/>
      <c r="H31" s="6">
        <v>107.02500000000001</v>
      </c>
      <c r="I31" s="2"/>
      <c r="J31" s="7">
        <f t="shared" si="15"/>
        <v>1.4846025801081981E-2</v>
      </c>
      <c r="K31" s="2"/>
      <c r="L31" s="6">
        <f t="shared" si="16"/>
        <v>-9.2349999999999994</v>
      </c>
      <c r="M31" s="2"/>
      <c r="N31" s="7">
        <f t="shared" si="17"/>
        <v>-8.628825040878299E-2</v>
      </c>
      <c r="O31" s="11"/>
      <c r="P31" s="6">
        <v>97.79</v>
      </c>
      <c r="Q31" s="2"/>
      <c r="R31" s="7">
        <f t="shared" si="18"/>
        <v>0</v>
      </c>
      <c r="S31" s="2"/>
      <c r="T31" s="6">
        <v>586.96500000000003</v>
      </c>
      <c r="U31" s="2"/>
      <c r="V31" s="7">
        <f t="shared" si="19"/>
        <v>1.4435222074664307E-2</v>
      </c>
      <c r="W31" s="2"/>
      <c r="X31" s="6">
        <f t="shared" si="20"/>
        <v>-489.17500000000001</v>
      </c>
      <c r="Y31" s="2"/>
      <c r="Z31" s="7">
        <f t="shared" si="21"/>
        <v>-0.83339722129939597</v>
      </c>
    </row>
    <row r="32" spans="1:26" s="24" customFormat="1" hidden="1" outlineLevel="2" x14ac:dyDescent="0.3">
      <c r="A32" s="27"/>
      <c r="B32" s="11" t="str">
        <f>CONCATENATE("          ", "6156", " - ", "EMPLOYEE MEALS")</f>
        <v xml:space="preserve">          6156 - EMPLOYEE MEALS</v>
      </c>
      <c r="C32" s="11"/>
      <c r="D32" s="6"/>
      <c r="E32" s="2"/>
      <c r="F32" s="7">
        <f t="shared" si="14"/>
        <v>0</v>
      </c>
      <c r="G32" s="2"/>
      <c r="H32" s="6"/>
      <c r="I32" s="2"/>
      <c r="J32" s="7">
        <f t="shared" si="15"/>
        <v>0</v>
      </c>
      <c r="K32" s="2"/>
      <c r="L32" s="6">
        <f t="shared" si="16"/>
        <v>0</v>
      </c>
      <c r="M32" s="2"/>
      <c r="N32" s="7">
        <f t="shared" si="17"/>
        <v>0</v>
      </c>
      <c r="O32" s="11"/>
      <c r="P32" s="6">
        <v>78.08</v>
      </c>
      <c r="Q32" s="2"/>
      <c r="R32" s="7">
        <f t="shared" si="18"/>
        <v>0</v>
      </c>
      <c r="S32" s="2"/>
      <c r="T32" s="6"/>
      <c r="U32" s="2"/>
      <c r="V32" s="7">
        <f t="shared" si="19"/>
        <v>0</v>
      </c>
      <c r="W32" s="2"/>
      <c r="X32" s="6">
        <f t="shared" si="20"/>
        <v>78.08</v>
      </c>
      <c r="Y32" s="2"/>
      <c r="Z32" s="7">
        <f t="shared" si="21"/>
        <v>0</v>
      </c>
    </row>
    <row r="33" spans="1:26" s="29" customFormat="1" outlineLevel="1" collapsed="1" x14ac:dyDescent="0.3">
      <c r="A33" s="28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SUM(OSRRefD22_1x_0)</f>
        <v>466.93</v>
      </c>
      <c r="E33" s="1"/>
      <c r="F33" s="5">
        <f t="shared" ref="F33:F43" si="22">IF(D$12=0,0,D33/D$12)</f>
        <v>0</v>
      </c>
      <c r="G33" s="1"/>
      <c r="H33" s="1">
        <f>SUM(OSRRefH22_1x_0)</f>
        <v>3460.4750000000004</v>
      </c>
      <c r="I33" s="1"/>
      <c r="J33" s="5">
        <f t="shared" ref="J33:J43" si="23">IF(H$12=0,0,H33/H$12)</f>
        <v>0.48002150090165074</v>
      </c>
      <c r="K33" s="1"/>
      <c r="L33" s="1">
        <f t="shared" ref="L33:L43" si="24">+D33-H33</f>
        <v>-2993.5450000000005</v>
      </c>
      <c r="M33" s="1"/>
      <c r="N33" s="5">
        <f t="shared" ref="N33:N43" si="25">IF(H33=0,0,L33/H33)</f>
        <v>-0.86506765689681331</v>
      </c>
      <c r="O33" s="14"/>
      <c r="P33" s="1">
        <f>SUM(OSRRefP22_1x_0)</f>
        <v>557.23</v>
      </c>
      <c r="Q33" s="1"/>
      <c r="R33" s="5">
        <f t="shared" ref="R33:R43" si="26">IF(P$12=0,0,P33/P$12)</f>
        <v>0</v>
      </c>
      <c r="S33" s="1"/>
      <c r="T33" s="1">
        <f>SUM(OSRRefT22_1x_0)</f>
        <v>18978.535</v>
      </c>
      <c r="U33" s="1"/>
      <c r="V33" s="5">
        <f t="shared" ref="V33:V43" si="27">IF(T$12=0,0,T33/T$12)</f>
        <v>0.46673884708081254</v>
      </c>
      <c r="W33" s="1"/>
      <c r="X33" s="1">
        <f t="shared" ref="X33:X43" si="28">+P33-T33</f>
        <v>-18421.305</v>
      </c>
      <c r="Y33" s="1"/>
      <c r="Z33" s="5">
        <f t="shared" ref="Z33:Z43" si="29">IF(T33=0,0,X33/T33)</f>
        <v>-0.9706389349862885</v>
      </c>
    </row>
    <row r="34" spans="1:26" s="24" customFormat="1" hidden="1" outlineLevel="2" x14ac:dyDescent="0.3">
      <c r="A34" s="27"/>
      <c r="B34" s="11" t="str">
        <f>CONCATENATE("          ", "6001", " - ", "ADMINISTRATIVE SALARIES")</f>
        <v xml:space="preserve">          6001 - ADMINISTRATIVE SALARIES</v>
      </c>
      <c r="C34" s="11"/>
      <c r="D34" s="6"/>
      <c r="E34" s="2"/>
      <c r="F34" s="7">
        <f t="shared" si="22"/>
        <v>0</v>
      </c>
      <c r="G34" s="2"/>
      <c r="H34" s="6">
        <v>0</v>
      </c>
      <c r="I34" s="2"/>
      <c r="J34" s="7">
        <f t="shared" si="23"/>
        <v>0</v>
      </c>
      <c r="K34" s="2"/>
      <c r="L34" s="6">
        <f t="shared" si="24"/>
        <v>0</v>
      </c>
      <c r="M34" s="2"/>
      <c r="N34" s="7">
        <f t="shared" si="25"/>
        <v>0</v>
      </c>
      <c r="O34" s="11"/>
      <c r="P34" s="6"/>
      <c r="Q34" s="2"/>
      <c r="R34" s="7">
        <f t="shared" si="26"/>
        <v>0</v>
      </c>
      <c r="S34" s="2"/>
      <c r="T34" s="6">
        <v>0</v>
      </c>
      <c r="U34" s="2"/>
      <c r="V34" s="7">
        <f t="shared" si="27"/>
        <v>0</v>
      </c>
      <c r="W34" s="2"/>
      <c r="X34" s="6">
        <f t="shared" si="28"/>
        <v>0</v>
      </c>
      <c r="Y34" s="2"/>
      <c r="Z34" s="7">
        <f t="shared" si="29"/>
        <v>0</v>
      </c>
    </row>
    <row r="35" spans="1:26" s="24" customFormat="1" hidden="1" outlineLevel="2" x14ac:dyDescent="0.3">
      <c r="A35" s="27"/>
      <c r="B35" s="11" t="str">
        <f>CONCATENATE("          ", "6002", " - ", "STAFF SALARIES")</f>
        <v xml:space="preserve">          6002 - STAFF SALARIES</v>
      </c>
      <c r="C35" s="11"/>
      <c r="D35" s="6"/>
      <c r="E35" s="2"/>
      <c r="F35" s="7">
        <f t="shared" si="22"/>
        <v>0</v>
      </c>
      <c r="G35" s="2"/>
      <c r="H35" s="6">
        <v>0</v>
      </c>
      <c r="I35" s="2"/>
      <c r="J35" s="7">
        <f t="shared" si="23"/>
        <v>0</v>
      </c>
      <c r="K35" s="2"/>
      <c r="L35" s="6">
        <f t="shared" si="24"/>
        <v>0</v>
      </c>
      <c r="M35" s="2"/>
      <c r="N35" s="7">
        <f t="shared" si="25"/>
        <v>0</v>
      </c>
      <c r="O35" s="11"/>
      <c r="P35" s="6"/>
      <c r="Q35" s="2"/>
      <c r="R35" s="7">
        <f t="shared" si="26"/>
        <v>0</v>
      </c>
      <c r="S35" s="2"/>
      <c r="T35" s="6">
        <v>0</v>
      </c>
      <c r="U35" s="2"/>
      <c r="V35" s="7">
        <f t="shared" si="27"/>
        <v>0</v>
      </c>
      <c r="W35" s="2"/>
      <c r="X35" s="6">
        <f t="shared" si="28"/>
        <v>0</v>
      </c>
      <c r="Y35" s="2"/>
      <c r="Z35" s="7">
        <f t="shared" si="29"/>
        <v>0</v>
      </c>
    </row>
    <row r="36" spans="1:26" s="24" customFormat="1" hidden="1" outlineLevel="2" x14ac:dyDescent="0.3">
      <c r="A36" s="27"/>
      <c r="B36" s="11" t="str">
        <f>CONCATENATE("          ", "6003", " - ", "STAFF HOURLY-9 MONTH")</f>
        <v xml:space="preserve">          6003 - STAFF HOURLY-9 MONTH</v>
      </c>
      <c r="C36" s="11"/>
      <c r="D36" s="6"/>
      <c r="E36" s="2"/>
      <c r="F36" s="7">
        <f t="shared" si="22"/>
        <v>0</v>
      </c>
      <c r="G36" s="2"/>
      <c r="H36" s="6">
        <v>0</v>
      </c>
      <c r="I36" s="2"/>
      <c r="J36" s="7">
        <f t="shared" si="23"/>
        <v>0</v>
      </c>
      <c r="K36" s="2"/>
      <c r="L36" s="6">
        <f t="shared" si="24"/>
        <v>0</v>
      </c>
      <c r="M36" s="2"/>
      <c r="N36" s="7">
        <f t="shared" si="25"/>
        <v>0</v>
      </c>
      <c r="O36" s="11"/>
      <c r="P36" s="6"/>
      <c r="Q36" s="2"/>
      <c r="R36" s="7">
        <f t="shared" si="26"/>
        <v>0</v>
      </c>
      <c r="S36" s="2"/>
      <c r="T36" s="6">
        <v>0</v>
      </c>
      <c r="U36" s="2"/>
      <c r="V36" s="7">
        <f t="shared" si="27"/>
        <v>0</v>
      </c>
      <c r="W36" s="2"/>
      <c r="X36" s="6">
        <f t="shared" si="28"/>
        <v>0</v>
      </c>
      <c r="Y36" s="2"/>
      <c r="Z36" s="7">
        <f t="shared" si="29"/>
        <v>0</v>
      </c>
    </row>
    <row r="37" spans="1:26" s="24" customFormat="1" hidden="1" outlineLevel="2" x14ac:dyDescent="0.3">
      <c r="A37" s="27"/>
      <c r="B37" s="11" t="str">
        <f>CONCATENATE("          ", "6004", " - ", "STAFF HOURLY")</f>
        <v xml:space="preserve">          6004 - STAFF HOURLY</v>
      </c>
      <c r="C37" s="11"/>
      <c r="D37" s="6">
        <v>466.93</v>
      </c>
      <c r="E37" s="2"/>
      <c r="F37" s="7">
        <f t="shared" si="22"/>
        <v>0</v>
      </c>
      <c r="G37" s="2"/>
      <c r="H37" s="6">
        <v>1287.675</v>
      </c>
      <c r="I37" s="2"/>
      <c r="J37" s="7">
        <f t="shared" si="23"/>
        <v>0.17862047440699125</v>
      </c>
      <c r="K37" s="2"/>
      <c r="L37" s="6">
        <f t="shared" si="24"/>
        <v>-820.74499999999989</v>
      </c>
      <c r="M37" s="2"/>
      <c r="N37" s="7">
        <f t="shared" si="25"/>
        <v>-0.63738520977731172</v>
      </c>
      <c r="O37" s="11"/>
      <c r="P37" s="6">
        <v>466.93</v>
      </c>
      <c r="Q37" s="2"/>
      <c r="R37" s="7">
        <f t="shared" si="26"/>
        <v>0</v>
      </c>
      <c r="S37" s="2"/>
      <c r="T37" s="6">
        <v>8460.8250000000007</v>
      </c>
      <c r="U37" s="2"/>
      <c r="V37" s="7">
        <f t="shared" si="27"/>
        <v>0.20807695145344549</v>
      </c>
      <c r="W37" s="2"/>
      <c r="X37" s="6">
        <f t="shared" si="28"/>
        <v>-7993.8950000000004</v>
      </c>
      <c r="Y37" s="2"/>
      <c r="Z37" s="7">
        <f t="shared" si="29"/>
        <v>-0.94481271034444037</v>
      </c>
    </row>
    <row r="38" spans="1:26" s="24" customFormat="1" hidden="1" outlineLevel="2" x14ac:dyDescent="0.3">
      <c r="A38" s="27"/>
      <c r="B38" s="11" t="str">
        <f>CONCATENATE("          ", "6005", " - ", "TEMPORARY WAGES-HOURLY")</f>
        <v xml:space="preserve">          6005 - TEMPORARY WAGES-HOURLY</v>
      </c>
      <c r="C38" s="11"/>
      <c r="D38" s="6"/>
      <c r="E38" s="2"/>
      <c r="F38" s="7">
        <f t="shared" si="22"/>
        <v>0</v>
      </c>
      <c r="G38" s="2"/>
      <c r="H38" s="6">
        <v>0</v>
      </c>
      <c r="I38" s="2"/>
      <c r="J38" s="7">
        <f t="shared" si="23"/>
        <v>0</v>
      </c>
      <c r="K38" s="2"/>
      <c r="L38" s="6">
        <f t="shared" si="24"/>
        <v>0</v>
      </c>
      <c r="M38" s="2"/>
      <c r="N38" s="7">
        <f t="shared" si="25"/>
        <v>0</v>
      </c>
      <c r="O38" s="11"/>
      <c r="P38" s="6">
        <v>90.3</v>
      </c>
      <c r="Q38" s="2"/>
      <c r="R38" s="7">
        <f t="shared" si="26"/>
        <v>0</v>
      </c>
      <c r="S38" s="2"/>
      <c r="T38" s="6">
        <v>0</v>
      </c>
      <c r="U38" s="2"/>
      <c r="V38" s="7">
        <f t="shared" si="27"/>
        <v>0</v>
      </c>
      <c r="W38" s="2"/>
      <c r="X38" s="6">
        <f t="shared" si="28"/>
        <v>90.3</v>
      </c>
      <c r="Y38" s="2"/>
      <c r="Z38" s="7">
        <f t="shared" si="29"/>
        <v>0</v>
      </c>
    </row>
    <row r="39" spans="1:26" s="24" customFormat="1" hidden="1" outlineLevel="2" x14ac:dyDescent="0.3">
      <c r="A39" s="27"/>
      <c r="B39" s="11" t="str">
        <f>CONCATENATE("          ", "6006", " - ", "TEMPORARY PART TIME")</f>
        <v xml:space="preserve">          6006 - TEMPORARY PART TIME</v>
      </c>
      <c r="C39" s="11"/>
      <c r="D39" s="6"/>
      <c r="E39" s="2"/>
      <c r="F39" s="7">
        <f t="shared" si="22"/>
        <v>0</v>
      </c>
      <c r="G39" s="2"/>
      <c r="H39" s="6">
        <v>0</v>
      </c>
      <c r="I39" s="2"/>
      <c r="J39" s="7">
        <f t="shared" si="23"/>
        <v>0</v>
      </c>
      <c r="K39" s="2"/>
      <c r="L39" s="6">
        <f t="shared" si="24"/>
        <v>0</v>
      </c>
      <c r="M39" s="2"/>
      <c r="N39" s="7">
        <f t="shared" si="25"/>
        <v>0</v>
      </c>
      <c r="O39" s="11"/>
      <c r="P39" s="6"/>
      <c r="Q39" s="2"/>
      <c r="R39" s="7">
        <f t="shared" si="26"/>
        <v>0</v>
      </c>
      <c r="S39" s="2"/>
      <c r="T39" s="6">
        <v>0</v>
      </c>
      <c r="U39" s="2"/>
      <c r="V39" s="7">
        <f t="shared" si="27"/>
        <v>0</v>
      </c>
      <c r="W39" s="2"/>
      <c r="X39" s="6">
        <f t="shared" si="28"/>
        <v>0</v>
      </c>
      <c r="Y39" s="2"/>
      <c r="Z39" s="7">
        <f t="shared" si="29"/>
        <v>0</v>
      </c>
    </row>
    <row r="40" spans="1:26" s="24" customFormat="1" hidden="1" outlineLevel="2" x14ac:dyDescent="0.3">
      <c r="A40" s="27"/>
      <c r="B40" s="11" t="str">
        <f>CONCATENATE("          ", "6007", " - ", "STUDENT HOURLY")</f>
        <v xml:space="preserve">          6007 - STUDENT HOURLY</v>
      </c>
      <c r="C40" s="11"/>
      <c r="D40" s="6"/>
      <c r="E40" s="2"/>
      <c r="F40" s="7">
        <f t="shared" si="22"/>
        <v>0</v>
      </c>
      <c r="G40" s="2"/>
      <c r="H40" s="6">
        <v>0</v>
      </c>
      <c r="I40" s="2"/>
      <c r="J40" s="7">
        <f t="shared" si="23"/>
        <v>0</v>
      </c>
      <c r="K40" s="2"/>
      <c r="L40" s="6">
        <f t="shared" si="24"/>
        <v>0</v>
      </c>
      <c r="M40" s="2"/>
      <c r="N40" s="7">
        <f t="shared" si="25"/>
        <v>0</v>
      </c>
      <c r="O40" s="11"/>
      <c r="P40" s="6"/>
      <c r="Q40" s="2"/>
      <c r="R40" s="7">
        <f t="shared" si="26"/>
        <v>0</v>
      </c>
      <c r="S40" s="2"/>
      <c r="T40" s="6">
        <v>0</v>
      </c>
      <c r="U40" s="2"/>
      <c r="V40" s="7">
        <f t="shared" si="27"/>
        <v>0</v>
      </c>
      <c r="W40" s="2"/>
      <c r="X40" s="6">
        <f t="shared" si="28"/>
        <v>0</v>
      </c>
      <c r="Y40" s="2"/>
      <c r="Z40" s="7">
        <f t="shared" si="29"/>
        <v>0</v>
      </c>
    </row>
    <row r="41" spans="1:26" s="24" customFormat="1" hidden="1" outlineLevel="2" x14ac:dyDescent="0.3">
      <c r="A41" s="27"/>
      <c r="B41" s="11" t="str">
        <f>CONCATENATE("          ", "6008", " - ", "STUDENT HOURLY-FICA EXEMPT")</f>
        <v xml:space="preserve">          6008 - STUDENT HOURLY-FICA EXEMPT</v>
      </c>
      <c r="C41" s="11"/>
      <c r="D41" s="6"/>
      <c r="E41" s="2"/>
      <c r="F41" s="7">
        <f t="shared" si="22"/>
        <v>0</v>
      </c>
      <c r="G41" s="2"/>
      <c r="H41" s="6">
        <v>2172.8000000000002</v>
      </c>
      <c r="I41" s="2"/>
      <c r="J41" s="7">
        <f t="shared" si="23"/>
        <v>0.3014010264946595</v>
      </c>
      <c r="K41" s="2"/>
      <c r="L41" s="6">
        <f t="shared" si="24"/>
        <v>-2172.8000000000002</v>
      </c>
      <c r="M41" s="2"/>
      <c r="N41" s="7">
        <f t="shared" si="25"/>
        <v>-1</v>
      </c>
      <c r="O41" s="11"/>
      <c r="P41" s="6"/>
      <c r="Q41" s="2"/>
      <c r="R41" s="7">
        <f t="shared" si="26"/>
        <v>0</v>
      </c>
      <c r="S41" s="2"/>
      <c r="T41" s="6">
        <v>10517.71</v>
      </c>
      <c r="U41" s="2"/>
      <c r="V41" s="7">
        <f t="shared" si="27"/>
        <v>0.25866189562736708</v>
      </c>
      <c r="W41" s="2"/>
      <c r="X41" s="6">
        <f t="shared" si="28"/>
        <v>-10517.71</v>
      </c>
      <c r="Y41" s="2"/>
      <c r="Z41" s="7">
        <f t="shared" si="29"/>
        <v>-1</v>
      </c>
    </row>
    <row r="42" spans="1:26" s="24" customFormat="1" hidden="1" outlineLevel="2" x14ac:dyDescent="0.3">
      <c r="A42" s="27"/>
      <c r="B42" s="11" t="str">
        <f>CONCATENATE("          ", "6009", " - ", "TEMPORARY-SEASONAL")</f>
        <v xml:space="preserve">          6009 - TEMPORARY-SEASONAL</v>
      </c>
      <c r="C42" s="11"/>
      <c r="D42" s="6"/>
      <c r="E42" s="2"/>
      <c r="F42" s="7">
        <f t="shared" si="22"/>
        <v>0</v>
      </c>
      <c r="G42" s="2"/>
      <c r="H42" s="6">
        <v>0</v>
      </c>
      <c r="I42" s="2"/>
      <c r="J42" s="7">
        <f t="shared" si="23"/>
        <v>0</v>
      </c>
      <c r="K42" s="2"/>
      <c r="L42" s="6">
        <f t="shared" si="24"/>
        <v>0</v>
      </c>
      <c r="M42" s="2"/>
      <c r="N42" s="7">
        <f t="shared" si="25"/>
        <v>0</v>
      </c>
      <c r="O42" s="11"/>
      <c r="P42" s="6"/>
      <c r="Q42" s="2"/>
      <c r="R42" s="7">
        <f t="shared" si="26"/>
        <v>0</v>
      </c>
      <c r="S42" s="2"/>
      <c r="T42" s="6">
        <v>0</v>
      </c>
      <c r="U42" s="2"/>
      <c r="V42" s="7">
        <f t="shared" si="27"/>
        <v>0</v>
      </c>
      <c r="W42" s="2"/>
      <c r="X42" s="6">
        <f t="shared" si="28"/>
        <v>0</v>
      </c>
      <c r="Y42" s="2"/>
      <c r="Z42" s="7">
        <f t="shared" si="29"/>
        <v>0</v>
      </c>
    </row>
    <row r="43" spans="1:26" s="24" customFormat="1" hidden="1" outlineLevel="2" x14ac:dyDescent="0.3">
      <c r="A43" s="27"/>
      <c r="B43" s="11" t="str">
        <f>CONCATENATE("          ", "6010", " - ", "GRATUITY")</f>
        <v xml:space="preserve">          6010 - GRATUITY</v>
      </c>
      <c r="C43" s="11"/>
      <c r="D43" s="6"/>
      <c r="E43" s="2"/>
      <c r="F43" s="7">
        <f t="shared" si="22"/>
        <v>0</v>
      </c>
      <c r="G43" s="2"/>
      <c r="H43" s="6">
        <v>0</v>
      </c>
      <c r="I43" s="2"/>
      <c r="J43" s="7">
        <f t="shared" si="23"/>
        <v>0</v>
      </c>
      <c r="K43" s="2"/>
      <c r="L43" s="6">
        <f t="shared" si="24"/>
        <v>0</v>
      </c>
      <c r="M43" s="2"/>
      <c r="N43" s="7">
        <f t="shared" si="25"/>
        <v>0</v>
      </c>
      <c r="O43" s="11"/>
      <c r="P43" s="6"/>
      <c r="Q43" s="2"/>
      <c r="R43" s="7">
        <f t="shared" si="26"/>
        <v>0</v>
      </c>
      <c r="S43" s="2"/>
      <c r="T43" s="6">
        <v>0</v>
      </c>
      <c r="U43" s="2"/>
      <c r="V43" s="7">
        <f t="shared" si="27"/>
        <v>0</v>
      </c>
      <c r="W43" s="2"/>
      <c r="X43" s="6">
        <f t="shared" si="28"/>
        <v>0</v>
      </c>
      <c r="Y43" s="2"/>
      <c r="Z43" s="7">
        <f t="shared" si="29"/>
        <v>0</v>
      </c>
    </row>
    <row r="44" spans="1:26" s="29" customFormat="1" outlineLevel="1" collapsed="1" x14ac:dyDescent="0.3">
      <c r="A44" s="28"/>
      <c r="B44" s="14" t="str">
        <f>CONCATENATE("     ","Advertising/Promo                                 ")</f>
        <v xml:space="preserve">     Advertising/Promo                                 </v>
      </c>
      <c r="C44" s="14"/>
      <c r="D44" s="1">
        <f>SUM(OSRRefD22_2x_0)</f>
        <v>0</v>
      </c>
      <c r="E44" s="1"/>
      <c r="F44" s="5">
        <f t="shared" ref="F44:F54" si="30">IF(D$12=0,0,D44/D$12)</f>
        <v>0</v>
      </c>
      <c r="G44" s="1"/>
      <c r="H44" s="1">
        <f>SUM(OSRRefH22_2x_0)</f>
        <v>0</v>
      </c>
      <c r="I44" s="1"/>
      <c r="J44" s="5">
        <f t="shared" ref="J44:J54" si="31">IF(H$12=0,0,H44/H$12)</f>
        <v>0</v>
      </c>
      <c r="K44" s="1"/>
      <c r="L44" s="1">
        <f t="shared" ref="L44:L54" si="32">+D44-H44</f>
        <v>0</v>
      </c>
      <c r="M44" s="1"/>
      <c r="N44" s="5">
        <f t="shared" ref="N44:N54" si="33">IF(H44=0,0,L44/H44)</f>
        <v>0</v>
      </c>
      <c r="O44" s="14"/>
      <c r="P44" s="1">
        <f>SUM(OSRRefP22_2x_0)</f>
        <v>0</v>
      </c>
      <c r="Q44" s="1"/>
      <c r="R44" s="5">
        <f t="shared" ref="R44:R54" si="34">IF(P$12=0,0,P44/P$12)</f>
        <v>0</v>
      </c>
      <c r="S44" s="1"/>
      <c r="T44" s="1">
        <f>SUM(OSRRefT22_2x_0)</f>
        <v>0</v>
      </c>
      <c r="U44" s="1"/>
      <c r="V44" s="5">
        <f t="shared" ref="V44:V54" si="35">IF(T$12=0,0,T44/T$12)</f>
        <v>0</v>
      </c>
      <c r="W44" s="1"/>
      <c r="X44" s="1">
        <f t="shared" ref="X44:X54" si="36">+P44-T44</f>
        <v>0</v>
      </c>
      <c r="Y44" s="1"/>
      <c r="Z44" s="5">
        <f t="shared" ref="Z44:Z54" si="37">IF(T44=0,0,X44/T44)</f>
        <v>0</v>
      </c>
    </row>
    <row r="45" spans="1:26" s="24" customFormat="1" hidden="1" outlineLevel="2" x14ac:dyDescent="0.3">
      <c r="A45" s="27"/>
      <c r="B45" s="11" t="str">
        <f>CONCATENATE("          ", "6362", " - ", "ADVERTISING EXPENSE")</f>
        <v xml:space="preserve">          6362 - ADVERTISING EXPENSE</v>
      </c>
      <c r="C45" s="11"/>
      <c r="D45" s="6"/>
      <c r="E45" s="2"/>
      <c r="F45" s="7">
        <f t="shared" si="30"/>
        <v>0</v>
      </c>
      <c r="G45" s="2"/>
      <c r="H45" s="6"/>
      <c r="I45" s="2"/>
      <c r="J45" s="7">
        <f t="shared" si="31"/>
        <v>0</v>
      </c>
      <c r="K45" s="2"/>
      <c r="L45" s="6">
        <f t="shared" si="32"/>
        <v>0</v>
      </c>
      <c r="M45" s="2"/>
      <c r="N45" s="7">
        <f t="shared" si="33"/>
        <v>0</v>
      </c>
      <c r="O45" s="11"/>
      <c r="P45" s="6"/>
      <c r="Q45" s="2"/>
      <c r="R45" s="7">
        <f t="shared" si="34"/>
        <v>0</v>
      </c>
      <c r="S45" s="2"/>
      <c r="T45" s="6">
        <v>0</v>
      </c>
      <c r="U45" s="2"/>
      <c r="V45" s="7">
        <f t="shared" si="35"/>
        <v>0</v>
      </c>
      <c r="W45" s="2"/>
      <c r="X45" s="6">
        <f t="shared" si="36"/>
        <v>0</v>
      </c>
      <c r="Y45" s="2"/>
      <c r="Z45" s="7">
        <f t="shared" si="37"/>
        <v>0</v>
      </c>
    </row>
    <row r="46" spans="1:26" s="29" customFormat="1" outlineLevel="1" collapsed="1" x14ac:dyDescent="0.3">
      <c r="A46" s="28"/>
      <c r="B46" s="14" t="str">
        <f>CONCATENATE("     ","Bank/card Fees                                    ")</f>
        <v xml:space="preserve">     Bank/card Fees                                    </v>
      </c>
      <c r="C46" s="14"/>
      <c r="D46" s="1">
        <f>SUM(OSRRefD22_3x_0)</f>
        <v>25</v>
      </c>
      <c r="E46" s="1"/>
      <c r="F46" s="5">
        <f t="shared" si="30"/>
        <v>0</v>
      </c>
      <c r="G46" s="1"/>
      <c r="H46" s="1">
        <f>SUM(OSRRefH22_3x_0)</f>
        <v>246</v>
      </c>
      <c r="I46" s="1"/>
      <c r="J46" s="5">
        <f t="shared" si="31"/>
        <v>3.4124011652101542E-2</v>
      </c>
      <c r="K46" s="1"/>
      <c r="L46" s="1">
        <f t="shared" si="32"/>
        <v>-221</v>
      </c>
      <c r="M46" s="1"/>
      <c r="N46" s="5">
        <f t="shared" si="33"/>
        <v>-0.89837398373983735</v>
      </c>
      <c r="O46" s="14"/>
      <c r="P46" s="1">
        <f>SUM(OSRRefP22_3x_0)</f>
        <v>400.36</v>
      </c>
      <c r="Q46" s="1"/>
      <c r="R46" s="5">
        <f t="shared" si="34"/>
        <v>0</v>
      </c>
      <c r="S46" s="1"/>
      <c r="T46" s="1">
        <f>SUM(OSRRefT22_3x_0)</f>
        <v>1387</v>
      </c>
      <c r="U46" s="1"/>
      <c r="V46" s="5">
        <f t="shared" si="35"/>
        <v>3.4110471693473018E-2</v>
      </c>
      <c r="W46" s="1"/>
      <c r="X46" s="1">
        <f t="shared" si="36"/>
        <v>-986.64</v>
      </c>
      <c r="Y46" s="1"/>
      <c r="Z46" s="5">
        <f t="shared" si="37"/>
        <v>-0.71134823359769284</v>
      </c>
    </row>
    <row r="47" spans="1:26" s="24" customFormat="1" hidden="1" outlineLevel="2" x14ac:dyDescent="0.3">
      <c r="A47" s="27"/>
      <c r="B47" s="11" t="str">
        <f>CONCATENATE("          ", "6381", " - ", "BANK/CREDIT CARD FEES")</f>
        <v xml:space="preserve">          6381 - BANK/CREDIT CARD FEES</v>
      </c>
      <c r="C47" s="11"/>
      <c r="D47" s="6">
        <v>25</v>
      </c>
      <c r="E47" s="2"/>
      <c r="F47" s="7">
        <f t="shared" si="30"/>
        <v>0</v>
      </c>
      <c r="G47" s="2"/>
      <c r="H47" s="6">
        <v>246</v>
      </c>
      <c r="I47" s="2"/>
      <c r="J47" s="7">
        <f t="shared" si="31"/>
        <v>3.4124011652101542E-2</v>
      </c>
      <c r="K47" s="2"/>
      <c r="L47" s="6">
        <f t="shared" si="32"/>
        <v>-221</v>
      </c>
      <c r="M47" s="2"/>
      <c r="N47" s="7">
        <f t="shared" si="33"/>
        <v>-0.89837398373983735</v>
      </c>
      <c r="O47" s="11"/>
      <c r="P47" s="6">
        <v>400.36</v>
      </c>
      <c r="Q47" s="2"/>
      <c r="R47" s="7">
        <f t="shared" si="34"/>
        <v>0</v>
      </c>
      <c r="S47" s="2"/>
      <c r="T47" s="6">
        <v>1387</v>
      </c>
      <c r="U47" s="2"/>
      <c r="V47" s="7">
        <f t="shared" si="35"/>
        <v>3.4110471693473018E-2</v>
      </c>
      <c r="W47" s="2"/>
      <c r="X47" s="6">
        <f t="shared" si="36"/>
        <v>-986.64</v>
      </c>
      <c r="Y47" s="2"/>
      <c r="Z47" s="7">
        <f t="shared" si="37"/>
        <v>-0.71134823359769284</v>
      </c>
    </row>
    <row r="48" spans="1:26" s="29" customFormat="1" outlineLevel="1" collapsed="1" x14ac:dyDescent="0.3">
      <c r="A48" s="28"/>
      <c r="B48" s="14" t="str">
        <f>CONCATENATE("     ","Depreciation                                      ")</f>
        <v xml:space="preserve">     Depreciation                                      </v>
      </c>
      <c r="C48" s="14"/>
      <c r="D48" s="1">
        <f>SUM(OSRRefD22_4x_0)</f>
        <v>264.60000000000002</v>
      </c>
      <c r="E48" s="1"/>
      <c r="F48" s="5">
        <f t="shared" si="30"/>
        <v>0</v>
      </c>
      <c r="G48" s="1"/>
      <c r="H48" s="1">
        <f>SUM(OSRRefH22_4x_0)</f>
        <v>265</v>
      </c>
      <c r="I48" s="1"/>
      <c r="J48" s="5">
        <f t="shared" si="31"/>
        <v>3.6759606047995559E-2</v>
      </c>
      <c r="K48" s="1"/>
      <c r="L48" s="1">
        <f t="shared" si="32"/>
        <v>-0.39999999999997726</v>
      </c>
      <c r="M48" s="1"/>
      <c r="N48" s="5">
        <f t="shared" si="33"/>
        <v>-1.5094339622640652E-3</v>
      </c>
      <c r="O48" s="14"/>
      <c r="P48" s="1">
        <f>SUM(OSRRefP22_4x_0)</f>
        <v>3755.36</v>
      </c>
      <c r="Q48" s="1"/>
      <c r="R48" s="5">
        <f t="shared" si="34"/>
        <v>0</v>
      </c>
      <c r="S48" s="1"/>
      <c r="T48" s="1">
        <f>SUM(OSRRefT22_4x_0)</f>
        <v>3755</v>
      </c>
      <c r="U48" s="1"/>
      <c r="V48" s="5">
        <f t="shared" si="35"/>
        <v>9.2346662731788889E-2</v>
      </c>
      <c r="W48" s="1"/>
      <c r="X48" s="1">
        <f t="shared" si="36"/>
        <v>0.36000000000012733</v>
      </c>
      <c r="Y48" s="1"/>
      <c r="Z48" s="5">
        <f t="shared" si="37"/>
        <v>9.587217043944803E-5</v>
      </c>
    </row>
    <row r="49" spans="1:26" s="24" customFormat="1" hidden="1" outlineLevel="2" x14ac:dyDescent="0.3">
      <c r="A49" s="27"/>
      <c r="B49" s="11" t="str">
        <f>CONCATENATE("          ", "6322", " - ", "EQUIPMENT DEPRECIATION EXPENSE")</f>
        <v xml:space="preserve">          6322 - EQUIPMENT DEPRECIATION EXPENSE</v>
      </c>
      <c r="C49" s="11"/>
      <c r="D49" s="6">
        <v>264.60000000000002</v>
      </c>
      <c r="E49" s="2"/>
      <c r="F49" s="7">
        <f t="shared" si="30"/>
        <v>0</v>
      </c>
      <c r="G49" s="2"/>
      <c r="H49" s="6">
        <v>265</v>
      </c>
      <c r="I49" s="2"/>
      <c r="J49" s="7">
        <f t="shared" si="31"/>
        <v>3.6759606047995559E-2</v>
      </c>
      <c r="K49" s="2"/>
      <c r="L49" s="6">
        <f t="shared" si="32"/>
        <v>-0.39999999999997726</v>
      </c>
      <c r="M49" s="2"/>
      <c r="N49" s="7">
        <f t="shared" si="33"/>
        <v>-1.5094339622640652E-3</v>
      </c>
      <c r="O49" s="11"/>
      <c r="P49" s="6">
        <v>3755.36</v>
      </c>
      <c r="Q49" s="2"/>
      <c r="R49" s="7">
        <f t="shared" si="34"/>
        <v>0</v>
      </c>
      <c r="S49" s="2"/>
      <c r="T49" s="6">
        <v>3755</v>
      </c>
      <c r="U49" s="2"/>
      <c r="V49" s="7">
        <f t="shared" si="35"/>
        <v>9.2346662731788889E-2</v>
      </c>
      <c r="W49" s="2"/>
      <c r="X49" s="6">
        <f t="shared" si="36"/>
        <v>0.36000000000012733</v>
      </c>
      <c r="Y49" s="2"/>
      <c r="Z49" s="7">
        <f t="shared" si="37"/>
        <v>9.587217043944803E-5</v>
      </c>
    </row>
    <row r="50" spans="1:26" s="29" customFormat="1" outlineLevel="1" collapsed="1" x14ac:dyDescent="0.3">
      <c r="A50" s="28"/>
      <c r="B50" s="14" t="str">
        <f>CONCATENATE("     ","General                                           ")</f>
        <v xml:space="preserve">     General                                           </v>
      </c>
      <c r="C50" s="14"/>
      <c r="D50" s="1">
        <f>SUM(OSRRefD22_5x_0)</f>
        <v>112.19</v>
      </c>
      <c r="E50" s="1"/>
      <c r="F50" s="5">
        <f t="shared" si="30"/>
        <v>0</v>
      </c>
      <c r="G50" s="1"/>
      <c r="H50" s="1">
        <f>SUM(OSRRefH22_5x_0)</f>
        <v>0</v>
      </c>
      <c r="I50" s="1"/>
      <c r="J50" s="5">
        <f t="shared" si="31"/>
        <v>0</v>
      </c>
      <c r="K50" s="1"/>
      <c r="L50" s="1">
        <f t="shared" si="32"/>
        <v>112.19</v>
      </c>
      <c r="M50" s="1"/>
      <c r="N50" s="5">
        <f t="shared" si="33"/>
        <v>0</v>
      </c>
      <c r="O50" s="14"/>
      <c r="P50" s="1">
        <f>SUM(OSRRefP22_5x_0)</f>
        <v>881.74</v>
      </c>
      <c r="Q50" s="1"/>
      <c r="R50" s="5">
        <f t="shared" si="34"/>
        <v>0</v>
      </c>
      <c r="S50" s="1"/>
      <c r="T50" s="1">
        <f>SUM(OSRRefT22_5x_0)</f>
        <v>300</v>
      </c>
      <c r="U50" s="1"/>
      <c r="V50" s="5">
        <f t="shared" si="35"/>
        <v>7.3778958241109633E-3</v>
      </c>
      <c r="W50" s="1"/>
      <c r="X50" s="1">
        <f t="shared" si="36"/>
        <v>581.74</v>
      </c>
      <c r="Y50" s="1"/>
      <c r="Z50" s="5">
        <f t="shared" si="37"/>
        <v>1.9391333333333334</v>
      </c>
    </row>
    <row r="51" spans="1:26" s="24" customFormat="1" hidden="1" outlineLevel="2" x14ac:dyDescent="0.3">
      <c r="A51" s="27"/>
      <c r="B51" s="11" t="str">
        <f>CONCATENATE("          ", "6279", " - ", "GENERAL EXPENSE")</f>
        <v xml:space="preserve">          6279 - GENERAL EXPENSE</v>
      </c>
      <c r="C51" s="11"/>
      <c r="D51" s="6">
        <v>112.19</v>
      </c>
      <c r="E51" s="2"/>
      <c r="F51" s="7">
        <f t="shared" si="30"/>
        <v>0</v>
      </c>
      <c r="G51" s="2"/>
      <c r="H51" s="6"/>
      <c r="I51" s="2"/>
      <c r="J51" s="7">
        <f t="shared" si="31"/>
        <v>0</v>
      </c>
      <c r="K51" s="2"/>
      <c r="L51" s="6">
        <f t="shared" si="32"/>
        <v>112.19</v>
      </c>
      <c r="M51" s="2"/>
      <c r="N51" s="7">
        <f t="shared" si="33"/>
        <v>0</v>
      </c>
      <c r="O51" s="11"/>
      <c r="P51" s="6">
        <v>881.74</v>
      </c>
      <c r="Q51" s="2"/>
      <c r="R51" s="7">
        <f t="shared" si="34"/>
        <v>0</v>
      </c>
      <c r="S51" s="2"/>
      <c r="T51" s="6">
        <v>300</v>
      </c>
      <c r="U51" s="2"/>
      <c r="V51" s="7">
        <f t="shared" si="35"/>
        <v>7.3778958241109633E-3</v>
      </c>
      <c r="W51" s="2"/>
      <c r="X51" s="6">
        <f t="shared" si="36"/>
        <v>581.74</v>
      </c>
      <c r="Y51" s="2"/>
      <c r="Z51" s="7">
        <f t="shared" si="37"/>
        <v>1.9391333333333334</v>
      </c>
    </row>
    <row r="52" spans="1:26" s="29" customFormat="1" outlineLevel="1" collapsed="1" x14ac:dyDescent="0.3">
      <c r="A52" s="28"/>
      <c r="B52" s="14" t="str">
        <f>CONCATENATE("     ","Repair and Maintenance                            ")</f>
        <v xml:space="preserve">     Repair and Maintenance                            </v>
      </c>
      <c r="C52" s="14"/>
      <c r="D52" s="1">
        <f>SUM(OSRRefD22_6x_0)</f>
        <v>0</v>
      </c>
      <c r="E52" s="1"/>
      <c r="F52" s="5">
        <f t="shared" si="30"/>
        <v>0</v>
      </c>
      <c r="G52" s="1"/>
      <c r="H52" s="1">
        <f>SUM(OSRRefH22_6x_0)</f>
        <v>115</v>
      </c>
      <c r="I52" s="1"/>
      <c r="J52" s="5">
        <f t="shared" si="31"/>
        <v>1.5952281869884868E-2</v>
      </c>
      <c r="K52" s="1"/>
      <c r="L52" s="1">
        <f t="shared" si="32"/>
        <v>-115</v>
      </c>
      <c r="M52" s="1"/>
      <c r="N52" s="5">
        <f t="shared" si="33"/>
        <v>-1</v>
      </c>
      <c r="O52" s="14"/>
      <c r="P52" s="1">
        <f>SUM(OSRRefP22_6x_0)</f>
        <v>47.9</v>
      </c>
      <c r="Q52" s="1"/>
      <c r="R52" s="5">
        <f t="shared" si="34"/>
        <v>0</v>
      </c>
      <c r="S52" s="1"/>
      <c r="T52" s="1">
        <f>SUM(OSRRefT22_6x_0)</f>
        <v>1013</v>
      </c>
      <c r="U52" s="1"/>
      <c r="V52" s="5">
        <f t="shared" si="35"/>
        <v>2.4912694899414688E-2</v>
      </c>
      <c r="W52" s="1"/>
      <c r="X52" s="1">
        <f t="shared" si="36"/>
        <v>-965.1</v>
      </c>
      <c r="Y52" s="1"/>
      <c r="Z52" s="5">
        <f t="shared" si="37"/>
        <v>-0.95271470878578479</v>
      </c>
    </row>
    <row r="53" spans="1:26" s="24" customFormat="1" hidden="1" outlineLevel="2" x14ac:dyDescent="0.3">
      <c r="A53" s="27"/>
      <c r="B53" s="11" t="str">
        <f>CONCATENATE("          ", "6373", " - ", "MAINTENANCE CONTRACTS")</f>
        <v xml:space="preserve">          6373 - MAINTENANCE CONTRACTS</v>
      </c>
      <c r="C53" s="11"/>
      <c r="D53" s="6"/>
      <c r="E53" s="2"/>
      <c r="F53" s="7">
        <f t="shared" si="30"/>
        <v>0</v>
      </c>
      <c r="G53" s="2"/>
      <c r="H53" s="6"/>
      <c r="I53" s="2"/>
      <c r="J53" s="7">
        <f t="shared" si="31"/>
        <v>0</v>
      </c>
      <c r="K53" s="2"/>
      <c r="L53" s="6">
        <f t="shared" si="32"/>
        <v>0</v>
      </c>
      <c r="M53" s="2"/>
      <c r="N53" s="7">
        <f t="shared" si="33"/>
        <v>0</v>
      </c>
      <c r="O53" s="11"/>
      <c r="P53" s="6">
        <v>47.9</v>
      </c>
      <c r="Q53" s="2"/>
      <c r="R53" s="7">
        <f t="shared" si="34"/>
        <v>0</v>
      </c>
      <c r="S53" s="2"/>
      <c r="T53" s="6">
        <v>438</v>
      </c>
      <c r="U53" s="2"/>
      <c r="V53" s="7">
        <f t="shared" si="35"/>
        <v>1.0771727903202006E-2</v>
      </c>
      <c r="W53" s="2"/>
      <c r="X53" s="6">
        <f t="shared" si="36"/>
        <v>-390.1</v>
      </c>
      <c r="Y53" s="2"/>
      <c r="Z53" s="7">
        <f t="shared" si="37"/>
        <v>-0.89063926940639271</v>
      </c>
    </row>
    <row r="54" spans="1:26" s="24" customFormat="1" hidden="1" outlineLevel="2" x14ac:dyDescent="0.3">
      <c r="A54" s="27"/>
      <c r="B54" s="11" t="str">
        <f>CONCATENATE("          ", "6375", " - ", "OUTSIDE REPAIRS &amp; MAINTENANCE")</f>
        <v xml:space="preserve">          6375 - OUTSIDE REPAIRS &amp; MAINTENANCE</v>
      </c>
      <c r="C54" s="11"/>
      <c r="D54" s="6"/>
      <c r="E54" s="2"/>
      <c r="F54" s="7">
        <f t="shared" si="30"/>
        <v>0</v>
      </c>
      <c r="G54" s="2"/>
      <c r="H54" s="6">
        <v>115</v>
      </c>
      <c r="I54" s="2"/>
      <c r="J54" s="7">
        <f t="shared" si="31"/>
        <v>1.5952281869884868E-2</v>
      </c>
      <c r="K54" s="2"/>
      <c r="L54" s="6">
        <f t="shared" si="32"/>
        <v>-115</v>
      </c>
      <c r="M54" s="2"/>
      <c r="N54" s="7">
        <f t="shared" si="33"/>
        <v>-1</v>
      </c>
      <c r="O54" s="11"/>
      <c r="P54" s="6"/>
      <c r="Q54" s="2"/>
      <c r="R54" s="7">
        <f t="shared" si="34"/>
        <v>0</v>
      </c>
      <c r="S54" s="2"/>
      <c r="T54" s="6">
        <v>575</v>
      </c>
      <c r="U54" s="2"/>
      <c r="V54" s="7">
        <f t="shared" si="35"/>
        <v>1.414096699621268E-2</v>
      </c>
      <c r="W54" s="2"/>
      <c r="X54" s="6">
        <f t="shared" si="36"/>
        <v>-575</v>
      </c>
      <c r="Y54" s="2"/>
      <c r="Z54" s="7">
        <f t="shared" si="37"/>
        <v>-1</v>
      </c>
    </row>
    <row r="55" spans="1:26" s="29" customFormat="1" outlineLevel="1" collapsed="1" x14ac:dyDescent="0.3">
      <c r="A55" s="28"/>
      <c r="B55" s="14" t="str">
        <f>CONCATENATE("     ","Royalty &amp; Commissions                             ")</f>
        <v xml:space="preserve">     Royalty &amp; Commissions                             </v>
      </c>
      <c r="C55" s="14"/>
      <c r="D55" s="1">
        <f>SUM(OSRRefD22_7x_0)</f>
        <v>0</v>
      </c>
      <c r="E55" s="1"/>
      <c r="F55" s="5">
        <f t="shared" ref="F55:F59" si="38">IF(D$12=0,0,D55/D$12)</f>
        <v>0</v>
      </c>
      <c r="G55" s="1"/>
      <c r="H55" s="1">
        <f>SUM(OSRRefH22_7x_0)</f>
        <v>649</v>
      </c>
      <c r="I55" s="1"/>
      <c r="J55" s="5">
        <f t="shared" ref="J55:J59" si="39">IF(H$12=0,0,H55/H$12)</f>
        <v>9.0026355943958941E-2</v>
      </c>
      <c r="K55" s="1"/>
      <c r="L55" s="1">
        <f t="shared" ref="L55:L59" si="40">+D55-H55</f>
        <v>-649</v>
      </c>
      <c r="M55" s="1"/>
      <c r="N55" s="5">
        <f t="shared" ref="N55:N59" si="41">IF(H55=0,0,L55/H55)</f>
        <v>-1</v>
      </c>
      <c r="O55" s="14"/>
      <c r="P55" s="1">
        <f>SUM(OSRRefP22_7x_0)</f>
        <v>0</v>
      </c>
      <c r="Q55" s="1"/>
      <c r="R55" s="5">
        <f t="shared" ref="R55:R59" si="42">IF(P$12=0,0,P55/P$12)</f>
        <v>0</v>
      </c>
      <c r="S55" s="1"/>
      <c r="T55" s="1">
        <f>SUM(OSRRefT22_7x_0)</f>
        <v>3660</v>
      </c>
      <c r="U55" s="1"/>
      <c r="V55" s="5">
        <f t="shared" ref="V55:V59" si="43">IF(T$12=0,0,T55/T$12)</f>
        <v>9.0010329054153751E-2</v>
      </c>
      <c r="W55" s="1"/>
      <c r="X55" s="1">
        <f t="shared" ref="X55:X59" si="44">+P55-T55</f>
        <v>-3660</v>
      </c>
      <c r="Y55" s="1"/>
      <c r="Z55" s="5">
        <f t="shared" ref="Z55:Z59" si="45">IF(T55=0,0,X55/T55)</f>
        <v>-1</v>
      </c>
    </row>
    <row r="56" spans="1:26" s="24" customFormat="1" hidden="1" outlineLevel="2" x14ac:dyDescent="0.3">
      <c r="A56" s="27"/>
      <c r="B56" s="11" t="str">
        <f>CONCATENATE("          ", "6259", " - ", "ROYALTY &amp; COMMISSIONS")</f>
        <v xml:space="preserve">          6259 - ROYALTY &amp; COMMISSIONS</v>
      </c>
      <c r="C56" s="11"/>
      <c r="D56" s="6"/>
      <c r="E56" s="2"/>
      <c r="F56" s="7">
        <f t="shared" si="38"/>
        <v>0</v>
      </c>
      <c r="G56" s="2"/>
      <c r="H56" s="6">
        <v>649</v>
      </c>
      <c r="I56" s="2"/>
      <c r="J56" s="7">
        <f t="shared" si="39"/>
        <v>9.0026355943958941E-2</v>
      </c>
      <c r="K56" s="2"/>
      <c r="L56" s="6">
        <f t="shared" si="40"/>
        <v>-649</v>
      </c>
      <c r="M56" s="2"/>
      <c r="N56" s="7">
        <f t="shared" si="41"/>
        <v>-1</v>
      </c>
      <c r="O56" s="11"/>
      <c r="P56" s="6"/>
      <c r="Q56" s="2"/>
      <c r="R56" s="7">
        <f t="shared" si="42"/>
        <v>0</v>
      </c>
      <c r="S56" s="2"/>
      <c r="T56" s="6">
        <v>3660</v>
      </c>
      <c r="U56" s="2"/>
      <c r="V56" s="7">
        <f t="shared" si="43"/>
        <v>9.0010329054153751E-2</v>
      </c>
      <c r="W56" s="2"/>
      <c r="X56" s="6">
        <f t="shared" si="44"/>
        <v>-3660</v>
      </c>
      <c r="Y56" s="2"/>
      <c r="Z56" s="7">
        <f t="shared" si="45"/>
        <v>-1</v>
      </c>
    </row>
    <row r="57" spans="1:26" s="29" customFormat="1" outlineLevel="1" collapsed="1" x14ac:dyDescent="0.3">
      <c r="A57" s="28"/>
      <c r="B57" s="14" t="str">
        <f>CONCATENATE("     ","Services                                          ")</f>
        <v xml:space="preserve">     Services                                          </v>
      </c>
      <c r="C57" s="14"/>
      <c r="D57" s="1">
        <f>SUM(OSRRefD22_8x_0)</f>
        <v>0</v>
      </c>
      <c r="E57" s="1"/>
      <c r="F57" s="5">
        <f t="shared" si="38"/>
        <v>0</v>
      </c>
      <c r="G57" s="1"/>
      <c r="H57" s="1">
        <f>SUM(OSRRefH22_8x_0)</f>
        <v>100</v>
      </c>
      <c r="I57" s="1"/>
      <c r="J57" s="5">
        <f t="shared" si="39"/>
        <v>1.3871549452073797E-2</v>
      </c>
      <c r="K57" s="1"/>
      <c r="L57" s="1">
        <f t="shared" si="40"/>
        <v>-100</v>
      </c>
      <c r="M57" s="1"/>
      <c r="N57" s="5">
        <f t="shared" si="41"/>
        <v>-1</v>
      </c>
      <c r="O57" s="14"/>
      <c r="P57" s="1">
        <f>SUM(OSRRefP22_8x_0)</f>
        <v>103.2</v>
      </c>
      <c r="Q57" s="1"/>
      <c r="R57" s="5">
        <f t="shared" si="42"/>
        <v>0</v>
      </c>
      <c r="S57" s="1"/>
      <c r="T57" s="1">
        <f>SUM(OSRRefT22_8x_0)</f>
        <v>400</v>
      </c>
      <c r="U57" s="1"/>
      <c r="V57" s="5">
        <f t="shared" si="43"/>
        <v>9.8371944321479516E-3</v>
      </c>
      <c r="W57" s="1"/>
      <c r="X57" s="1">
        <f t="shared" si="44"/>
        <v>-296.8</v>
      </c>
      <c r="Y57" s="1"/>
      <c r="Z57" s="5">
        <f t="shared" si="45"/>
        <v>-0.74199999999999999</v>
      </c>
    </row>
    <row r="58" spans="1:26" s="24" customFormat="1" hidden="1" outlineLevel="2" x14ac:dyDescent="0.3">
      <c r="A58" s="27"/>
      <c r="B58" s="11" t="str">
        <f>CONCATENATE("          ", "6282", " - ", "JANITORIAL/EXTERMINATOR EXPENS")</f>
        <v xml:space="preserve">          6282 - JANITORIAL/EXTERMINATOR EXPENS</v>
      </c>
      <c r="C58" s="11"/>
      <c r="D58" s="6"/>
      <c r="E58" s="2"/>
      <c r="F58" s="7">
        <f t="shared" si="38"/>
        <v>0</v>
      </c>
      <c r="G58" s="2"/>
      <c r="H58" s="6">
        <v>100</v>
      </c>
      <c r="I58" s="2"/>
      <c r="J58" s="7">
        <f t="shared" si="39"/>
        <v>1.3871549452073797E-2</v>
      </c>
      <c r="K58" s="2"/>
      <c r="L58" s="6">
        <f t="shared" si="40"/>
        <v>-100</v>
      </c>
      <c r="M58" s="2"/>
      <c r="N58" s="7">
        <f t="shared" si="41"/>
        <v>-1</v>
      </c>
      <c r="O58" s="11"/>
      <c r="P58" s="6"/>
      <c r="Q58" s="2"/>
      <c r="R58" s="7">
        <f t="shared" si="42"/>
        <v>0</v>
      </c>
      <c r="S58" s="2"/>
      <c r="T58" s="6">
        <v>400</v>
      </c>
      <c r="U58" s="2"/>
      <c r="V58" s="7">
        <f t="shared" si="43"/>
        <v>9.8371944321479516E-3</v>
      </c>
      <c r="W58" s="2"/>
      <c r="X58" s="6">
        <f t="shared" si="44"/>
        <v>-400</v>
      </c>
      <c r="Y58" s="2"/>
      <c r="Z58" s="7">
        <f t="shared" si="45"/>
        <v>-1</v>
      </c>
    </row>
    <row r="59" spans="1:26" s="24" customFormat="1" hidden="1" outlineLevel="2" x14ac:dyDescent="0.3">
      <c r="A59" s="27"/>
      <c r="B59" s="11" t="str">
        <f>CONCATENATE("          ", "6285", " - ", "JANITORIAL SERVICES")</f>
        <v xml:space="preserve">          6285 - JANITORIAL SERVICES</v>
      </c>
      <c r="C59" s="11"/>
      <c r="D59" s="6"/>
      <c r="E59" s="2"/>
      <c r="F59" s="7">
        <f t="shared" si="38"/>
        <v>0</v>
      </c>
      <c r="G59" s="2"/>
      <c r="H59" s="6"/>
      <c r="I59" s="2"/>
      <c r="J59" s="7">
        <f t="shared" si="39"/>
        <v>0</v>
      </c>
      <c r="K59" s="2"/>
      <c r="L59" s="6">
        <f t="shared" si="40"/>
        <v>0</v>
      </c>
      <c r="M59" s="2"/>
      <c r="N59" s="7">
        <f t="shared" si="41"/>
        <v>0</v>
      </c>
      <c r="O59" s="11"/>
      <c r="P59" s="6">
        <v>103.2</v>
      </c>
      <c r="Q59" s="2"/>
      <c r="R59" s="7">
        <f t="shared" si="42"/>
        <v>0</v>
      </c>
      <c r="S59" s="2"/>
      <c r="T59" s="6"/>
      <c r="U59" s="2"/>
      <c r="V59" s="7">
        <f t="shared" si="43"/>
        <v>0</v>
      </c>
      <c r="W59" s="2"/>
      <c r="X59" s="6">
        <f t="shared" si="44"/>
        <v>103.2</v>
      </c>
      <c r="Y59" s="2"/>
      <c r="Z59" s="7">
        <f t="shared" si="45"/>
        <v>0</v>
      </c>
    </row>
    <row r="60" spans="1:26" s="29" customFormat="1" outlineLevel="1" collapsed="1" x14ac:dyDescent="0.3">
      <c r="A60" s="28"/>
      <c r="B60" s="14" t="str">
        <f>CONCATENATE("     ","Supplies                                          ")</f>
        <v xml:space="preserve">     Supplies                                          </v>
      </c>
      <c r="C60" s="14"/>
      <c r="D60" s="1">
        <f>SUM(OSRRefD22_9x_0)</f>
        <v>0</v>
      </c>
      <c r="E60" s="1"/>
      <c r="F60" s="5">
        <f t="shared" ref="F60:F64" si="46">IF(D$12=0,0,D60/D$12)</f>
        <v>0</v>
      </c>
      <c r="G60" s="1"/>
      <c r="H60" s="1">
        <f>SUM(OSRRefH22_9x_0)</f>
        <v>700</v>
      </c>
      <c r="I60" s="1"/>
      <c r="J60" s="5">
        <f t="shared" ref="J60:J64" si="47">IF(H$12=0,0,H60/H$12)</f>
        <v>9.7100846164516572E-2</v>
      </c>
      <c r="K60" s="1"/>
      <c r="L60" s="1">
        <f t="shared" ref="L60:L64" si="48">+D60-H60</f>
        <v>-700</v>
      </c>
      <c r="M60" s="1"/>
      <c r="N60" s="5">
        <f t="shared" ref="N60:N64" si="49">IF(H60=0,0,L60/H60)</f>
        <v>-1</v>
      </c>
      <c r="O60" s="14"/>
      <c r="P60" s="1">
        <f>SUM(OSRRefP22_9x_0)</f>
        <v>1237.73</v>
      </c>
      <c r="Q60" s="1"/>
      <c r="R60" s="5">
        <f t="shared" ref="R60:R64" si="50">IF(P$12=0,0,P60/P$12)</f>
        <v>0</v>
      </c>
      <c r="S60" s="1"/>
      <c r="T60" s="1">
        <f>SUM(OSRRefT22_9x_0)</f>
        <v>4200</v>
      </c>
      <c r="U60" s="1"/>
      <c r="V60" s="5">
        <f t="shared" ref="V60:V64" si="51">IF(T$12=0,0,T60/T$12)</f>
        <v>0.10329054153755349</v>
      </c>
      <c r="W60" s="1"/>
      <c r="X60" s="1">
        <f t="shared" ref="X60:X64" si="52">+P60-T60</f>
        <v>-2962.27</v>
      </c>
      <c r="Y60" s="1"/>
      <c r="Z60" s="5">
        <f t="shared" ref="Z60:Z64" si="53">IF(T60=0,0,X60/T60)</f>
        <v>-0.70530238095238096</v>
      </c>
    </row>
    <row r="61" spans="1:26" s="24" customFormat="1" hidden="1" outlineLevel="2" x14ac:dyDescent="0.3">
      <c r="A61" s="27"/>
      <c r="B61" s="11" t="str">
        <f>CONCATENATE("          ", "6234", " - ", "EXPENDABLE SUPPLIES &amp; EQUIPMEN")</f>
        <v xml:space="preserve">          6234 - EXPENDABLE SUPPLIES &amp; EQUIPMEN</v>
      </c>
      <c r="C61" s="11"/>
      <c r="D61" s="6"/>
      <c r="E61" s="2"/>
      <c r="F61" s="7">
        <f t="shared" si="46"/>
        <v>0</v>
      </c>
      <c r="G61" s="2"/>
      <c r="H61" s="6"/>
      <c r="I61" s="2"/>
      <c r="J61" s="7">
        <f t="shared" si="47"/>
        <v>0</v>
      </c>
      <c r="K61" s="2"/>
      <c r="L61" s="6">
        <f t="shared" si="48"/>
        <v>0</v>
      </c>
      <c r="M61" s="2"/>
      <c r="N61" s="7">
        <f t="shared" si="49"/>
        <v>0</v>
      </c>
      <c r="O61" s="11"/>
      <c r="P61" s="6">
        <v>1194.8900000000001</v>
      </c>
      <c r="Q61" s="2"/>
      <c r="R61" s="7">
        <f t="shared" si="50"/>
        <v>0</v>
      </c>
      <c r="S61" s="2"/>
      <c r="T61" s="6"/>
      <c r="U61" s="2"/>
      <c r="V61" s="7">
        <f t="shared" si="51"/>
        <v>0</v>
      </c>
      <c r="W61" s="2"/>
      <c r="X61" s="6">
        <f t="shared" si="52"/>
        <v>1194.8900000000001</v>
      </c>
      <c r="Y61" s="2"/>
      <c r="Z61" s="7">
        <f t="shared" si="53"/>
        <v>0</v>
      </c>
    </row>
    <row r="62" spans="1:26" s="24" customFormat="1" hidden="1" outlineLevel="2" x14ac:dyDescent="0.3">
      <c r="A62" s="27"/>
      <c r="B62" s="11" t="str">
        <f>CONCATENATE("          ", "6237", " - ", "JANITORIAL SUPPLIES")</f>
        <v xml:space="preserve">          6237 - JANITORIAL SUPPLIES</v>
      </c>
      <c r="C62" s="11"/>
      <c r="D62" s="6"/>
      <c r="E62" s="2"/>
      <c r="F62" s="7">
        <f t="shared" si="46"/>
        <v>0</v>
      </c>
      <c r="G62" s="2"/>
      <c r="H62" s="6"/>
      <c r="I62" s="2"/>
      <c r="J62" s="7">
        <f t="shared" si="47"/>
        <v>0</v>
      </c>
      <c r="K62" s="2"/>
      <c r="L62" s="6">
        <f t="shared" si="48"/>
        <v>0</v>
      </c>
      <c r="M62" s="2"/>
      <c r="N62" s="7">
        <f t="shared" si="49"/>
        <v>0</v>
      </c>
      <c r="O62" s="11"/>
      <c r="P62" s="6">
        <v>38.340000000000003</v>
      </c>
      <c r="Q62" s="2"/>
      <c r="R62" s="7">
        <f t="shared" si="50"/>
        <v>0</v>
      </c>
      <c r="S62" s="2"/>
      <c r="T62" s="6"/>
      <c r="U62" s="2"/>
      <c r="V62" s="7">
        <f t="shared" si="51"/>
        <v>0</v>
      </c>
      <c r="W62" s="2"/>
      <c r="X62" s="6">
        <f t="shared" si="52"/>
        <v>38.340000000000003</v>
      </c>
      <c r="Y62" s="2"/>
      <c r="Z62" s="7">
        <f t="shared" si="53"/>
        <v>0</v>
      </c>
    </row>
    <row r="63" spans="1:26" s="24" customFormat="1" hidden="1" outlineLevel="2" x14ac:dyDescent="0.3">
      <c r="A63" s="27"/>
      <c r="B63" s="11" t="str">
        <f>CONCATENATE("          ", "6241", " - ", "OFFICE EXPENSE")</f>
        <v xml:space="preserve">          6241 - OFFICE EXPENSE</v>
      </c>
      <c r="C63" s="11"/>
      <c r="D63" s="6"/>
      <c r="E63" s="2"/>
      <c r="F63" s="7">
        <f t="shared" si="46"/>
        <v>0</v>
      </c>
      <c r="G63" s="2"/>
      <c r="H63" s="6"/>
      <c r="I63" s="2"/>
      <c r="J63" s="7">
        <f t="shared" si="47"/>
        <v>0</v>
      </c>
      <c r="K63" s="2"/>
      <c r="L63" s="6">
        <f t="shared" si="48"/>
        <v>0</v>
      </c>
      <c r="M63" s="2"/>
      <c r="N63" s="7">
        <f t="shared" si="49"/>
        <v>0</v>
      </c>
      <c r="O63" s="11"/>
      <c r="P63" s="6">
        <v>4.5</v>
      </c>
      <c r="Q63" s="2"/>
      <c r="R63" s="7">
        <f t="shared" si="50"/>
        <v>0</v>
      </c>
      <c r="S63" s="2"/>
      <c r="T63" s="6"/>
      <c r="U63" s="2"/>
      <c r="V63" s="7">
        <f t="shared" si="51"/>
        <v>0</v>
      </c>
      <c r="W63" s="2"/>
      <c r="X63" s="6">
        <f t="shared" si="52"/>
        <v>4.5</v>
      </c>
      <c r="Y63" s="2"/>
      <c r="Z63" s="7">
        <f t="shared" si="53"/>
        <v>0</v>
      </c>
    </row>
    <row r="64" spans="1:26" s="24" customFormat="1" hidden="1" outlineLevel="2" x14ac:dyDescent="0.3">
      <c r="A64" s="27"/>
      <c r="B64" s="11" t="str">
        <f>CONCATENATE("          ", "6247", " - ", "STORE SUPPLIES")</f>
        <v xml:space="preserve">          6247 - STORE SUPPLIES</v>
      </c>
      <c r="C64" s="11"/>
      <c r="D64" s="6"/>
      <c r="E64" s="2"/>
      <c r="F64" s="7">
        <f t="shared" si="46"/>
        <v>0</v>
      </c>
      <c r="G64" s="2"/>
      <c r="H64" s="6">
        <v>700</v>
      </c>
      <c r="I64" s="2"/>
      <c r="J64" s="7">
        <f t="shared" si="47"/>
        <v>9.7100846164516572E-2</v>
      </c>
      <c r="K64" s="2"/>
      <c r="L64" s="6">
        <f t="shared" si="48"/>
        <v>-700</v>
      </c>
      <c r="M64" s="2"/>
      <c r="N64" s="7">
        <f t="shared" si="49"/>
        <v>-1</v>
      </c>
      <c r="O64" s="11"/>
      <c r="P64" s="6"/>
      <c r="Q64" s="2"/>
      <c r="R64" s="7">
        <f t="shared" si="50"/>
        <v>0</v>
      </c>
      <c r="S64" s="2"/>
      <c r="T64" s="6">
        <v>4200</v>
      </c>
      <c r="U64" s="2"/>
      <c r="V64" s="7">
        <f t="shared" si="51"/>
        <v>0.10329054153755349</v>
      </c>
      <c r="W64" s="2"/>
      <c r="X64" s="6">
        <f t="shared" si="52"/>
        <v>-4200</v>
      </c>
      <c r="Y64" s="2"/>
      <c r="Z64" s="7">
        <f t="shared" si="53"/>
        <v>-1</v>
      </c>
    </row>
    <row r="65" spans="1:26" s="29" customFormat="1" outlineLevel="1" collapsed="1" x14ac:dyDescent="0.3">
      <c r="A65" s="28"/>
      <c r="B65" s="14" t="str">
        <f>CONCATENATE("     ","Telephone/Data Lines                              ")</f>
        <v xml:space="preserve">     Telephone/Data Lines                              </v>
      </c>
      <c r="C65" s="14"/>
      <c r="D65" s="1">
        <f>SUM(OSRRefD22_10x_0)</f>
        <v>0</v>
      </c>
      <c r="E65" s="1"/>
      <c r="F65" s="5">
        <f t="shared" ref="F65:F68" si="54">IF(D$12=0,0,D65/D$12)</f>
        <v>0</v>
      </c>
      <c r="G65" s="1"/>
      <c r="H65" s="1">
        <f>SUM(OSRRefH22_10x_0)</f>
        <v>53</v>
      </c>
      <c r="I65" s="1"/>
      <c r="J65" s="5">
        <f t="shared" ref="J65:J68" si="55">IF(H$12=0,0,H65/H$12)</f>
        <v>7.3519212095991123E-3</v>
      </c>
      <c r="K65" s="1"/>
      <c r="L65" s="1">
        <f t="shared" ref="L65:L68" si="56">+D65-H65</f>
        <v>-53</v>
      </c>
      <c r="M65" s="1"/>
      <c r="N65" s="5">
        <f t="shared" ref="N65:N68" si="57">IF(H65=0,0,L65/H65)</f>
        <v>-1</v>
      </c>
      <c r="O65" s="14"/>
      <c r="P65" s="1">
        <f>SUM(OSRRefP22_10x_0)</f>
        <v>184</v>
      </c>
      <c r="Q65" s="1"/>
      <c r="R65" s="5">
        <f t="shared" ref="R65:R68" si="58">IF(P$12=0,0,P65/P$12)</f>
        <v>0</v>
      </c>
      <c r="S65" s="1"/>
      <c r="T65" s="1">
        <f>SUM(OSRRefT22_10x_0)</f>
        <v>265</v>
      </c>
      <c r="U65" s="1"/>
      <c r="V65" s="5">
        <f t="shared" ref="V65:V68" si="59">IF(T$12=0,0,T65/T$12)</f>
        <v>6.5171413112980175E-3</v>
      </c>
      <c r="W65" s="1"/>
      <c r="X65" s="1">
        <f t="shared" ref="X65:X68" si="60">+P65-T65</f>
        <v>-81</v>
      </c>
      <c r="Y65" s="1"/>
      <c r="Z65" s="5">
        <f t="shared" ref="Z65:Z68" si="61">IF(T65=0,0,X65/T65)</f>
        <v>-0.30566037735849055</v>
      </c>
    </row>
    <row r="66" spans="1:26" s="24" customFormat="1" hidden="1" outlineLevel="2" x14ac:dyDescent="0.3">
      <c r="A66" s="27"/>
      <c r="B66" s="11" t="str">
        <f>CONCATENATE("          ", "6309", " - ", "TELEPHONE")</f>
        <v xml:space="preserve">          6309 - TELEPHONE</v>
      </c>
      <c r="C66" s="11"/>
      <c r="D66" s="6">
        <v>0</v>
      </c>
      <c r="E66" s="2"/>
      <c r="F66" s="7">
        <f t="shared" si="54"/>
        <v>0</v>
      </c>
      <c r="G66" s="2"/>
      <c r="H66" s="6">
        <v>53</v>
      </c>
      <c r="I66" s="2"/>
      <c r="J66" s="7">
        <f t="shared" si="55"/>
        <v>7.3519212095991123E-3</v>
      </c>
      <c r="K66" s="2"/>
      <c r="L66" s="6">
        <f t="shared" si="56"/>
        <v>-53</v>
      </c>
      <c r="M66" s="2"/>
      <c r="N66" s="7">
        <f t="shared" si="57"/>
        <v>-1</v>
      </c>
      <c r="O66" s="11"/>
      <c r="P66" s="6">
        <v>184</v>
      </c>
      <c r="Q66" s="2"/>
      <c r="R66" s="7">
        <f t="shared" si="58"/>
        <v>0</v>
      </c>
      <c r="S66" s="2"/>
      <c r="T66" s="6">
        <v>265</v>
      </c>
      <c r="U66" s="2"/>
      <c r="V66" s="7">
        <f t="shared" si="59"/>
        <v>6.5171413112980175E-3</v>
      </c>
      <c r="W66" s="2"/>
      <c r="X66" s="6">
        <f t="shared" si="60"/>
        <v>-81</v>
      </c>
      <c r="Y66" s="2"/>
      <c r="Z66" s="7">
        <f t="shared" si="61"/>
        <v>-0.30566037735849055</v>
      </c>
    </row>
    <row r="67" spans="1:26" s="29" customFormat="1" outlineLevel="1" collapsed="1" x14ac:dyDescent="0.3">
      <c r="A67" s="28"/>
      <c r="B67" s="14" t="str">
        <f>CONCATENATE("     ","Training                                          ")</f>
        <v xml:space="preserve">     Training                                          </v>
      </c>
      <c r="C67" s="14"/>
      <c r="D67" s="1">
        <f>SUM(OSRRefD22_11x_0)</f>
        <v>0</v>
      </c>
      <c r="E67" s="1"/>
      <c r="F67" s="5">
        <f t="shared" si="54"/>
        <v>0</v>
      </c>
      <c r="G67" s="1"/>
      <c r="H67" s="1">
        <f>SUM(OSRRefH22_11x_0)</f>
        <v>0</v>
      </c>
      <c r="I67" s="1"/>
      <c r="J67" s="5">
        <f t="shared" si="55"/>
        <v>0</v>
      </c>
      <c r="K67" s="1"/>
      <c r="L67" s="1">
        <f t="shared" si="56"/>
        <v>0</v>
      </c>
      <c r="M67" s="1"/>
      <c r="N67" s="5">
        <f t="shared" si="57"/>
        <v>0</v>
      </c>
      <c r="O67" s="14"/>
      <c r="P67" s="1">
        <f>SUM(OSRRefP22_11x_0)</f>
        <v>0</v>
      </c>
      <c r="Q67" s="1"/>
      <c r="R67" s="5">
        <f t="shared" si="58"/>
        <v>0</v>
      </c>
      <c r="S67" s="1"/>
      <c r="T67" s="1">
        <f>SUM(OSRRefT22_11x_0)</f>
        <v>75</v>
      </c>
      <c r="U67" s="1"/>
      <c r="V67" s="5">
        <f t="shared" si="59"/>
        <v>1.8444739560277408E-3</v>
      </c>
      <c r="W67" s="1"/>
      <c r="X67" s="1">
        <f t="shared" si="60"/>
        <v>-75</v>
      </c>
      <c r="Y67" s="1"/>
      <c r="Z67" s="5">
        <f t="shared" si="61"/>
        <v>-1</v>
      </c>
    </row>
    <row r="68" spans="1:26" s="24" customFormat="1" hidden="1" outlineLevel="2" x14ac:dyDescent="0.3">
      <c r="A68" s="27"/>
      <c r="B68" s="11" t="str">
        <f>CONCATENATE("          ", "6376", " - ", "TRAINING")</f>
        <v xml:space="preserve">          6376 - TRAINING</v>
      </c>
      <c r="C68" s="11"/>
      <c r="D68" s="6"/>
      <c r="E68" s="2"/>
      <c r="F68" s="7">
        <f t="shared" si="54"/>
        <v>0</v>
      </c>
      <c r="G68" s="2"/>
      <c r="H68" s="6"/>
      <c r="I68" s="2"/>
      <c r="J68" s="7">
        <f t="shared" si="55"/>
        <v>0</v>
      </c>
      <c r="K68" s="2"/>
      <c r="L68" s="6">
        <f t="shared" si="56"/>
        <v>0</v>
      </c>
      <c r="M68" s="2"/>
      <c r="N68" s="7">
        <f t="shared" si="57"/>
        <v>0</v>
      </c>
      <c r="O68" s="11"/>
      <c r="P68" s="6"/>
      <c r="Q68" s="2"/>
      <c r="R68" s="7">
        <f t="shared" si="58"/>
        <v>0</v>
      </c>
      <c r="S68" s="2"/>
      <c r="T68" s="6">
        <v>75</v>
      </c>
      <c r="U68" s="2"/>
      <c r="V68" s="7">
        <f t="shared" si="59"/>
        <v>1.8444739560277408E-3</v>
      </c>
      <c r="W68" s="2"/>
      <c r="X68" s="6">
        <f t="shared" si="60"/>
        <v>-75</v>
      </c>
      <c r="Y68" s="2"/>
      <c r="Z68" s="7">
        <f t="shared" si="61"/>
        <v>-1</v>
      </c>
    </row>
    <row r="69" spans="1:26" s="63" customFormat="1" x14ac:dyDescent="0.3">
      <c r="A69" s="36"/>
      <c r="B69" s="36"/>
      <c r="C69" s="36"/>
      <c r="D69" s="1"/>
      <c r="E69" s="1"/>
      <c r="F69" s="5"/>
      <c r="G69" s="1"/>
      <c r="H69" s="1"/>
      <c r="I69" s="1"/>
      <c r="J69" s="5"/>
      <c r="K69" s="1"/>
      <c r="L69" s="1"/>
      <c r="M69" s="1"/>
      <c r="N69" s="5"/>
      <c r="O69" s="36"/>
      <c r="P69" s="1"/>
      <c r="Q69" s="1"/>
      <c r="R69" s="5"/>
      <c r="S69" s="1"/>
      <c r="T69" s="1"/>
      <c r="U69" s="1"/>
      <c r="V69" s="5"/>
      <c r="W69" s="1"/>
      <c r="X69" s="1"/>
      <c r="Y69" s="1"/>
      <c r="Z69" s="5"/>
    </row>
    <row r="70" spans="1:26" s="23" customFormat="1" x14ac:dyDescent="0.3">
      <c r="A70" s="10"/>
      <c r="B70" s="25" t="s">
        <v>293</v>
      </c>
      <c r="C70" s="10"/>
      <c r="D70" s="4">
        <f>SUM(0)</f>
        <v>0</v>
      </c>
      <c r="E70" s="4"/>
      <c r="F70" s="12">
        <f>IF(D$12=0,0,D70/D$12)</f>
        <v>0</v>
      </c>
      <c r="G70" s="4"/>
      <c r="H70" s="4">
        <f>SUM(0)</f>
        <v>0</v>
      </c>
      <c r="I70" s="4"/>
      <c r="J70" s="12">
        <f>IF(H$12=0,0,H70/H$12)</f>
        <v>0</v>
      </c>
      <c r="K70" s="4"/>
      <c r="L70" s="4">
        <f>+D70-H70</f>
        <v>0</v>
      </c>
      <c r="M70" s="4"/>
      <c r="N70" s="12">
        <f>IF(H70=0,0,L70/H70)</f>
        <v>0</v>
      </c>
      <c r="O70" s="10"/>
      <c r="P70" s="4">
        <f>SUM(0)</f>
        <v>0</v>
      </c>
      <c r="Q70" s="4"/>
      <c r="R70" s="12">
        <f>IF(P$12=0,0,P70/P$12)</f>
        <v>0</v>
      </c>
      <c r="S70" s="4"/>
      <c r="T70" s="4">
        <f>SUM(0)</f>
        <v>0</v>
      </c>
      <c r="U70" s="4"/>
      <c r="V70" s="12">
        <f>IF(T$12=0,0,T70/T$12)</f>
        <v>0</v>
      </c>
      <c r="W70" s="4"/>
      <c r="X70" s="4">
        <f>+P70-T70</f>
        <v>0</v>
      </c>
      <c r="Y70" s="4"/>
      <c r="Z70" s="12">
        <f>IF(T70=0,0,X70/T70)</f>
        <v>0</v>
      </c>
    </row>
    <row r="71" spans="1:26" x14ac:dyDescent="0.3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3">
      <c r="A72" s="10"/>
      <c r="B72" s="26" t="s">
        <v>277</v>
      </c>
      <c r="C72" s="26"/>
      <c r="D72" s="20">
        <f>+D20-D22+D70</f>
        <v>-9740.8700000000008</v>
      </c>
      <c r="E72" s="13"/>
      <c r="F72" s="22">
        <f>IF(D$12=0,0,D72/D$12)</f>
        <v>0</v>
      </c>
      <c r="G72" s="13"/>
      <c r="H72" s="20">
        <f>+H20-H22+H70</f>
        <v>-2262.7935749999997</v>
      </c>
      <c r="I72" s="13"/>
      <c r="J72" s="22">
        <f>IF(H$12=0,0,H72/H$12)</f>
        <v>-0.31388452975447351</v>
      </c>
      <c r="K72" s="15"/>
      <c r="L72" s="20">
        <f>+D72-H72</f>
        <v>-7478.0764250000011</v>
      </c>
      <c r="M72" s="15"/>
      <c r="N72" s="22">
        <f>IF(H72=0,0,L72/H72)</f>
        <v>3.3047983287649214</v>
      </c>
      <c r="O72" s="25"/>
      <c r="P72" s="20">
        <f>+P20-P22+P70</f>
        <v>-16124.66</v>
      </c>
      <c r="Q72" s="13"/>
      <c r="R72" s="22">
        <f>IF(P$12=0,0,P72/P$12)</f>
        <v>0</v>
      </c>
      <c r="S72" s="13"/>
      <c r="T72" s="20">
        <f>+T20-T22+T70</f>
        <v>-15332.652925000002</v>
      </c>
      <c r="U72" s="13"/>
      <c r="V72" s="22">
        <f>IF(T$12=0,0,T72/T$12)</f>
        <v>-0.37707571995966754</v>
      </c>
      <c r="W72" s="15"/>
      <c r="X72" s="20">
        <f>+P72-T72</f>
        <v>-792.00707499999771</v>
      </c>
      <c r="Y72" s="15"/>
      <c r="Z72" s="22">
        <f>IF(T72=0,0,X72/T72)</f>
        <v>5.1654927485420638E-2</v>
      </c>
    </row>
    <row r="73" spans="1:26" x14ac:dyDescent="0.3">
      <c r="A73" s="9"/>
      <c r="B73" s="10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3">
      <c r="A74" s="52"/>
      <c r="B74" s="10" t="s">
        <v>128</v>
      </c>
      <c r="C74" s="10"/>
      <c r="D74" s="4"/>
      <c r="E74" s="4"/>
      <c r="F74" s="12">
        <f>IF(D$12=0,0,D74/D$12)</f>
        <v>0</v>
      </c>
      <c r="G74" s="4"/>
      <c r="H74" s="4">
        <v>1236</v>
      </c>
      <c r="I74" s="4"/>
      <c r="J74" s="12">
        <f>IF(H$12=0,0,H74/H$12)</f>
        <v>0.17145235122763214</v>
      </c>
      <c r="K74" s="4"/>
      <c r="L74" s="4">
        <f>+D74-H74</f>
        <v>-1236</v>
      </c>
      <c r="M74" s="4"/>
      <c r="N74" s="12">
        <f>IF(H74=0,0,L74/H74)</f>
        <v>-1</v>
      </c>
      <c r="O74" s="10"/>
      <c r="P74" s="4"/>
      <c r="Q74" s="4"/>
      <c r="R74" s="12">
        <f>IF(P$12=0,0,P74/P$12)</f>
        <v>0</v>
      </c>
      <c r="S74" s="4"/>
      <c r="T74" s="4">
        <v>5082</v>
      </c>
      <c r="U74" s="4"/>
      <c r="V74" s="12">
        <f>IF(T$12=0,0,T74/T$12)</f>
        <v>0.12498155526043972</v>
      </c>
      <c r="W74" s="4"/>
      <c r="X74" s="4">
        <f>+P74-T74</f>
        <v>-5082</v>
      </c>
      <c r="Y74" s="4"/>
      <c r="Z74" s="12">
        <f>IF(T74=0,0,X74/T74)</f>
        <v>-1</v>
      </c>
    </row>
    <row r="75" spans="1:26" x14ac:dyDescent="0.3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" thickBot="1" x14ac:dyDescent="0.35">
      <c r="A76" s="10"/>
      <c r="B76" s="26" t="s">
        <v>126</v>
      </c>
      <c r="C76" s="26"/>
      <c r="D76" s="33">
        <f>+D72-D74</f>
        <v>-9740.8700000000008</v>
      </c>
      <c r="E76" s="13"/>
      <c r="F76" s="34">
        <f>IF(D$12=0,0,D76/D$12)</f>
        <v>0</v>
      </c>
      <c r="G76" s="13"/>
      <c r="H76" s="33">
        <f>+H72-H74</f>
        <v>-3498.7935749999997</v>
      </c>
      <c r="I76" s="13"/>
      <c r="J76" s="34">
        <f>IF(H$12=0,0,H76/H$12)</f>
        <v>-0.48533688098210565</v>
      </c>
      <c r="K76" s="15"/>
      <c r="L76" s="33">
        <f>D76-H76</f>
        <v>-6242.0764250000011</v>
      </c>
      <c r="M76" s="15"/>
      <c r="N76" s="34">
        <f>IF(H76=0,0,L76/H76)</f>
        <v>1.7840653617297217</v>
      </c>
      <c r="O76" s="25"/>
      <c r="P76" s="33">
        <f>+P72-P74</f>
        <v>-16124.66</v>
      </c>
      <c r="Q76" s="13"/>
      <c r="R76" s="34">
        <f>IF(P$12=0,0,P76/P$12)</f>
        <v>0</v>
      </c>
      <c r="S76" s="13"/>
      <c r="T76" s="33">
        <f>+T72-T74</f>
        <v>-20414.652925000002</v>
      </c>
      <c r="U76" s="13"/>
      <c r="V76" s="34">
        <f>IF(T$12=0,0,T76/T$12)</f>
        <v>-0.50205727522010724</v>
      </c>
      <c r="W76" s="15"/>
      <c r="X76" s="33">
        <f>P76-T76</f>
        <v>4289.9929250000023</v>
      </c>
      <c r="Y76" s="15"/>
      <c r="Z76" s="34">
        <f>IF(T76=0,0,X76/T76)</f>
        <v>-0.21014282930798353</v>
      </c>
    </row>
    <row r="77" spans="1:26" ht="15" thickTop="1" x14ac:dyDescent="0.3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x14ac:dyDescent="0.3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" thickBot="1" x14ac:dyDescent="0.35">
      <c r="A79" s="10"/>
      <c r="B79" s="26" t="s">
        <v>294</v>
      </c>
      <c r="C79" s="26"/>
      <c r="D79" s="35">
        <f>SUM(D76:D78)</f>
        <v>-9740.8700000000008</v>
      </c>
      <c r="E79" s="13"/>
      <c r="F79" s="32">
        <f>IF(D$12=0,0,D79/D$12)</f>
        <v>0</v>
      </c>
      <c r="G79" s="13"/>
      <c r="H79" s="35">
        <f>SUM(H76:H78)</f>
        <v>-3498.7935749999997</v>
      </c>
      <c r="I79" s="13"/>
      <c r="J79" s="32">
        <f>IF(H$12=0,0,H79/H$12)</f>
        <v>-0.48533688098210565</v>
      </c>
      <c r="K79" s="15"/>
      <c r="L79" s="35">
        <f>+D79-H79</f>
        <v>-6242.0764250000011</v>
      </c>
      <c r="M79" s="15"/>
      <c r="N79" s="32">
        <f>IF(H79=0,0,L79/H79)</f>
        <v>1.7840653617297217</v>
      </c>
      <c r="O79" s="25"/>
      <c r="P79" s="35">
        <f>SUM(P76:P78)</f>
        <v>-16124.66</v>
      </c>
      <c r="Q79" s="13"/>
      <c r="R79" s="32">
        <f>IF(P$12=0,0,P79/P$12)</f>
        <v>0</v>
      </c>
      <c r="S79" s="13"/>
      <c r="T79" s="35">
        <f>SUM(T76:T78)</f>
        <v>-20414.652925000002</v>
      </c>
      <c r="U79" s="13"/>
      <c r="V79" s="32">
        <f>IF(T$12=0,0,T79/T$12)</f>
        <v>-0.50205727522010724</v>
      </c>
      <c r="W79" s="15"/>
      <c r="X79" s="35">
        <f>+P79-T79</f>
        <v>4289.9929250000023</v>
      </c>
      <c r="Y79" s="15"/>
      <c r="Z79" s="32">
        <f>IF(T79=0,0,X79/T79)</f>
        <v>-0.21014282930798353</v>
      </c>
    </row>
    <row r="80" spans="1:26" ht="15" thickTop="1" x14ac:dyDescent="0.3">
      <c r="A80" s="9"/>
      <c r="C80" s="9"/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  <row r="81" spans="1:24" x14ac:dyDescent="0.3">
      <c r="A81" s="9"/>
      <c r="B81" s="60">
        <v>44543.753113078703</v>
      </c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3">
      <c r="A82" s="9"/>
      <c r="B82" s="58" t="s">
        <v>56</v>
      </c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3">
      <c r="A83" s="9"/>
      <c r="B83" s="55"/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4" x14ac:dyDescent="0.3"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92D050"/>
    <outlinePr summaryBelow="0" summaryRight="0"/>
  </sheetPr>
  <dimension ref="A2:Z9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","325", " - ", "Outpost C-Store")</f>
        <v>Department 325 - Outpost C-Store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15236.84</v>
      </c>
      <c r="E12" s="4"/>
      <c r="F12" s="12"/>
      <c r="G12" s="4"/>
      <c r="H12" s="4">
        <f>SUM(OSRRefH13x_0)</f>
        <v>17617</v>
      </c>
      <c r="I12" s="4"/>
      <c r="J12" s="12"/>
      <c r="K12" s="4"/>
      <c r="L12" s="4">
        <f t="shared" ref="L12:L14" si="0">+D12-H12</f>
        <v>-2380.16</v>
      </c>
      <c r="M12" s="4"/>
      <c r="N12" s="12">
        <f t="shared" ref="N12:N14" si="1">IF(H12=0,0,L12/H12)</f>
        <v>-0.1351058636544247</v>
      </c>
      <c r="O12" s="10"/>
      <c r="P12" s="4">
        <f>SUM(OSRRefP13x_0)</f>
        <v>63301.31</v>
      </c>
      <c r="Q12" s="4"/>
      <c r="R12" s="12"/>
      <c r="S12" s="4"/>
      <c r="T12" s="4">
        <f>SUM(OSRRefT13x_0)</f>
        <v>89808</v>
      </c>
      <c r="U12" s="4"/>
      <c r="V12" s="12"/>
      <c r="W12" s="4"/>
      <c r="X12" s="4">
        <f t="shared" ref="X12:X14" si="2">+P12-T12</f>
        <v>-26506.690000000002</v>
      </c>
      <c r="Y12" s="4"/>
      <c r="Z12" s="12">
        <f t="shared" ref="Z12:Z14" si="3">IF(T12=0,0,X12/T12)</f>
        <v>-0.29514842775699274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--2305.85</f>
        <v>2305.85</v>
      </c>
      <c r="E13" s="2"/>
      <c r="F13" s="19"/>
      <c r="G13" s="2"/>
      <c r="H13" s="2">
        <v>3123</v>
      </c>
      <c r="I13" s="2"/>
      <c r="J13" s="19"/>
      <c r="K13" s="2"/>
      <c r="L13" s="2">
        <f t="shared" si="0"/>
        <v>-817.15000000000009</v>
      </c>
      <c r="M13" s="2"/>
      <c r="N13" s="19">
        <f t="shared" si="1"/>
        <v>-0.26165545949407626</v>
      </c>
      <c r="O13" s="11"/>
      <c r="P13" s="2">
        <f>--10622.35</f>
        <v>10622.35</v>
      </c>
      <c r="Q13" s="2"/>
      <c r="R13" s="19"/>
      <c r="S13" s="2"/>
      <c r="T13" s="2">
        <v>15919</v>
      </c>
      <c r="U13" s="2"/>
      <c r="V13" s="19"/>
      <c r="W13" s="2"/>
      <c r="X13" s="2">
        <f t="shared" si="2"/>
        <v>-5296.65</v>
      </c>
      <c r="Y13" s="2"/>
      <c r="Z13" s="19">
        <f t="shared" si="3"/>
        <v>-0.3327250455430617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--12930.99</f>
        <v>12930.99</v>
      </c>
      <c r="E14" s="2"/>
      <c r="F14" s="19"/>
      <c r="G14" s="2"/>
      <c r="H14" s="2">
        <v>14494</v>
      </c>
      <c r="I14" s="2"/>
      <c r="J14" s="19"/>
      <c r="K14" s="2"/>
      <c r="L14" s="2">
        <f t="shared" si="0"/>
        <v>-1563.0100000000002</v>
      </c>
      <c r="M14" s="2"/>
      <c r="N14" s="19">
        <f t="shared" si="1"/>
        <v>-0.10783841589623294</v>
      </c>
      <c r="O14" s="11"/>
      <c r="P14" s="2">
        <f>--52678.96</f>
        <v>52678.96</v>
      </c>
      <c r="Q14" s="2"/>
      <c r="R14" s="19"/>
      <c r="S14" s="2"/>
      <c r="T14" s="2">
        <v>73889</v>
      </c>
      <c r="U14" s="2"/>
      <c r="V14" s="19"/>
      <c r="W14" s="2"/>
      <c r="X14" s="2">
        <f t="shared" si="2"/>
        <v>-21210.04</v>
      </c>
      <c r="Y14" s="2"/>
      <c r="Z14" s="19">
        <f t="shared" si="3"/>
        <v>-0.28705274127407326</v>
      </c>
    </row>
    <row r="15" spans="1:26" x14ac:dyDescent="0.3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3">
      <c r="A16" s="10"/>
      <c r="B16" s="25" t="s">
        <v>257</v>
      </c>
      <c r="C16" s="10"/>
      <c r="D16" s="4">
        <f>SUM(OSRRefD16x_0)</f>
        <v>6563.18</v>
      </c>
      <c r="E16" s="4"/>
      <c r="F16" s="12">
        <f t="shared" ref="F16:F19" si="4">IF(D$12=0,0,D16/D$12)</f>
        <v>0.43074417005100796</v>
      </c>
      <c r="G16" s="4"/>
      <c r="H16" s="4">
        <f>SUM(OSRRefH16x_0)</f>
        <v>8632</v>
      </c>
      <c r="I16" s="4"/>
      <c r="J16" s="12">
        <f t="shared" ref="J16:J19" si="5">IF(H$12=0,0,H16/H$12)</f>
        <v>0.48998126809331893</v>
      </c>
      <c r="K16" s="4"/>
      <c r="L16" s="4">
        <f t="shared" ref="L16:L19" si="6">+D16-H16</f>
        <v>-2068.8199999999997</v>
      </c>
      <c r="M16" s="4"/>
      <c r="N16" s="12">
        <f t="shared" ref="N16:N19" si="7">IF(H16=0,0,L16/H16)</f>
        <v>-0.23966867469879516</v>
      </c>
      <c r="O16" s="10"/>
      <c r="P16" s="4">
        <f>SUM(OSRRefP16x_0)</f>
        <v>30113.82</v>
      </c>
      <c r="Q16" s="4"/>
      <c r="R16" s="12">
        <f t="shared" ref="R16:R19" si="8">IF(P$12=0,0,P16/P$12)</f>
        <v>0.4757219084407574</v>
      </c>
      <c r="S16" s="4"/>
      <c r="T16" s="4">
        <f>SUM(OSRRefT16x_0)</f>
        <v>44006</v>
      </c>
      <c r="U16" s="4"/>
      <c r="V16" s="12">
        <f t="shared" ref="V16:V19" si="9">IF(T$12=0,0,T16/T$12)</f>
        <v>0.49000089078923925</v>
      </c>
      <c r="W16" s="4"/>
      <c r="X16" s="4">
        <f t="shared" ref="X16:X19" si="10">+P16-T16</f>
        <v>-13892.18</v>
      </c>
      <c r="Y16" s="4"/>
      <c r="Z16" s="12">
        <f t="shared" ref="Z16:Z19" si="11">IF(T16=0,0,X16/T16)</f>
        <v>-0.31568831522974139</v>
      </c>
    </row>
    <row r="17" spans="1:26" s="24" customFormat="1" hidden="1" outlineLevel="1" x14ac:dyDescent="0.3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4"/>
        <v>0</v>
      </c>
      <c r="G17" s="2"/>
      <c r="H17" s="2">
        <v>8632</v>
      </c>
      <c r="I17" s="2"/>
      <c r="J17" s="19">
        <f t="shared" si="5"/>
        <v>0.48998126809331893</v>
      </c>
      <c r="K17" s="2"/>
      <c r="L17" s="2">
        <f t="shared" si="6"/>
        <v>-8632</v>
      </c>
      <c r="M17" s="2"/>
      <c r="N17" s="19">
        <f t="shared" si="7"/>
        <v>-1</v>
      </c>
      <c r="O17" s="11"/>
      <c r="P17" s="2"/>
      <c r="Q17" s="2"/>
      <c r="R17" s="19">
        <f t="shared" si="8"/>
        <v>0</v>
      </c>
      <c r="S17" s="2"/>
      <c r="T17" s="2">
        <v>44006</v>
      </c>
      <c r="U17" s="2"/>
      <c r="V17" s="19">
        <f t="shared" si="9"/>
        <v>0.49000089078923925</v>
      </c>
      <c r="W17" s="2"/>
      <c r="X17" s="2">
        <f t="shared" si="10"/>
        <v>-44006</v>
      </c>
      <c r="Y17" s="2"/>
      <c r="Z17" s="19">
        <f t="shared" si="11"/>
        <v>-1</v>
      </c>
    </row>
    <row r="18" spans="1:26" s="24" customFormat="1" hidden="1" outlineLevel="1" x14ac:dyDescent="0.3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3858.46</v>
      </c>
      <c r="E18" s="2"/>
      <c r="F18" s="19">
        <f t="shared" si="4"/>
        <v>0.25323229751050741</v>
      </c>
      <c r="G18" s="2"/>
      <c r="H18" s="2"/>
      <c r="I18" s="2"/>
      <c r="J18" s="19">
        <f t="shared" si="5"/>
        <v>0</v>
      </c>
      <c r="K18" s="2"/>
      <c r="L18" s="2">
        <f t="shared" si="6"/>
        <v>3858.46</v>
      </c>
      <c r="M18" s="2"/>
      <c r="N18" s="19">
        <f t="shared" si="7"/>
        <v>0</v>
      </c>
      <c r="O18" s="11"/>
      <c r="P18" s="2">
        <v>39896.46</v>
      </c>
      <c r="Q18" s="2"/>
      <c r="R18" s="19">
        <f t="shared" si="8"/>
        <v>0.63026278603081043</v>
      </c>
      <c r="S18" s="2"/>
      <c r="T18" s="2"/>
      <c r="U18" s="2"/>
      <c r="V18" s="19">
        <f t="shared" si="9"/>
        <v>0</v>
      </c>
      <c r="W18" s="2"/>
      <c r="X18" s="2">
        <f t="shared" si="10"/>
        <v>39896.46</v>
      </c>
      <c r="Y18" s="2"/>
      <c r="Z18" s="19">
        <f t="shared" si="11"/>
        <v>0</v>
      </c>
    </row>
    <row r="19" spans="1:26" s="24" customFormat="1" hidden="1" outlineLevel="1" x14ac:dyDescent="0.3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2704.72</v>
      </c>
      <c r="E19" s="2"/>
      <c r="F19" s="19">
        <f t="shared" si="4"/>
        <v>0.17751187254050052</v>
      </c>
      <c r="G19" s="2"/>
      <c r="H19" s="2"/>
      <c r="I19" s="2"/>
      <c r="J19" s="19">
        <f t="shared" si="5"/>
        <v>0</v>
      </c>
      <c r="K19" s="2"/>
      <c r="L19" s="2">
        <f t="shared" si="6"/>
        <v>2704.72</v>
      </c>
      <c r="M19" s="2"/>
      <c r="N19" s="19">
        <f t="shared" si="7"/>
        <v>0</v>
      </c>
      <c r="O19" s="11"/>
      <c r="P19" s="2">
        <v>-9782.64</v>
      </c>
      <c r="Q19" s="2"/>
      <c r="R19" s="19">
        <f t="shared" si="8"/>
        <v>-0.15454087759005303</v>
      </c>
      <c r="S19" s="2"/>
      <c r="T19" s="2"/>
      <c r="U19" s="2"/>
      <c r="V19" s="19">
        <f t="shared" si="9"/>
        <v>0</v>
      </c>
      <c r="W19" s="2"/>
      <c r="X19" s="2">
        <f t="shared" si="10"/>
        <v>-9782.64</v>
      </c>
      <c r="Y19" s="2"/>
      <c r="Z19" s="19">
        <f t="shared" si="11"/>
        <v>0</v>
      </c>
    </row>
    <row r="20" spans="1:26" x14ac:dyDescent="0.3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3">
      <c r="A21" s="10"/>
      <c r="B21" s="26" t="s">
        <v>108</v>
      </c>
      <c r="C21" s="26"/>
      <c r="D21" s="20">
        <f>D12-D16</f>
        <v>8673.66</v>
      </c>
      <c r="E21" s="13"/>
      <c r="F21" s="22">
        <f>IF(D$12=0,0,D21/D$12)</f>
        <v>0.56925582994899204</v>
      </c>
      <c r="G21" s="13"/>
      <c r="H21" s="20">
        <f>H12-H16</f>
        <v>8985</v>
      </c>
      <c r="I21" s="13"/>
      <c r="J21" s="22">
        <f>IF(H$12=0,0,H21/H$12)</f>
        <v>0.51001873190668101</v>
      </c>
      <c r="K21" s="15"/>
      <c r="L21" s="20">
        <f>+D21-H21</f>
        <v>-311.34000000000015</v>
      </c>
      <c r="M21" s="15"/>
      <c r="N21" s="22">
        <f>IF(H21=0,0,L21/H21)</f>
        <v>-3.4651085141903189E-2</v>
      </c>
      <c r="O21" s="25"/>
      <c r="P21" s="20">
        <f>P12-P16</f>
        <v>33187.49</v>
      </c>
      <c r="Q21" s="13"/>
      <c r="R21" s="22">
        <f>IF(P$12=0,0,P21/P$12)</f>
        <v>0.52427809155924265</v>
      </c>
      <c r="S21" s="13"/>
      <c r="T21" s="20">
        <f>T12-T16</f>
        <v>45802</v>
      </c>
      <c r="U21" s="13"/>
      <c r="V21" s="22">
        <f>IF(T$12=0,0,T21/T$12)</f>
        <v>0.50999910921076075</v>
      </c>
      <c r="W21" s="15"/>
      <c r="X21" s="20">
        <f>+P21-T21</f>
        <v>-12614.510000000002</v>
      </c>
      <c r="Y21" s="15"/>
      <c r="Z21" s="22">
        <f>IF(T21=0,0,X21/T21)</f>
        <v>-0.27541395572245758</v>
      </c>
    </row>
    <row r="22" spans="1:26" x14ac:dyDescent="0.3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6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3">
      <c r="A23" s="10"/>
      <c r="B23" s="25" t="s">
        <v>295</v>
      </c>
      <c r="C23" s="10"/>
      <c r="D23" s="21">
        <f>SUM(OSRRefD22x_0)</f>
        <v>14854.970000000001</v>
      </c>
      <c r="E23" s="21"/>
      <c r="F23" s="30">
        <f t="shared" ref="F23:F33" si="12">IF(D$12=0,0,D23/D$12)</f>
        <v>0.97493771674441687</v>
      </c>
      <c r="G23" s="21"/>
      <c r="H23" s="21">
        <f>SUM(OSRRefH22x_0)</f>
        <v>25916.67481230769</v>
      </c>
      <c r="I23" s="21"/>
      <c r="J23" s="30">
        <f t="shared" ref="J23:J33" si="13">IF(H$12=0,0,H23/H$12)</f>
        <v>1.4711173759611562</v>
      </c>
      <c r="K23" s="4"/>
      <c r="L23" s="21">
        <f t="shared" ref="L23:L33" si="14">+D23-H23</f>
        <v>-11061.704812307689</v>
      </c>
      <c r="M23" s="4"/>
      <c r="N23" s="30">
        <f t="shared" ref="N23:N33" si="15">IF(H23=0,0,L23/H23)</f>
        <v>-0.42681805796531214</v>
      </c>
      <c r="O23" s="10"/>
      <c r="P23" s="21">
        <f>SUM(OSRRefP22x_0)</f>
        <v>83829.45</v>
      </c>
      <c r="Q23" s="21"/>
      <c r="R23" s="30">
        <f t="shared" ref="R23:R33" si="16">IF(P$12=0,0,P23/P$12)</f>
        <v>1.3242924988440208</v>
      </c>
      <c r="S23" s="21"/>
      <c r="T23" s="21">
        <f>SUM(OSRRefT22x_0)</f>
        <v>136590.75346769232</v>
      </c>
      <c r="U23" s="21"/>
      <c r="V23" s="30">
        <f t="shared" ref="V23:V33" si="17">IF(T$12=0,0,T23/T$12)</f>
        <v>1.5209196671531748</v>
      </c>
      <c r="W23" s="4"/>
      <c r="X23" s="21">
        <f t="shared" ref="X23:X33" si="18">+P23-T23</f>
        <v>-52761.303467692327</v>
      </c>
      <c r="Y23" s="4"/>
      <c r="Z23" s="30">
        <f t="shared" ref="Z23:Z33" si="19">IF(T23=0,0,X23/T23)</f>
        <v>-0.38627287812840061</v>
      </c>
    </row>
    <row r="24" spans="1:26" s="29" customFormat="1" outlineLevel="1" collapsed="1" x14ac:dyDescent="0.3">
      <c r="A24" s="28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261.38</v>
      </c>
      <c r="E24" s="1"/>
      <c r="F24" s="5">
        <f t="shared" si="12"/>
        <v>1.7154475599927544E-2</v>
      </c>
      <c r="G24" s="1"/>
      <c r="H24" s="1">
        <f>SUM(OSRRefH22_0x_0)</f>
        <v>3889.7855815384605</v>
      </c>
      <c r="I24" s="1"/>
      <c r="J24" s="5">
        <f t="shared" si="13"/>
        <v>0.22079727431108931</v>
      </c>
      <c r="K24" s="1"/>
      <c r="L24" s="1">
        <f t="shared" si="14"/>
        <v>-3628.4055815384604</v>
      </c>
      <c r="M24" s="1"/>
      <c r="N24" s="5">
        <f t="shared" si="15"/>
        <v>-0.93280349404333462</v>
      </c>
      <c r="O24" s="14"/>
      <c r="P24" s="1">
        <f>SUM(OSRRefP22_0x_0)</f>
        <v>1261.29</v>
      </c>
      <c r="Q24" s="1"/>
      <c r="R24" s="5">
        <f t="shared" si="16"/>
        <v>1.992518006341417E-2</v>
      </c>
      <c r="S24" s="1"/>
      <c r="T24" s="1">
        <f>SUM(OSRRefT22_0x_0)</f>
        <v>20063.58269846152</v>
      </c>
      <c r="U24" s="1"/>
      <c r="V24" s="5">
        <f t="shared" si="17"/>
        <v>0.22340529461141012</v>
      </c>
      <c r="W24" s="1"/>
      <c r="X24" s="1">
        <f t="shared" si="18"/>
        <v>-18802.292698461519</v>
      </c>
      <c r="Y24" s="1"/>
      <c r="Z24" s="5">
        <f t="shared" si="19"/>
        <v>-0.93713535518774937</v>
      </c>
    </row>
    <row r="25" spans="1:26" s="24" customFormat="1" hidden="1" outlineLevel="2" x14ac:dyDescent="0.3">
      <c r="A25" s="27"/>
      <c r="B25" s="11" t="str">
        <f>CONCATENATE("          ", "6111", " - ", "F.I.C.A.")</f>
        <v xml:space="preserve">          6111 - F.I.C.A.</v>
      </c>
      <c r="C25" s="11"/>
      <c r="D25" s="6">
        <v>174.68</v>
      </c>
      <c r="E25" s="2"/>
      <c r="F25" s="7">
        <f t="shared" si="12"/>
        <v>1.1464319373308376E-2</v>
      </c>
      <c r="G25" s="2"/>
      <c r="H25" s="6">
        <v>445.94619692307703</v>
      </c>
      <c r="I25" s="2"/>
      <c r="J25" s="7">
        <f t="shared" si="13"/>
        <v>2.531340165312352E-2</v>
      </c>
      <c r="K25" s="2"/>
      <c r="L25" s="6">
        <f t="shared" si="14"/>
        <v>-271.26619692307702</v>
      </c>
      <c r="M25" s="2"/>
      <c r="N25" s="7">
        <f t="shared" si="15"/>
        <v>-0.60829355378462568</v>
      </c>
      <c r="O25" s="11"/>
      <c r="P25" s="6">
        <v>858.49</v>
      </c>
      <c r="Q25" s="2"/>
      <c r="R25" s="7">
        <f t="shared" si="16"/>
        <v>1.3561962619730935E-2</v>
      </c>
      <c r="S25" s="2"/>
      <c r="T25" s="6">
        <v>2406.78608307692</v>
      </c>
      <c r="U25" s="2"/>
      <c r="V25" s="7">
        <f t="shared" si="17"/>
        <v>2.6799239300250757E-2</v>
      </c>
      <c r="W25" s="2"/>
      <c r="X25" s="6">
        <f t="shared" si="18"/>
        <v>-1548.29608307692</v>
      </c>
      <c r="Y25" s="2"/>
      <c r="Z25" s="7">
        <f t="shared" si="19"/>
        <v>-0.64330440248246901</v>
      </c>
    </row>
    <row r="26" spans="1:26" s="24" customFormat="1" hidden="1" outlineLevel="2" x14ac:dyDescent="0.3">
      <c r="A26" s="27"/>
      <c r="B26" s="11" t="str">
        <f>CONCATENATE("          ", "6112", " - ", "COMPENSATION INSURANCE")</f>
        <v xml:space="preserve">          6112 - COMPENSATION INSURANCE</v>
      </c>
      <c r="C26" s="11"/>
      <c r="D26" s="6">
        <v>56.73</v>
      </c>
      <c r="E26" s="2"/>
      <c r="F26" s="7">
        <f t="shared" si="12"/>
        <v>3.7232129496667286E-3</v>
      </c>
      <c r="G26" s="2"/>
      <c r="H26" s="6">
        <v>403.37261538461502</v>
      </c>
      <c r="I26" s="2"/>
      <c r="J26" s="7">
        <f t="shared" si="13"/>
        <v>2.2896782391134417E-2</v>
      </c>
      <c r="K26" s="2"/>
      <c r="L26" s="6">
        <f t="shared" si="14"/>
        <v>-346.642615384615</v>
      </c>
      <c r="M26" s="2"/>
      <c r="N26" s="7">
        <f t="shared" si="15"/>
        <v>-0.85936080478366617</v>
      </c>
      <c r="O26" s="11"/>
      <c r="P26" s="6">
        <v>292.98</v>
      </c>
      <c r="Q26" s="2"/>
      <c r="R26" s="7">
        <f t="shared" si="16"/>
        <v>4.6283402349809192E-3</v>
      </c>
      <c r="S26" s="2"/>
      <c r="T26" s="6">
        <v>2058.3839846153801</v>
      </c>
      <c r="U26" s="2"/>
      <c r="V26" s="7">
        <f t="shared" si="17"/>
        <v>2.2919828797160386E-2</v>
      </c>
      <c r="W26" s="2"/>
      <c r="X26" s="6">
        <f t="shared" si="18"/>
        <v>-1765.4039846153801</v>
      </c>
      <c r="Y26" s="2"/>
      <c r="Z26" s="7">
        <f t="shared" si="19"/>
        <v>-0.85766504102744223</v>
      </c>
    </row>
    <row r="27" spans="1:26" s="24" customFormat="1" hidden="1" outlineLevel="2" x14ac:dyDescent="0.3">
      <c r="A27" s="27"/>
      <c r="B27" s="11" t="str">
        <f>CONCATENATE("          ", "6113", " - ", "GROUP INSURANCE")</f>
        <v xml:space="preserve">          6113 - GROUP INSURANCE</v>
      </c>
      <c r="C27" s="11"/>
      <c r="D27" s="6"/>
      <c r="E27" s="2"/>
      <c r="F27" s="7">
        <f t="shared" si="12"/>
        <v>0</v>
      </c>
      <c r="G27" s="2"/>
      <c r="H27" s="6">
        <v>1977</v>
      </c>
      <c r="I27" s="2"/>
      <c r="J27" s="7">
        <f t="shared" si="13"/>
        <v>0.1122211500255435</v>
      </c>
      <c r="K27" s="2"/>
      <c r="L27" s="6">
        <f t="shared" si="14"/>
        <v>-1977</v>
      </c>
      <c r="M27" s="2"/>
      <c r="N27" s="7">
        <f t="shared" si="15"/>
        <v>-1</v>
      </c>
      <c r="O27" s="11"/>
      <c r="P27" s="6"/>
      <c r="Q27" s="2"/>
      <c r="R27" s="7">
        <f t="shared" si="16"/>
        <v>0</v>
      </c>
      <c r="S27" s="2"/>
      <c r="T27" s="6">
        <v>9885</v>
      </c>
      <c r="U27" s="2"/>
      <c r="V27" s="7">
        <f t="shared" si="17"/>
        <v>0.11006814537680384</v>
      </c>
      <c r="W27" s="2"/>
      <c r="X27" s="6">
        <f t="shared" si="18"/>
        <v>-9885</v>
      </c>
      <c r="Y27" s="2"/>
      <c r="Z27" s="7">
        <f t="shared" si="19"/>
        <v>-1</v>
      </c>
    </row>
    <row r="28" spans="1:26" s="24" customFormat="1" hidden="1" outlineLevel="2" x14ac:dyDescent="0.3">
      <c r="A28" s="27"/>
      <c r="B28" s="11" t="str">
        <f>CONCATENATE("          ", "6114", " - ", "STATE UNEMPLOYMENT INSURANCE")</f>
        <v xml:space="preserve">          6114 - STATE UNEMPLOYMENT INSURANCE</v>
      </c>
      <c r="C28" s="11"/>
      <c r="D28" s="6">
        <v>9.9700000000000006</v>
      </c>
      <c r="E28" s="2"/>
      <c r="F28" s="7">
        <f t="shared" si="12"/>
        <v>6.5433515085805199E-4</v>
      </c>
      <c r="G28" s="2"/>
      <c r="H28" s="6">
        <v>22.350461538461499</v>
      </c>
      <c r="I28" s="2"/>
      <c r="J28" s="7">
        <f t="shared" si="13"/>
        <v>1.2686871509599534E-3</v>
      </c>
      <c r="K28" s="2"/>
      <c r="L28" s="6">
        <f t="shared" si="14"/>
        <v>-12.380461538461498</v>
      </c>
      <c r="M28" s="2"/>
      <c r="N28" s="7">
        <f t="shared" si="15"/>
        <v>-0.553924200498354</v>
      </c>
      <c r="O28" s="11"/>
      <c r="P28" s="6">
        <v>49.82</v>
      </c>
      <c r="Q28" s="2"/>
      <c r="R28" s="7">
        <f t="shared" si="16"/>
        <v>7.8702952592924228E-4</v>
      </c>
      <c r="S28" s="2"/>
      <c r="T28" s="6">
        <v>114.05293846153801</v>
      </c>
      <c r="U28" s="2"/>
      <c r="V28" s="7">
        <f t="shared" si="17"/>
        <v>1.2699641286025522E-3</v>
      </c>
      <c r="W28" s="2"/>
      <c r="X28" s="6">
        <f t="shared" si="18"/>
        <v>-64.232938461537998</v>
      </c>
      <c r="Y28" s="2"/>
      <c r="Z28" s="7">
        <f t="shared" si="19"/>
        <v>-0.56318530086096141</v>
      </c>
    </row>
    <row r="29" spans="1:26" s="24" customFormat="1" hidden="1" outlineLevel="2" x14ac:dyDescent="0.3">
      <c r="A29" s="27"/>
      <c r="B29" s="11" t="str">
        <f>CONCATENATE("          ", "6115", " - ", "P.E.R.S.")</f>
        <v xml:space="preserve">          6115 - P.E.R.S.</v>
      </c>
      <c r="C29" s="11"/>
      <c r="D29" s="6"/>
      <c r="E29" s="2"/>
      <c r="F29" s="7">
        <f t="shared" si="12"/>
        <v>0</v>
      </c>
      <c r="G29" s="2"/>
      <c r="H29" s="6">
        <v>397.928615384615</v>
      </c>
      <c r="I29" s="2"/>
      <c r="J29" s="7">
        <f t="shared" si="13"/>
        <v>2.2587762694250724E-2</v>
      </c>
      <c r="K29" s="2"/>
      <c r="L29" s="6">
        <f t="shared" si="14"/>
        <v>-397.928615384615</v>
      </c>
      <c r="M29" s="2"/>
      <c r="N29" s="7">
        <f t="shared" si="15"/>
        <v>-1</v>
      </c>
      <c r="O29" s="11"/>
      <c r="P29" s="6"/>
      <c r="Q29" s="2"/>
      <c r="R29" s="7">
        <f t="shared" si="16"/>
        <v>0</v>
      </c>
      <c r="S29" s="2"/>
      <c r="T29" s="6">
        <v>2188.6073846153799</v>
      </c>
      <c r="U29" s="2"/>
      <c r="V29" s="7">
        <f t="shared" si="17"/>
        <v>2.436984883991827E-2</v>
      </c>
      <c r="W29" s="2"/>
      <c r="X29" s="6">
        <f t="shared" si="18"/>
        <v>-2188.6073846153799</v>
      </c>
      <c r="Y29" s="2"/>
      <c r="Z29" s="7">
        <f t="shared" si="19"/>
        <v>-1</v>
      </c>
    </row>
    <row r="30" spans="1:26" s="24" customFormat="1" hidden="1" outlineLevel="2" x14ac:dyDescent="0.3">
      <c r="A30" s="27"/>
      <c r="B30" s="11" t="str">
        <f>CONCATENATE("          ", "6116", " - ", "EDUCATIONAL BENEFITS")</f>
        <v xml:space="preserve">          6116 - EDUCATIONAL BENEFITS</v>
      </c>
      <c r="C30" s="11"/>
      <c r="D30" s="6"/>
      <c r="E30" s="2"/>
      <c r="F30" s="7">
        <f t="shared" si="12"/>
        <v>0</v>
      </c>
      <c r="G30" s="2"/>
      <c r="H30" s="6">
        <v>0</v>
      </c>
      <c r="I30" s="2"/>
      <c r="J30" s="7">
        <f t="shared" si="13"/>
        <v>0</v>
      </c>
      <c r="K30" s="2"/>
      <c r="L30" s="6">
        <f t="shared" si="14"/>
        <v>0</v>
      </c>
      <c r="M30" s="2"/>
      <c r="N30" s="7">
        <f t="shared" si="15"/>
        <v>0</v>
      </c>
      <c r="O30" s="11"/>
      <c r="P30" s="6"/>
      <c r="Q30" s="2"/>
      <c r="R30" s="7">
        <f t="shared" si="16"/>
        <v>0</v>
      </c>
      <c r="S30" s="2"/>
      <c r="T30" s="6">
        <v>0</v>
      </c>
      <c r="U30" s="2"/>
      <c r="V30" s="7">
        <f t="shared" si="17"/>
        <v>0</v>
      </c>
      <c r="W30" s="2"/>
      <c r="X30" s="6">
        <f t="shared" si="18"/>
        <v>0</v>
      </c>
      <c r="Y30" s="2"/>
      <c r="Z30" s="7">
        <f t="shared" si="19"/>
        <v>0</v>
      </c>
    </row>
    <row r="31" spans="1:26" s="24" customFormat="1" hidden="1" outlineLevel="2" x14ac:dyDescent="0.3">
      <c r="A31" s="27"/>
      <c r="B31" s="11" t="str">
        <f>CONCATENATE("          ", "6118", " - ", "VACATION")</f>
        <v xml:space="preserve">          6118 - VACATION</v>
      </c>
      <c r="C31" s="11"/>
      <c r="D31" s="6"/>
      <c r="E31" s="2"/>
      <c r="F31" s="7">
        <f t="shared" si="12"/>
        <v>0</v>
      </c>
      <c r="G31" s="2"/>
      <c r="H31" s="6">
        <v>231.35384615384601</v>
      </c>
      <c r="I31" s="2"/>
      <c r="J31" s="7">
        <f t="shared" si="13"/>
        <v>1.3132420171076006E-2</v>
      </c>
      <c r="K31" s="2"/>
      <c r="L31" s="6">
        <f t="shared" si="14"/>
        <v>-231.35384615384601</v>
      </c>
      <c r="M31" s="2"/>
      <c r="N31" s="7">
        <f t="shared" si="15"/>
        <v>-1</v>
      </c>
      <c r="O31" s="11"/>
      <c r="P31" s="6"/>
      <c r="Q31" s="2"/>
      <c r="R31" s="7">
        <f t="shared" si="16"/>
        <v>0</v>
      </c>
      <c r="S31" s="2"/>
      <c r="T31" s="6">
        <v>1272.4461538461501</v>
      </c>
      <c r="U31" s="2"/>
      <c r="V31" s="7">
        <f t="shared" si="17"/>
        <v>1.4168516767394331E-2</v>
      </c>
      <c r="W31" s="2"/>
      <c r="X31" s="6">
        <f t="shared" si="18"/>
        <v>-1272.4461538461501</v>
      </c>
      <c r="Y31" s="2"/>
      <c r="Z31" s="7">
        <f t="shared" si="19"/>
        <v>-1</v>
      </c>
    </row>
    <row r="32" spans="1:26" s="24" customFormat="1" hidden="1" outlineLevel="2" x14ac:dyDescent="0.3">
      <c r="A32" s="27"/>
      <c r="B32" s="11" t="str">
        <f>CONCATENATE("          ", "6119", " - ", "SICK LEAVE")</f>
        <v xml:space="preserve">          6119 - SICK LEAVE</v>
      </c>
      <c r="C32" s="11"/>
      <c r="D32" s="6"/>
      <c r="E32" s="2"/>
      <c r="F32" s="7">
        <f t="shared" si="12"/>
        <v>0</v>
      </c>
      <c r="G32" s="2"/>
      <c r="H32" s="6">
        <v>411.83384615384603</v>
      </c>
      <c r="I32" s="2"/>
      <c r="J32" s="7">
        <f t="shared" si="13"/>
        <v>2.3377070225001195E-2</v>
      </c>
      <c r="K32" s="2"/>
      <c r="L32" s="6">
        <f t="shared" si="14"/>
        <v>-411.83384615384603</v>
      </c>
      <c r="M32" s="2"/>
      <c r="N32" s="7">
        <f t="shared" si="15"/>
        <v>-1</v>
      </c>
      <c r="O32" s="11"/>
      <c r="P32" s="6"/>
      <c r="Q32" s="2"/>
      <c r="R32" s="7">
        <f t="shared" si="16"/>
        <v>0</v>
      </c>
      <c r="S32" s="2"/>
      <c r="T32" s="6">
        <v>2138.3061538461502</v>
      </c>
      <c r="U32" s="2"/>
      <c r="V32" s="7">
        <f t="shared" si="17"/>
        <v>2.3809751401279954E-2</v>
      </c>
      <c r="W32" s="2"/>
      <c r="X32" s="6">
        <f t="shared" si="18"/>
        <v>-2138.3061538461502</v>
      </c>
      <c r="Y32" s="2"/>
      <c r="Z32" s="7">
        <f t="shared" si="19"/>
        <v>-1</v>
      </c>
    </row>
    <row r="33" spans="1:26" s="24" customFormat="1" hidden="1" outlineLevel="2" x14ac:dyDescent="0.3">
      <c r="A33" s="27"/>
      <c r="B33" s="11" t="str">
        <f>CONCATENATE("          ", "6156", " - ", "EMPLOYEE MEALS")</f>
        <v xml:space="preserve">          6156 - EMPLOYEE MEALS</v>
      </c>
      <c r="C33" s="11"/>
      <c r="D33" s="6">
        <v>20</v>
      </c>
      <c r="E33" s="2"/>
      <c r="F33" s="7">
        <f t="shared" si="12"/>
        <v>1.3126081260943869E-3</v>
      </c>
      <c r="G33" s="2"/>
      <c r="H33" s="6"/>
      <c r="I33" s="2"/>
      <c r="J33" s="7">
        <f t="shared" si="13"/>
        <v>0</v>
      </c>
      <c r="K33" s="2"/>
      <c r="L33" s="6">
        <f t="shared" si="14"/>
        <v>20</v>
      </c>
      <c r="M33" s="2"/>
      <c r="N33" s="7">
        <f t="shared" si="15"/>
        <v>0</v>
      </c>
      <c r="O33" s="11"/>
      <c r="P33" s="6">
        <v>60</v>
      </c>
      <c r="Q33" s="2"/>
      <c r="R33" s="7">
        <f t="shared" si="16"/>
        <v>9.4784768277307379E-4</v>
      </c>
      <c r="S33" s="2"/>
      <c r="T33" s="6"/>
      <c r="U33" s="2"/>
      <c r="V33" s="7">
        <f t="shared" si="17"/>
        <v>0</v>
      </c>
      <c r="W33" s="2"/>
      <c r="X33" s="6">
        <f t="shared" si="18"/>
        <v>60</v>
      </c>
      <c r="Y33" s="2"/>
      <c r="Z33" s="7">
        <f t="shared" si="19"/>
        <v>0</v>
      </c>
    </row>
    <row r="34" spans="1:26" s="29" customFormat="1" outlineLevel="1" collapsed="1" x14ac:dyDescent="0.3">
      <c r="A34" s="28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3719.33</v>
      </c>
      <c r="E34" s="1"/>
      <c r="F34" s="5">
        <f t="shared" ref="F34:F44" si="20">IF(D$12=0,0,D34/D$12)</f>
        <v>0.24410113908133182</v>
      </c>
      <c r="G34" s="1"/>
      <c r="H34" s="1">
        <f>SUM(OSRRefH22_1x_0)</f>
        <v>9999.8892307692295</v>
      </c>
      <c r="I34" s="1"/>
      <c r="J34" s="5">
        <f t="shared" ref="J34:J44" si="21">IF(H$12=0,0,H34/H$12)</f>
        <v>0.56762724815628252</v>
      </c>
      <c r="K34" s="1"/>
      <c r="L34" s="1">
        <f t="shared" ref="L34:L44" si="22">+D34-H34</f>
        <v>-6280.5592307692295</v>
      </c>
      <c r="M34" s="1"/>
      <c r="N34" s="5">
        <f t="shared" ref="N34:N44" si="23">IF(H34=0,0,L34/H34)</f>
        <v>-0.6280628800811332</v>
      </c>
      <c r="O34" s="14"/>
      <c r="P34" s="1">
        <f>SUM(OSRRefP22_1x_0)</f>
        <v>18000.79</v>
      </c>
      <c r="Q34" s="1"/>
      <c r="R34" s="5">
        <f t="shared" ref="R34:R44" si="24">IF(P$12=0,0,P34/P$12)</f>
        <v>0.28436678482641198</v>
      </c>
      <c r="S34" s="1"/>
      <c r="T34" s="1">
        <f>SUM(OSRRefT22_1x_0)</f>
        <v>50900.170769230797</v>
      </c>
      <c r="U34" s="1"/>
      <c r="V34" s="5">
        <f t="shared" ref="V34:V44" si="25">IF(T$12=0,0,T34/T$12)</f>
        <v>0.56676655497540085</v>
      </c>
      <c r="W34" s="1"/>
      <c r="X34" s="1">
        <f t="shared" ref="X34:X44" si="26">+P34-T34</f>
        <v>-32899.380769230796</v>
      </c>
      <c r="Y34" s="1"/>
      <c r="Z34" s="5">
        <f t="shared" ref="Z34:Z44" si="27">IF(T34=0,0,X34/T34)</f>
        <v>-0.64635108825840137</v>
      </c>
    </row>
    <row r="35" spans="1:26" s="24" customFormat="1" hidden="1" outlineLevel="2" x14ac:dyDescent="0.3">
      <c r="A35" s="27"/>
      <c r="B35" s="11" t="str">
        <f>CONCATENATE("          ", "6001", " - ", "ADMINISTRATIVE SALARIES")</f>
        <v xml:space="preserve">          6001 - ADMINISTRATIVE SALARIES</v>
      </c>
      <c r="C35" s="11"/>
      <c r="D35" s="6"/>
      <c r="E35" s="2"/>
      <c r="F35" s="7">
        <f t="shared" si="20"/>
        <v>0</v>
      </c>
      <c r="G35" s="2"/>
      <c r="H35" s="6">
        <v>0</v>
      </c>
      <c r="I35" s="2"/>
      <c r="J35" s="7">
        <f t="shared" si="21"/>
        <v>0</v>
      </c>
      <c r="K35" s="2"/>
      <c r="L35" s="6">
        <f t="shared" si="22"/>
        <v>0</v>
      </c>
      <c r="M35" s="2"/>
      <c r="N35" s="7">
        <f t="shared" si="23"/>
        <v>0</v>
      </c>
      <c r="O35" s="11"/>
      <c r="P35" s="6"/>
      <c r="Q35" s="2"/>
      <c r="R35" s="7">
        <f t="shared" si="24"/>
        <v>0</v>
      </c>
      <c r="S35" s="2"/>
      <c r="T35" s="6">
        <v>0</v>
      </c>
      <c r="U35" s="2"/>
      <c r="V35" s="7">
        <f t="shared" si="25"/>
        <v>0</v>
      </c>
      <c r="W35" s="2"/>
      <c r="X35" s="6">
        <f t="shared" si="26"/>
        <v>0</v>
      </c>
      <c r="Y35" s="2"/>
      <c r="Z35" s="7">
        <f t="shared" si="27"/>
        <v>0</v>
      </c>
    </row>
    <row r="36" spans="1:26" s="24" customFormat="1" hidden="1" outlineLevel="2" x14ac:dyDescent="0.3">
      <c r="A36" s="27"/>
      <c r="B36" s="11" t="str">
        <f>CONCATENATE("          ", "6002", " - ", "STAFF SALARIES")</f>
        <v xml:space="preserve">          6002 - STAFF SALARIES</v>
      </c>
      <c r="C36" s="11"/>
      <c r="D36" s="6"/>
      <c r="E36" s="2"/>
      <c r="F36" s="7">
        <f t="shared" si="20"/>
        <v>0</v>
      </c>
      <c r="G36" s="2"/>
      <c r="H36" s="6">
        <v>4164.3692307692299</v>
      </c>
      <c r="I36" s="2"/>
      <c r="J36" s="7">
        <f t="shared" si="21"/>
        <v>0.23638356307936823</v>
      </c>
      <c r="K36" s="2"/>
      <c r="L36" s="6">
        <f t="shared" si="22"/>
        <v>-4164.3692307692299</v>
      </c>
      <c r="M36" s="2"/>
      <c r="N36" s="7">
        <f t="shared" si="23"/>
        <v>-1</v>
      </c>
      <c r="O36" s="11"/>
      <c r="P36" s="6"/>
      <c r="Q36" s="2"/>
      <c r="R36" s="7">
        <f t="shared" si="24"/>
        <v>0</v>
      </c>
      <c r="S36" s="2"/>
      <c r="T36" s="6">
        <v>22904.030769230802</v>
      </c>
      <c r="U36" s="2"/>
      <c r="V36" s="7">
        <f t="shared" si="25"/>
        <v>0.25503330181309908</v>
      </c>
      <c r="W36" s="2"/>
      <c r="X36" s="6">
        <f t="shared" si="26"/>
        <v>-22904.030769230802</v>
      </c>
      <c r="Y36" s="2"/>
      <c r="Z36" s="7">
        <f t="shared" si="27"/>
        <v>-1</v>
      </c>
    </row>
    <row r="37" spans="1:26" s="24" customFormat="1" hidden="1" outlineLevel="2" x14ac:dyDescent="0.3">
      <c r="A37" s="27"/>
      <c r="B37" s="11" t="str">
        <f>CONCATENATE("          ", "6003", " - ", "STAFF HOURLY-9 MONTH")</f>
        <v xml:space="preserve">          6003 - STAFF HOURLY-9 MONTH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3">
      <c r="A38" s="27"/>
      <c r="B38" s="11" t="str">
        <f>CONCATENATE("          ", "6004", " - ", "STAFF HOURLY")</f>
        <v xml:space="preserve">          6004 - STAFF HOURLY</v>
      </c>
      <c r="C38" s="11"/>
      <c r="D38" s="6"/>
      <c r="E38" s="2"/>
      <c r="F38" s="7">
        <f t="shared" si="20"/>
        <v>0</v>
      </c>
      <c r="G38" s="2"/>
      <c r="H38" s="6">
        <v>1164</v>
      </c>
      <c r="I38" s="2"/>
      <c r="J38" s="7">
        <f t="shared" si="21"/>
        <v>6.6072543565873873E-2</v>
      </c>
      <c r="K38" s="2"/>
      <c r="L38" s="6">
        <f t="shared" si="22"/>
        <v>-1164</v>
      </c>
      <c r="M38" s="2"/>
      <c r="N38" s="7">
        <f t="shared" si="23"/>
        <v>-1</v>
      </c>
      <c r="O38" s="11"/>
      <c r="P38" s="6"/>
      <c r="Q38" s="2"/>
      <c r="R38" s="7">
        <f t="shared" si="24"/>
        <v>0</v>
      </c>
      <c r="S38" s="2"/>
      <c r="T38" s="6">
        <v>5820</v>
      </c>
      <c r="U38" s="2"/>
      <c r="V38" s="7">
        <f t="shared" si="25"/>
        <v>6.480491715660075E-2</v>
      </c>
      <c r="W38" s="2"/>
      <c r="X38" s="6">
        <f t="shared" si="26"/>
        <v>-5820</v>
      </c>
      <c r="Y38" s="2"/>
      <c r="Z38" s="7">
        <f t="shared" si="27"/>
        <v>-1</v>
      </c>
    </row>
    <row r="39" spans="1:26" s="24" customFormat="1" hidden="1" outlineLevel="2" x14ac:dyDescent="0.3">
      <c r="A39" s="27"/>
      <c r="B39" s="11" t="str">
        <f>CONCATENATE("          ", "6005", " - ", "TEMPORARY WAGES-HOURLY")</f>
        <v xml:space="preserve">          6005 - TEMPORARY WAGES-HOURLY</v>
      </c>
      <c r="C39" s="11"/>
      <c r="D39" s="6">
        <v>2283.4499999999998</v>
      </c>
      <c r="E39" s="2"/>
      <c r="F39" s="7">
        <f t="shared" si="20"/>
        <v>0.14986375127651139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2283.4499999999998</v>
      </c>
      <c r="M39" s="2"/>
      <c r="N39" s="7">
        <f t="shared" si="23"/>
        <v>0</v>
      </c>
      <c r="O39" s="11"/>
      <c r="P39" s="6">
        <v>10373.549999999999</v>
      </c>
      <c r="Q39" s="2"/>
      <c r="R39" s="7">
        <f t="shared" si="24"/>
        <v>0.16387575549384364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10373.549999999999</v>
      </c>
      <c r="Y39" s="2"/>
      <c r="Z39" s="7">
        <f t="shared" si="27"/>
        <v>0</v>
      </c>
    </row>
    <row r="40" spans="1:26" s="24" customFormat="1" hidden="1" outlineLevel="2" x14ac:dyDescent="0.3">
      <c r="A40" s="27"/>
      <c r="B40" s="11" t="str">
        <f>CONCATENATE("          ", "6006", " - ", "TEMPORARY PART TIME")</f>
        <v xml:space="preserve">          6006 - TEMPORARY PART TIME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3">
      <c r="A41" s="27"/>
      <c r="B41" s="11" t="str">
        <f>CONCATENATE("          ", "6007", " - ", "STUDENT HOURLY")</f>
        <v xml:space="preserve">          6007 - STUDENT HOURLY</v>
      </c>
      <c r="C41" s="11"/>
      <c r="D41" s="6">
        <v>1435.88</v>
      </c>
      <c r="E41" s="2"/>
      <c r="F41" s="7">
        <f t="shared" si="20"/>
        <v>9.4237387804820424E-2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1435.88</v>
      </c>
      <c r="M41" s="2"/>
      <c r="N41" s="7">
        <f t="shared" si="23"/>
        <v>0</v>
      </c>
      <c r="O41" s="11"/>
      <c r="P41" s="6">
        <v>7627.24</v>
      </c>
      <c r="Q41" s="2"/>
      <c r="R41" s="7">
        <f t="shared" si="24"/>
        <v>0.12049102933256832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7627.24</v>
      </c>
      <c r="Y41" s="2"/>
      <c r="Z41" s="7">
        <f t="shared" si="27"/>
        <v>0</v>
      </c>
    </row>
    <row r="42" spans="1:26" s="24" customFormat="1" hidden="1" outlineLevel="2" x14ac:dyDescent="0.3">
      <c r="A42" s="27"/>
      <c r="B42" s="11" t="str">
        <f>CONCATENATE("          ", "6008", " - ", "STUDENT HOURLY-FICA EXEMPT")</f>
        <v xml:space="preserve">          6008 - STUDENT HOURLY-FICA EXEMPT</v>
      </c>
      <c r="C42" s="11"/>
      <c r="D42" s="6"/>
      <c r="E42" s="2"/>
      <c r="F42" s="7">
        <f t="shared" si="20"/>
        <v>0</v>
      </c>
      <c r="G42" s="2"/>
      <c r="H42" s="6">
        <v>4671.5200000000004</v>
      </c>
      <c r="I42" s="2"/>
      <c r="J42" s="7">
        <f t="shared" si="21"/>
        <v>0.26517114151104049</v>
      </c>
      <c r="K42" s="2"/>
      <c r="L42" s="6">
        <f t="shared" si="22"/>
        <v>-4671.5200000000004</v>
      </c>
      <c r="M42" s="2"/>
      <c r="N42" s="7">
        <f t="shared" si="23"/>
        <v>-1</v>
      </c>
      <c r="O42" s="11"/>
      <c r="P42" s="6"/>
      <c r="Q42" s="2"/>
      <c r="R42" s="7">
        <f t="shared" si="24"/>
        <v>0</v>
      </c>
      <c r="S42" s="2"/>
      <c r="T42" s="6">
        <v>22176.14</v>
      </c>
      <c r="U42" s="2"/>
      <c r="V42" s="7">
        <f t="shared" si="25"/>
        <v>0.24692833600570105</v>
      </c>
      <c r="W42" s="2"/>
      <c r="X42" s="6">
        <f t="shared" si="26"/>
        <v>-22176.14</v>
      </c>
      <c r="Y42" s="2"/>
      <c r="Z42" s="7">
        <f t="shared" si="27"/>
        <v>-1</v>
      </c>
    </row>
    <row r="43" spans="1:26" s="24" customFormat="1" hidden="1" outlineLevel="2" x14ac:dyDescent="0.3">
      <c r="A43" s="27"/>
      <c r="B43" s="11" t="str">
        <f>CONCATENATE("          ", "6009", " - ", "TEMPORARY-SEASONAL")</f>
        <v xml:space="preserve">          6009 - TEMPORARY-SEASONAL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4" customFormat="1" hidden="1" outlineLevel="2" x14ac:dyDescent="0.3">
      <c r="A44" s="27"/>
      <c r="B44" s="11" t="str">
        <f>CONCATENATE("          ", "6010", " - ", "GRATUITY")</f>
        <v xml:space="preserve">          6010 - GRATUITY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9" customFormat="1" outlineLevel="1" collapsed="1" x14ac:dyDescent="0.3">
      <c r="A45" s="28"/>
      <c r="B45" s="14" t="str">
        <f>CONCATENATE("     ","Advertising/Promo                                 ")</f>
        <v xml:space="preserve">     Advertising/Promo                                 </v>
      </c>
      <c r="C45" s="14"/>
      <c r="D45" s="1">
        <f>SUM(OSRRefD22_2x_0)</f>
        <v>3.25</v>
      </c>
      <c r="E45" s="1"/>
      <c r="F45" s="5">
        <f t="shared" ref="F45:F53" si="28">IF(D$12=0,0,D45/D$12)</f>
        <v>2.1329882049033789E-4</v>
      </c>
      <c r="G45" s="1"/>
      <c r="H45" s="1">
        <f>SUM(OSRRefH22_2x_0)</f>
        <v>0</v>
      </c>
      <c r="I45" s="1"/>
      <c r="J45" s="5">
        <f t="shared" ref="J45:J53" si="29">IF(H$12=0,0,H45/H$12)</f>
        <v>0</v>
      </c>
      <c r="K45" s="1"/>
      <c r="L45" s="1">
        <f t="shared" ref="L45:L53" si="30">+D45-H45</f>
        <v>3.25</v>
      </c>
      <c r="M45" s="1"/>
      <c r="N45" s="5">
        <f t="shared" ref="N45:N53" si="31">IF(H45=0,0,L45/H45)</f>
        <v>0</v>
      </c>
      <c r="O45" s="14"/>
      <c r="P45" s="1">
        <f>SUM(OSRRefP22_2x_0)</f>
        <v>91.22</v>
      </c>
      <c r="Q45" s="1"/>
      <c r="R45" s="5">
        <f t="shared" ref="R45:R53" si="32">IF(P$12=0,0,P45/P$12)</f>
        <v>1.4410444270426632E-3</v>
      </c>
      <c r="S45" s="1"/>
      <c r="T45" s="1">
        <f>SUM(OSRRefT22_2x_0)</f>
        <v>0</v>
      </c>
      <c r="U45" s="1"/>
      <c r="V45" s="5">
        <f t="shared" ref="V45:V53" si="33">IF(T$12=0,0,T45/T$12)</f>
        <v>0</v>
      </c>
      <c r="W45" s="1"/>
      <c r="X45" s="1">
        <f t="shared" ref="X45:X53" si="34">+P45-T45</f>
        <v>91.22</v>
      </c>
      <c r="Y45" s="1"/>
      <c r="Z45" s="5">
        <f t="shared" ref="Z45:Z53" si="35">IF(T45=0,0,X45/T45)</f>
        <v>0</v>
      </c>
    </row>
    <row r="46" spans="1:26" s="24" customFormat="1" hidden="1" outlineLevel="2" x14ac:dyDescent="0.3">
      <c r="A46" s="27"/>
      <c r="B46" s="11" t="str">
        <f>CONCATENATE("          ", "6362", " - ", "ADVERTISING EXPENSE")</f>
        <v xml:space="preserve">          6362 - ADVERTISING EXPENSE</v>
      </c>
      <c r="C46" s="11"/>
      <c r="D46" s="6">
        <v>3.25</v>
      </c>
      <c r="E46" s="2"/>
      <c r="F46" s="7">
        <f t="shared" si="28"/>
        <v>2.1329882049033789E-4</v>
      </c>
      <c r="G46" s="2"/>
      <c r="H46" s="6"/>
      <c r="I46" s="2"/>
      <c r="J46" s="7">
        <f t="shared" si="29"/>
        <v>0</v>
      </c>
      <c r="K46" s="2"/>
      <c r="L46" s="6">
        <f t="shared" si="30"/>
        <v>3.25</v>
      </c>
      <c r="M46" s="2"/>
      <c r="N46" s="7">
        <f t="shared" si="31"/>
        <v>0</v>
      </c>
      <c r="O46" s="11"/>
      <c r="P46" s="6">
        <v>91.22</v>
      </c>
      <c r="Q46" s="2"/>
      <c r="R46" s="7">
        <f t="shared" si="32"/>
        <v>1.4410444270426632E-3</v>
      </c>
      <c r="S46" s="2"/>
      <c r="T46" s="6"/>
      <c r="U46" s="2"/>
      <c r="V46" s="7">
        <f t="shared" si="33"/>
        <v>0</v>
      </c>
      <c r="W46" s="2"/>
      <c r="X46" s="6">
        <f t="shared" si="34"/>
        <v>91.22</v>
      </c>
      <c r="Y46" s="2"/>
      <c r="Z46" s="7">
        <f t="shared" si="35"/>
        <v>0</v>
      </c>
    </row>
    <row r="47" spans="1:26" s="29" customFormat="1" outlineLevel="1" collapsed="1" x14ac:dyDescent="0.3">
      <c r="A47" s="28"/>
      <c r="B47" s="14" t="str">
        <f>CONCATENATE("     ","Bad Debts/Over/Short                              ")</f>
        <v xml:space="preserve">     Bad Debts/Over/Short                              </v>
      </c>
      <c r="C47" s="14"/>
      <c r="D47" s="1">
        <f>SUM(OSRRefD22_3x_0)</f>
        <v>2.06</v>
      </c>
      <c r="E47" s="1"/>
      <c r="F47" s="5">
        <f t="shared" si="28"/>
        <v>1.3519863698772188E-4</v>
      </c>
      <c r="G47" s="1"/>
      <c r="H47" s="1">
        <f>SUM(OSRRefH22_3x_0)</f>
        <v>0</v>
      </c>
      <c r="I47" s="1"/>
      <c r="J47" s="5">
        <f t="shared" si="29"/>
        <v>0</v>
      </c>
      <c r="K47" s="1"/>
      <c r="L47" s="1">
        <f t="shared" si="30"/>
        <v>2.06</v>
      </c>
      <c r="M47" s="1"/>
      <c r="N47" s="5">
        <f t="shared" si="31"/>
        <v>0</v>
      </c>
      <c r="O47" s="14"/>
      <c r="P47" s="1">
        <f>SUM(OSRRefP22_3x_0)</f>
        <v>9.24</v>
      </c>
      <c r="Q47" s="1"/>
      <c r="R47" s="5">
        <f t="shared" si="32"/>
        <v>1.4596854314705336E-4</v>
      </c>
      <c r="S47" s="1"/>
      <c r="T47" s="1">
        <f>SUM(OSRRefT22_3x_0)</f>
        <v>0</v>
      </c>
      <c r="U47" s="1"/>
      <c r="V47" s="5">
        <f t="shared" si="33"/>
        <v>0</v>
      </c>
      <c r="W47" s="1"/>
      <c r="X47" s="1">
        <f t="shared" si="34"/>
        <v>9.24</v>
      </c>
      <c r="Y47" s="1"/>
      <c r="Z47" s="5">
        <f t="shared" si="35"/>
        <v>0</v>
      </c>
    </row>
    <row r="48" spans="1:26" s="24" customFormat="1" hidden="1" outlineLevel="2" x14ac:dyDescent="0.3">
      <c r="A48" s="27"/>
      <c r="B48" s="11" t="str">
        <f>CONCATENATE("          ", "6272", " - ", "CASH (OVER/SHORT)")</f>
        <v xml:space="preserve">          6272 - CASH (OVER/SHORT)</v>
      </c>
      <c r="C48" s="11"/>
      <c r="D48" s="6">
        <v>2.06</v>
      </c>
      <c r="E48" s="2"/>
      <c r="F48" s="7">
        <f t="shared" si="28"/>
        <v>1.3519863698772188E-4</v>
      </c>
      <c r="G48" s="2"/>
      <c r="H48" s="6">
        <v>0</v>
      </c>
      <c r="I48" s="2"/>
      <c r="J48" s="7">
        <f t="shared" si="29"/>
        <v>0</v>
      </c>
      <c r="K48" s="2"/>
      <c r="L48" s="6">
        <f t="shared" si="30"/>
        <v>2.06</v>
      </c>
      <c r="M48" s="2"/>
      <c r="N48" s="7">
        <f t="shared" si="31"/>
        <v>0</v>
      </c>
      <c r="O48" s="11"/>
      <c r="P48" s="6">
        <v>9.24</v>
      </c>
      <c r="Q48" s="2"/>
      <c r="R48" s="7">
        <f t="shared" si="32"/>
        <v>1.4596854314705336E-4</v>
      </c>
      <c r="S48" s="2"/>
      <c r="T48" s="6">
        <v>0</v>
      </c>
      <c r="U48" s="2"/>
      <c r="V48" s="7">
        <f t="shared" si="33"/>
        <v>0</v>
      </c>
      <c r="W48" s="2"/>
      <c r="X48" s="6">
        <f t="shared" si="34"/>
        <v>9.24</v>
      </c>
      <c r="Y48" s="2"/>
      <c r="Z48" s="7">
        <f t="shared" si="35"/>
        <v>0</v>
      </c>
    </row>
    <row r="49" spans="1:26" s="29" customFormat="1" outlineLevel="1" collapsed="1" x14ac:dyDescent="0.3">
      <c r="A49" s="28"/>
      <c r="B49" s="14" t="str">
        <f>CONCATENATE("     ","Bank/card Fees                                    ")</f>
        <v xml:space="preserve">     Bank/card Fees                                    </v>
      </c>
      <c r="C49" s="14"/>
      <c r="D49" s="1">
        <f>SUM(OSRRefD22_4x_0)</f>
        <v>646.41</v>
      </c>
      <c r="E49" s="1"/>
      <c r="F49" s="5">
        <f t="shared" si="28"/>
        <v>4.2424150939433636E-2</v>
      </c>
      <c r="G49" s="1"/>
      <c r="H49" s="1">
        <f>SUM(OSRRefH22_4x_0)</f>
        <v>928</v>
      </c>
      <c r="I49" s="1"/>
      <c r="J49" s="5">
        <f t="shared" si="29"/>
        <v>5.2676392121246522E-2</v>
      </c>
      <c r="K49" s="1"/>
      <c r="L49" s="1">
        <f t="shared" si="30"/>
        <v>-281.59000000000003</v>
      </c>
      <c r="M49" s="1"/>
      <c r="N49" s="5">
        <f t="shared" si="31"/>
        <v>-0.30343750000000003</v>
      </c>
      <c r="O49" s="14"/>
      <c r="P49" s="1">
        <f>SUM(OSRRefP22_4x_0)</f>
        <v>2648.2</v>
      </c>
      <c r="Q49" s="1"/>
      <c r="R49" s="5">
        <f t="shared" si="32"/>
        <v>4.1834837225327562E-2</v>
      </c>
      <c r="S49" s="1"/>
      <c r="T49" s="1">
        <f>SUM(OSRRefT22_4x_0)</f>
        <v>4102</v>
      </c>
      <c r="U49" s="1"/>
      <c r="V49" s="5">
        <f t="shared" si="33"/>
        <v>4.5675218243363618E-2</v>
      </c>
      <c r="W49" s="1"/>
      <c r="X49" s="1">
        <f t="shared" si="34"/>
        <v>-1453.8000000000002</v>
      </c>
      <c r="Y49" s="1"/>
      <c r="Z49" s="5">
        <f t="shared" si="35"/>
        <v>-0.35441248171623602</v>
      </c>
    </row>
    <row r="50" spans="1:26" s="24" customFormat="1" hidden="1" outlineLevel="2" x14ac:dyDescent="0.3">
      <c r="A50" s="27"/>
      <c r="B50" s="11" t="str">
        <f>CONCATENATE("          ", "6381", " - ", "BANK/CREDIT CARD FEES")</f>
        <v xml:space="preserve">          6381 - BANK/CREDIT CARD FEES</v>
      </c>
      <c r="C50" s="11"/>
      <c r="D50" s="6">
        <v>646.41</v>
      </c>
      <c r="E50" s="2"/>
      <c r="F50" s="7">
        <f t="shared" si="28"/>
        <v>4.2424150939433636E-2</v>
      </c>
      <c r="G50" s="2"/>
      <c r="H50" s="6">
        <v>928</v>
      </c>
      <c r="I50" s="2"/>
      <c r="J50" s="7">
        <f t="shared" si="29"/>
        <v>5.2676392121246522E-2</v>
      </c>
      <c r="K50" s="2"/>
      <c r="L50" s="6">
        <f t="shared" si="30"/>
        <v>-281.59000000000003</v>
      </c>
      <c r="M50" s="2"/>
      <c r="N50" s="7">
        <f t="shared" si="31"/>
        <v>-0.30343750000000003</v>
      </c>
      <c r="O50" s="11"/>
      <c r="P50" s="6">
        <v>2648.2</v>
      </c>
      <c r="Q50" s="2"/>
      <c r="R50" s="7">
        <f t="shared" si="32"/>
        <v>4.1834837225327562E-2</v>
      </c>
      <c r="S50" s="2"/>
      <c r="T50" s="6">
        <v>4102</v>
      </c>
      <c r="U50" s="2"/>
      <c r="V50" s="7">
        <f t="shared" si="33"/>
        <v>4.5675218243363618E-2</v>
      </c>
      <c r="W50" s="2"/>
      <c r="X50" s="6">
        <f t="shared" si="34"/>
        <v>-1453.8000000000002</v>
      </c>
      <c r="Y50" s="2"/>
      <c r="Z50" s="7">
        <f t="shared" si="35"/>
        <v>-0.35441248171623602</v>
      </c>
    </row>
    <row r="51" spans="1:26" s="29" customFormat="1" outlineLevel="1" collapsed="1" x14ac:dyDescent="0.3">
      <c r="A51" s="28"/>
      <c r="B51" s="14" t="str">
        <f>CONCATENATE("     ","Depreciation                                      ")</f>
        <v xml:space="preserve">     Depreciation                                      </v>
      </c>
      <c r="C51" s="14"/>
      <c r="D51" s="1">
        <f>SUM(OSRRefD22_5x_0)</f>
        <v>5471.21</v>
      </c>
      <c r="E51" s="1"/>
      <c r="F51" s="5">
        <f t="shared" si="28"/>
        <v>0.35907773527844355</v>
      </c>
      <c r="G51" s="1"/>
      <c r="H51" s="1">
        <f>SUM(OSRRefH22_5x_0)</f>
        <v>5471</v>
      </c>
      <c r="I51" s="1"/>
      <c r="J51" s="5">
        <f t="shared" si="29"/>
        <v>0.31055230743032297</v>
      </c>
      <c r="K51" s="1"/>
      <c r="L51" s="1">
        <f t="shared" si="30"/>
        <v>0.21000000000003638</v>
      </c>
      <c r="M51" s="1"/>
      <c r="N51" s="5">
        <f t="shared" si="31"/>
        <v>3.8384207640291792E-5</v>
      </c>
      <c r="O51" s="14"/>
      <c r="P51" s="1">
        <f>SUM(OSRRefP22_5x_0)</f>
        <v>27356.05</v>
      </c>
      <c r="Q51" s="1"/>
      <c r="R51" s="5">
        <f t="shared" si="32"/>
        <v>0.43215614337207242</v>
      </c>
      <c r="S51" s="1"/>
      <c r="T51" s="1">
        <f>SUM(OSRRefT22_5x_0)</f>
        <v>27355</v>
      </c>
      <c r="U51" s="1"/>
      <c r="V51" s="5">
        <f t="shared" si="33"/>
        <v>0.30459424550151432</v>
      </c>
      <c r="W51" s="1"/>
      <c r="X51" s="1">
        <f t="shared" si="34"/>
        <v>1.0499999999992724</v>
      </c>
      <c r="Y51" s="1"/>
      <c r="Z51" s="5">
        <f t="shared" si="35"/>
        <v>3.8384207640258541E-5</v>
      </c>
    </row>
    <row r="52" spans="1:26" s="24" customFormat="1" hidden="1" outlineLevel="2" x14ac:dyDescent="0.3">
      <c r="A52" s="27"/>
      <c r="B52" s="11" t="str">
        <f>CONCATENATE("          ", "6321", " - ", "BUILDING DEPRECIATION")</f>
        <v xml:space="preserve">          6321 - BUILDING DEPRECIATION</v>
      </c>
      <c r="C52" s="11"/>
      <c r="D52" s="6">
        <v>5080.51</v>
      </c>
      <c r="E52" s="2"/>
      <c r="F52" s="7">
        <f t="shared" si="28"/>
        <v>0.33343593553518974</v>
      </c>
      <c r="G52" s="2"/>
      <c r="H52" s="6"/>
      <c r="I52" s="2"/>
      <c r="J52" s="7">
        <f t="shared" si="29"/>
        <v>0</v>
      </c>
      <c r="K52" s="2"/>
      <c r="L52" s="6">
        <f t="shared" si="30"/>
        <v>5080.51</v>
      </c>
      <c r="M52" s="2"/>
      <c r="N52" s="7">
        <f t="shared" si="31"/>
        <v>0</v>
      </c>
      <c r="O52" s="11"/>
      <c r="P52" s="6">
        <v>25402.55</v>
      </c>
      <c r="Q52" s="2"/>
      <c r="R52" s="7">
        <f t="shared" si="32"/>
        <v>0.40129580256711905</v>
      </c>
      <c r="S52" s="2"/>
      <c r="T52" s="6"/>
      <c r="U52" s="2"/>
      <c r="V52" s="7">
        <f t="shared" si="33"/>
        <v>0</v>
      </c>
      <c r="W52" s="2"/>
      <c r="X52" s="6">
        <f t="shared" si="34"/>
        <v>25402.55</v>
      </c>
      <c r="Y52" s="2"/>
      <c r="Z52" s="7">
        <f t="shared" si="35"/>
        <v>0</v>
      </c>
    </row>
    <row r="53" spans="1:26" s="24" customFormat="1" hidden="1" outlineLevel="2" x14ac:dyDescent="0.3">
      <c r="A53" s="27"/>
      <c r="B53" s="11" t="str">
        <f>CONCATENATE("          ", "6322", " - ", "EQUIPMENT DEPRECIATION EXPENSE")</f>
        <v xml:space="preserve">          6322 - EQUIPMENT DEPRECIATION EXPENSE</v>
      </c>
      <c r="C53" s="11"/>
      <c r="D53" s="6">
        <v>390.7</v>
      </c>
      <c r="E53" s="2"/>
      <c r="F53" s="7">
        <f t="shared" si="28"/>
        <v>2.5641799743253851E-2</v>
      </c>
      <c r="G53" s="2"/>
      <c r="H53" s="6">
        <v>5471</v>
      </c>
      <c r="I53" s="2"/>
      <c r="J53" s="7">
        <f t="shared" si="29"/>
        <v>0.31055230743032297</v>
      </c>
      <c r="K53" s="2"/>
      <c r="L53" s="6">
        <f t="shared" si="30"/>
        <v>-5080.3</v>
      </c>
      <c r="M53" s="2"/>
      <c r="N53" s="7">
        <f t="shared" si="31"/>
        <v>-0.92858709559495523</v>
      </c>
      <c r="O53" s="11"/>
      <c r="P53" s="6">
        <v>1953.5</v>
      </c>
      <c r="Q53" s="2"/>
      <c r="R53" s="7">
        <f t="shared" si="32"/>
        <v>3.0860340804953326E-2</v>
      </c>
      <c r="S53" s="2"/>
      <c r="T53" s="6">
        <v>27355</v>
      </c>
      <c r="U53" s="2"/>
      <c r="V53" s="7">
        <f t="shared" si="33"/>
        <v>0.30459424550151432</v>
      </c>
      <c r="W53" s="2"/>
      <c r="X53" s="6">
        <f t="shared" si="34"/>
        <v>-25401.5</v>
      </c>
      <c r="Y53" s="2"/>
      <c r="Z53" s="7">
        <f t="shared" si="35"/>
        <v>-0.92858709559495523</v>
      </c>
    </row>
    <row r="54" spans="1:26" s="29" customFormat="1" outlineLevel="1" collapsed="1" x14ac:dyDescent="0.3">
      <c r="A54" s="28"/>
      <c r="B54" s="14" t="str">
        <f>CONCATENATE("     ","Equipment Rental                                  ")</f>
        <v xml:space="preserve">     Equipment Rental                                  </v>
      </c>
      <c r="C54" s="14"/>
      <c r="D54" s="1">
        <f>SUM(OSRRefD22_6x_0)</f>
        <v>0</v>
      </c>
      <c r="E54" s="1"/>
      <c r="F54" s="5">
        <f t="shared" ref="F54:F65" si="36">IF(D$12=0,0,D54/D$12)</f>
        <v>0</v>
      </c>
      <c r="G54" s="1"/>
      <c r="H54" s="1">
        <f>SUM(OSRRefH22_6x_0)</f>
        <v>176</v>
      </c>
      <c r="I54" s="1"/>
      <c r="J54" s="5">
        <f t="shared" ref="J54:J65" si="37">IF(H$12=0,0,H54/H$12)</f>
        <v>9.9903502298915817E-3</v>
      </c>
      <c r="K54" s="1"/>
      <c r="L54" s="1">
        <f t="shared" ref="L54:L65" si="38">+D54-H54</f>
        <v>-176</v>
      </c>
      <c r="M54" s="1"/>
      <c r="N54" s="5">
        <f t="shared" ref="N54:N65" si="39">IF(H54=0,0,L54/H54)</f>
        <v>-1</v>
      </c>
      <c r="O54" s="14"/>
      <c r="P54" s="1">
        <f>SUM(OSRRefP22_6x_0)</f>
        <v>0</v>
      </c>
      <c r="Q54" s="1"/>
      <c r="R54" s="5">
        <f t="shared" ref="R54:R65" si="40">IF(P$12=0,0,P54/P$12)</f>
        <v>0</v>
      </c>
      <c r="S54" s="1"/>
      <c r="T54" s="1">
        <f>SUM(OSRRefT22_6x_0)</f>
        <v>880</v>
      </c>
      <c r="U54" s="1"/>
      <c r="V54" s="5">
        <f t="shared" ref="V54:V65" si="41">IF(T$12=0,0,T54/T$12)</f>
        <v>9.7986816319258867E-3</v>
      </c>
      <c r="W54" s="1"/>
      <c r="X54" s="1">
        <f t="shared" ref="X54:X65" si="42">+P54-T54</f>
        <v>-880</v>
      </c>
      <c r="Y54" s="1"/>
      <c r="Z54" s="5">
        <f t="shared" ref="Z54:Z65" si="43">IF(T54=0,0,X54/T54)</f>
        <v>-1</v>
      </c>
    </row>
    <row r="55" spans="1:26" s="24" customFormat="1" hidden="1" outlineLevel="2" x14ac:dyDescent="0.3">
      <c r="A55" s="27"/>
      <c r="B55" s="11" t="str">
        <f>CONCATENATE("          ", "6351", " - ", "EQUIPMENT RENTAL")</f>
        <v xml:space="preserve">          6351 - EQUIPMENT RENTAL</v>
      </c>
      <c r="C55" s="11"/>
      <c r="D55" s="6"/>
      <c r="E55" s="2"/>
      <c r="F55" s="7">
        <f t="shared" si="36"/>
        <v>0</v>
      </c>
      <c r="G55" s="2"/>
      <c r="H55" s="6">
        <v>176</v>
      </c>
      <c r="I55" s="2"/>
      <c r="J55" s="7">
        <f t="shared" si="37"/>
        <v>9.9903502298915817E-3</v>
      </c>
      <c r="K55" s="2"/>
      <c r="L55" s="6">
        <f t="shared" si="38"/>
        <v>-176</v>
      </c>
      <c r="M55" s="2"/>
      <c r="N55" s="7">
        <f t="shared" si="39"/>
        <v>-1</v>
      </c>
      <c r="O55" s="11"/>
      <c r="P55" s="6"/>
      <c r="Q55" s="2"/>
      <c r="R55" s="7">
        <f t="shared" si="40"/>
        <v>0</v>
      </c>
      <c r="S55" s="2"/>
      <c r="T55" s="6">
        <v>880</v>
      </c>
      <c r="U55" s="2"/>
      <c r="V55" s="7">
        <f t="shared" si="41"/>
        <v>9.7986816319258867E-3</v>
      </c>
      <c r="W55" s="2"/>
      <c r="X55" s="6">
        <f t="shared" si="42"/>
        <v>-880</v>
      </c>
      <c r="Y55" s="2"/>
      <c r="Z55" s="7">
        <f t="shared" si="43"/>
        <v>-1</v>
      </c>
    </row>
    <row r="56" spans="1:26" s="29" customFormat="1" outlineLevel="1" collapsed="1" x14ac:dyDescent="0.3">
      <c r="A56" s="28"/>
      <c r="B56" s="14" t="str">
        <f>CONCATENATE("     ","General                                           ")</f>
        <v xml:space="preserve">     General                                           </v>
      </c>
      <c r="C56" s="14"/>
      <c r="D56" s="1">
        <f>SUM(OSRRefD22_7x_0)</f>
        <v>0</v>
      </c>
      <c r="E56" s="1"/>
      <c r="F56" s="5">
        <f t="shared" si="36"/>
        <v>0</v>
      </c>
      <c r="G56" s="1"/>
      <c r="H56" s="1">
        <f>SUM(OSRRefH22_7x_0)</f>
        <v>0</v>
      </c>
      <c r="I56" s="1"/>
      <c r="J56" s="5">
        <f t="shared" si="37"/>
        <v>0</v>
      </c>
      <c r="K56" s="1"/>
      <c r="L56" s="1">
        <f t="shared" si="38"/>
        <v>0</v>
      </c>
      <c r="M56" s="1"/>
      <c r="N56" s="5">
        <f t="shared" si="39"/>
        <v>0</v>
      </c>
      <c r="O56" s="14"/>
      <c r="P56" s="1">
        <f>SUM(OSRRefP22_7x_0)</f>
        <v>842.45</v>
      </c>
      <c r="Q56" s="1"/>
      <c r="R56" s="5">
        <f t="shared" si="40"/>
        <v>1.3308571339202935E-2</v>
      </c>
      <c r="S56" s="1"/>
      <c r="T56" s="1">
        <f>SUM(OSRRefT22_7x_0)</f>
        <v>0</v>
      </c>
      <c r="U56" s="1"/>
      <c r="V56" s="5">
        <f t="shared" si="41"/>
        <v>0</v>
      </c>
      <c r="W56" s="1"/>
      <c r="X56" s="1">
        <f t="shared" si="42"/>
        <v>842.45</v>
      </c>
      <c r="Y56" s="1"/>
      <c r="Z56" s="5">
        <f t="shared" si="43"/>
        <v>0</v>
      </c>
    </row>
    <row r="57" spans="1:26" s="24" customFormat="1" hidden="1" outlineLevel="2" x14ac:dyDescent="0.3">
      <c r="A57" s="27"/>
      <c r="B57" s="11" t="str">
        <f>CONCATENATE("          ", "6279", " - ", "GENERAL EXPENSE")</f>
        <v xml:space="preserve">          6279 - GENERAL EXPENSE</v>
      </c>
      <c r="C57" s="11"/>
      <c r="D57" s="6"/>
      <c r="E57" s="2"/>
      <c r="F57" s="7">
        <f t="shared" si="36"/>
        <v>0</v>
      </c>
      <c r="G57" s="2"/>
      <c r="H57" s="6"/>
      <c r="I57" s="2"/>
      <c r="J57" s="7">
        <f t="shared" si="37"/>
        <v>0</v>
      </c>
      <c r="K57" s="2"/>
      <c r="L57" s="6">
        <f t="shared" si="38"/>
        <v>0</v>
      </c>
      <c r="M57" s="2"/>
      <c r="N57" s="7">
        <f t="shared" si="39"/>
        <v>0</v>
      </c>
      <c r="O57" s="11"/>
      <c r="P57" s="6">
        <v>842.45</v>
      </c>
      <c r="Q57" s="2"/>
      <c r="R57" s="7">
        <f t="shared" si="40"/>
        <v>1.3308571339202935E-2</v>
      </c>
      <c r="S57" s="2"/>
      <c r="T57" s="6"/>
      <c r="U57" s="2"/>
      <c r="V57" s="7">
        <f t="shared" si="41"/>
        <v>0</v>
      </c>
      <c r="W57" s="2"/>
      <c r="X57" s="6">
        <f t="shared" si="42"/>
        <v>842.45</v>
      </c>
      <c r="Y57" s="2"/>
      <c r="Z57" s="7">
        <f t="shared" si="43"/>
        <v>0</v>
      </c>
    </row>
    <row r="58" spans="1:26" s="29" customFormat="1" outlineLevel="1" collapsed="1" x14ac:dyDescent="0.3">
      <c r="A58" s="28"/>
      <c r="B58" s="14" t="str">
        <f>CONCATENATE("     ","Insurance                                         ")</f>
        <v xml:space="preserve">     Insurance                                         </v>
      </c>
      <c r="C58" s="14"/>
      <c r="D58" s="1">
        <f>SUM(OSRRefD22_8x_0)</f>
        <v>331.01</v>
      </c>
      <c r="E58" s="1"/>
      <c r="F58" s="5">
        <f t="shared" si="36"/>
        <v>2.172432079092515E-2</v>
      </c>
      <c r="G58" s="1"/>
      <c r="H58" s="1">
        <f>SUM(OSRRefH22_8x_0)</f>
        <v>330</v>
      </c>
      <c r="I58" s="1"/>
      <c r="J58" s="5">
        <f t="shared" si="37"/>
        <v>1.8731906681046715E-2</v>
      </c>
      <c r="K58" s="1"/>
      <c r="L58" s="1">
        <f t="shared" si="38"/>
        <v>1.0099999999999909</v>
      </c>
      <c r="M58" s="1"/>
      <c r="N58" s="5">
        <f t="shared" si="39"/>
        <v>3.0606060606060332E-3</v>
      </c>
      <c r="O58" s="14"/>
      <c r="P58" s="1">
        <f>SUM(OSRRefP22_8x_0)</f>
        <v>1655.05</v>
      </c>
      <c r="Q58" s="1"/>
      <c r="R58" s="5">
        <f t="shared" si="40"/>
        <v>2.6145588456226262E-2</v>
      </c>
      <c r="S58" s="1"/>
      <c r="T58" s="1">
        <f>SUM(OSRRefT22_8x_0)</f>
        <v>1650</v>
      </c>
      <c r="U58" s="1"/>
      <c r="V58" s="5">
        <f t="shared" si="41"/>
        <v>1.8372528059861035E-2</v>
      </c>
      <c r="W58" s="1"/>
      <c r="X58" s="1">
        <f t="shared" si="42"/>
        <v>5.0499999999999545</v>
      </c>
      <c r="Y58" s="1"/>
      <c r="Z58" s="5">
        <f t="shared" si="43"/>
        <v>3.0606060606060332E-3</v>
      </c>
    </row>
    <row r="59" spans="1:26" s="24" customFormat="1" hidden="1" outlineLevel="2" x14ac:dyDescent="0.3">
      <c r="A59" s="27"/>
      <c r="B59" s="11" t="str">
        <f>CONCATENATE("          ", "6314", " - ", "LIABILITY INSURANCE")</f>
        <v xml:space="preserve">          6314 - LIABILITY INSURANCE</v>
      </c>
      <c r="C59" s="11"/>
      <c r="D59" s="6">
        <v>331.01</v>
      </c>
      <c r="E59" s="2"/>
      <c r="F59" s="7">
        <f t="shared" si="36"/>
        <v>2.172432079092515E-2</v>
      </c>
      <c r="G59" s="2"/>
      <c r="H59" s="6">
        <v>330</v>
      </c>
      <c r="I59" s="2"/>
      <c r="J59" s="7">
        <f t="shared" si="37"/>
        <v>1.8731906681046715E-2</v>
      </c>
      <c r="K59" s="2"/>
      <c r="L59" s="6">
        <f t="shared" si="38"/>
        <v>1.0099999999999909</v>
      </c>
      <c r="M59" s="2"/>
      <c r="N59" s="7">
        <f t="shared" si="39"/>
        <v>3.0606060606060332E-3</v>
      </c>
      <c r="O59" s="11"/>
      <c r="P59" s="6">
        <v>1655.05</v>
      </c>
      <c r="Q59" s="2"/>
      <c r="R59" s="7">
        <f t="shared" si="40"/>
        <v>2.6145588456226262E-2</v>
      </c>
      <c r="S59" s="2"/>
      <c r="T59" s="6">
        <v>1650</v>
      </c>
      <c r="U59" s="2"/>
      <c r="V59" s="7">
        <f t="shared" si="41"/>
        <v>1.8372528059861035E-2</v>
      </c>
      <c r="W59" s="2"/>
      <c r="X59" s="6">
        <f t="shared" si="42"/>
        <v>5.0499999999999545</v>
      </c>
      <c r="Y59" s="2"/>
      <c r="Z59" s="7">
        <f t="shared" si="43"/>
        <v>3.0606060606060332E-3</v>
      </c>
    </row>
    <row r="60" spans="1:26" s="29" customFormat="1" outlineLevel="1" collapsed="1" x14ac:dyDescent="0.3">
      <c r="A60" s="28"/>
      <c r="B60" s="14" t="str">
        <f>CONCATENATE("     ","Interest                                          ")</f>
        <v xml:space="preserve">     Interest                                          </v>
      </c>
      <c r="C60" s="14"/>
      <c r="D60" s="1">
        <f>SUM(OSRRefD22_9x_0)</f>
        <v>3905</v>
      </c>
      <c r="E60" s="1"/>
      <c r="F60" s="5">
        <f t="shared" si="36"/>
        <v>0.25628673661992907</v>
      </c>
      <c r="G60" s="1"/>
      <c r="H60" s="1">
        <f>SUM(OSRRefH22_9x_0)</f>
        <v>3905</v>
      </c>
      <c r="I60" s="1"/>
      <c r="J60" s="5">
        <f t="shared" si="37"/>
        <v>0.22166089572571948</v>
      </c>
      <c r="K60" s="1"/>
      <c r="L60" s="1">
        <f t="shared" si="38"/>
        <v>0</v>
      </c>
      <c r="M60" s="1"/>
      <c r="N60" s="5">
        <f t="shared" si="39"/>
        <v>0</v>
      </c>
      <c r="O60" s="14"/>
      <c r="P60" s="1">
        <f>SUM(OSRRefP22_9x_0)</f>
        <v>19249</v>
      </c>
      <c r="Q60" s="1"/>
      <c r="R60" s="5">
        <f t="shared" si="40"/>
        <v>0.30408533409498162</v>
      </c>
      <c r="S60" s="1"/>
      <c r="T60" s="1">
        <f>SUM(OSRRefT22_9x_0)</f>
        <v>19525</v>
      </c>
      <c r="U60" s="1"/>
      <c r="V60" s="5">
        <f t="shared" si="41"/>
        <v>0.21740824870835559</v>
      </c>
      <c r="W60" s="1"/>
      <c r="X60" s="1">
        <f t="shared" si="42"/>
        <v>-276</v>
      </c>
      <c r="Y60" s="1"/>
      <c r="Z60" s="5">
        <f t="shared" si="43"/>
        <v>-1.413572343149808E-2</v>
      </c>
    </row>
    <row r="61" spans="1:26" s="24" customFormat="1" hidden="1" outlineLevel="2" x14ac:dyDescent="0.3">
      <c r="A61" s="27"/>
      <c r="B61" s="11" t="str">
        <f>CONCATENATE("          ", "6401", " - ", "INTEREST EXPENSE")</f>
        <v xml:space="preserve">          6401 - INTEREST EXPENSE</v>
      </c>
      <c r="C61" s="11"/>
      <c r="D61" s="6">
        <v>3905</v>
      </c>
      <c r="E61" s="2"/>
      <c r="F61" s="7">
        <f t="shared" si="36"/>
        <v>0.25628673661992907</v>
      </c>
      <c r="G61" s="2"/>
      <c r="H61" s="6">
        <v>3905</v>
      </c>
      <c r="I61" s="2"/>
      <c r="J61" s="7">
        <f t="shared" si="37"/>
        <v>0.22166089572571948</v>
      </c>
      <c r="K61" s="2"/>
      <c r="L61" s="6">
        <f t="shared" si="38"/>
        <v>0</v>
      </c>
      <c r="M61" s="2"/>
      <c r="N61" s="7">
        <f t="shared" si="39"/>
        <v>0</v>
      </c>
      <c r="O61" s="11"/>
      <c r="P61" s="6">
        <v>19249</v>
      </c>
      <c r="Q61" s="2"/>
      <c r="R61" s="7">
        <f t="shared" si="40"/>
        <v>0.30408533409498162</v>
      </c>
      <c r="S61" s="2"/>
      <c r="T61" s="6">
        <v>19525</v>
      </c>
      <c r="U61" s="2"/>
      <c r="V61" s="7">
        <f t="shared" si="41"/>
        <v>0.21740824870835559</v>
      </c>
      <c r="W61" s="2"/>
      <c r="X61" s="6">
        <f t="shared" si="42"/>
        <v>-276</v>
      </c>
      <c r="Y61" s="2"/>
      <c r="Z61" s="7">
        <f t="shared" si="43"/>
        <v>-1.413572343149808E-2</v>
      </c>
    </row>
    <row r="62" spans="1:26" s="29" customFormat="1" outlineLevel="1" collapsed="1" x14ac:dyDescent="0.3">
      <c r="A62" s="28"/>
      <c r="B62" s="14" t="str">
        <f>CONCATENATE("     ","Repair and Maintenance                            ")</f>
        <v xml:space="preserve">     Repair and Maintenance                            </v>
      </c>
      <c r="C62" s="14"/>
      <c r="D62" s="1">
        <f>SUM(OSRRefD22_10x_0)</f>
        <v>0</v>
      </c>
      <c r="E62" s="1"/>
      <c r="F62" s="5">
        <f t="shared" si="36"/>
        <v>0</v>
      </c>
      <c r="G62" s="1"/>
      <c r="H62" s="1">
        <f>SUM(OSRRefH22_10x_0)</f>
        <v>100</v>
      </c>
      <c r="I62" s="1"/>
      <c r="J62" s="5">
        <f t="shared" si="37"/>
        <v>5.6763353578929447E-3</v>
      </c>
      <c r="K62" s="1"/>
      <c r="L62" s="1">
        <f t="shared" si="38"/>
        <v>-100</v>
      </c>
      <c r="M62" s="1"/>
      <c r="N62" s="5">
        <f t="shared" si="39"/>
        <v>-1</v>
      </c>
      <c r="O62" s="14"/>
      <c r="P62" s="1">
        <f>SUM(OSRRefP22_10x_0)</f>
        <v>2269.0300000000002</v>
      </c>
      <c r="Q62" s="1"/>
      <c r="R62" s="5">
        <f t="shared" si="40"/>
        <v>3.5844913794043129E-2</v>
      </c>
      <c r="S62" s="1"/>
      <c r="T62" s="1">
        <f>SUM(OSRRefT22_10x_0)</f>
        <v>5013</v>
      </c>
      <c r="U62" s="1"/>
      <c r="V62" s="5">
        <f t="shared" si="41"/>
        <v>5.5819080705505078E-2</v>
      </c>
      <c r="W62" s="1"/>
      <c r="X62" s="1">
        <f t="shared" si="42"/>
        <v>-2743.97</v>
      </c>
      <c r="Y62" s="1"/>
      <c r="Z62" s="5">
        <f t="shared" si="43"/>
        <v>-0.5473708358268502</v>
      </c>
    </row>
    <row r="63" spans="1:26" s="24" customFormat="1" hidden="1" outlineLevel="2" x14ac:dyDescent="0.3">
      <c r="A63" s="27"/>
      <c r="B63" s="11" t="str">
        <f>CONCATENATE("          ", "6371", " - ", "COMPUTER SOFTWARE MAINTENANCE")</f>
        <v xml:space="preserve">          6371 - COMPUTER SOFTWARE MAINTENANCE</v>
      </c>
      <c r="C63" s="11"/>
      <c r="D63" s="6"/>
      <c r="E63" s="2"/>
      <c r="F63" s="7">
        <f t="shared" si="36"/>
        <v>0</v>
      </c>
      <c r="G63" s="2"/>
      <c r="H63" s="6"/>
      <c r="I63" s="2"/>
      <c r="J63" s="7">
        <f t="shared" si="37"/>
        <v>0</v>
      </c>
      <c r="K63" s="2"/>
      <c r="L63" s="6">
        <f t="shared" si="38"/>
        <v>0</v>
      </c>
      <c r="M63" s="2"/>
      <c r="N63" s="7">
        <f t="shared" si="39"/>
        <v>0</v>
      </c>
      <c r="O63" s="11"/>
      <c r="P63" s="6"/>
      <c r="Q63" s="2"/>
      <c r="R63" s="7">
        <f t="shared" si="40"/>
        <v>0</v>
      </c>
      <c r="S63" s="2"/>
      <c r="T63" s="6">
        <v>2623</v>
      </c>
      <c r="U63" s="2"/>
      <c r="V63" s="7">
        <f t="shared" si="41"/>
        <v>2.9206752182433637E-2</v>
      </c>
      <c r="W63" s="2"/>
      <c r="X63" s="6">
        <f t="shared" si="42"/>
        <v>-2623</v>
      </c>
      <c r="Y63" s="2"/>
      <c r="Z63" s="7">
        <f t="shared" si="43"/>
        <v>-1</v>
      </c>
    </row>
    <row r="64" spans="1:26" s="24" customFormat="1" hidden="1" outlineLevel="2" x14ac:dyDescent="0.3">
      <c r="A64" s="27"/>
      <c r="B64" s="11" t="str">
        <f>CONCATENATE("          ", "6373", " - ", "MAINTENANCE CONTRACTS")</f>
        <v xml:space="preserve">          6373 - MAINTENANCE CONTRACTS</v>
      </c>
      <c r="C64" s="11"/>
      <c r="D64" s="6"/>
      <c r="E64" s="2"/>
      <c r="F64" s="7">
        <f t="shared" si="36"/>
        <v>0</v>
      </c>
      <c r="G64" s="2"/>
      <c r="H64" s="6"/>
      <c r="I64" s="2"/>
      <c r="J64" s="7">
        <f t="shared" si="37"/>
        <v>0</v>
      </c>
      <c r="K64" s="2"/>
      <c r="L64" s="6">
        <f t="shared" si="38"/>
        <v>0</v>
      </c>
      <c r="M64" s="2"/>
      <c r="N64" s="7">
        <f t="shared" si="39"/>
        <v>0</v>
      </c>
      <c r="O64" s="11"/>
      <c r="P64" s="6">
        <v>107.78</v>
      </c>
      <c r="Q64" s="2"/>
      <c r="R64" s="7">
        <f t="shared" si="40"/>
        <v>1.7026503874880315E-3</v>
      </c>
      <c r="S64" s="2"/>
      <c r="T64" s="6">
        <v>260</v>
      </c>
      <c r="U64" s="2"/>
      <c r="V64" s="7">
        <f t="shared" si="41"/>
        <v>2.8950650276144663E-3</v>
      </c>
      <c r="W64" s="2"/>
      <c r="X64" s="6">
        <f t="shared" si="42"/>
        <v>-152.22</v>
      </c>
      <c r="Y64" s="2"/>
      <c r="Z64" s="7">
        <f t="shared" si="43"/>
        <v>-0.58546153846153848</v>
      </c>
    </row>
    <row r="65" spans="1:26" s="24" customFormat="1" hidden="1" outlineLevel="2" x14ac:dyDescent="0.3">
      <c r="A65" s="27"/>
      <c r="B65" s="11" t="str">
        <f>CONCATENATE("          ", "6375", " - ", "OUTSIDE REPAIRS &amp; MAINTENANCE")</f>
        <v xml:space="preserve">          6375 - OUTSIDE REPAIRS &amp; MAINTENANCE</v>
      </c>
      <c r="C65" s="11"/>
      <c r="D65" s="6"/>
      <c r="E65" s="2"/>
      <c r="F65" s="7">
        <f t="shared" si="36"/>
        <v>0</v>
      </c>
      <c r="G65" s="2"/>
      <c r="H65" s="6">
        <v>100</v>
      </c>
      <c r="I65" s="2"/>
      <c r="J65" s="7">
        <f t="shared" si="37"/>
        <v>5.6763353578929447E-3</v>
      </c>
      <c r="K65" s="2"/>
      <c r="L65" s="6">
        <f t="shared" si="38"/>
        <v>-100</v>
      </c>
      <c r="M65" s="2"/>
      <c r="N65" s="7">
        <f t="shared" si="39"/>
        <v>-1</v>
      </c>
      <c r="O65" s="11"/>
      <c r="P65" s="6">
        <v>2161.25</v>
      </c>
      <c r="Q65" s="2"/>
      <c r="R65" s="7">
        <f t="shared" si="40"/>
        <v>3.4142263406555094E-2</v>
      </c>
      <c r="S65" s="2"/>
      <c r="T65" s="6">
        <v>2130</v>
      </c>
      <c r="U65" s="2"/>
      <c r="V65" s="7">
        <f t="shared" si="41"/>
        <v>2.3717263495456976E-2</v>
      </c>
      <c r="W65" s="2"/>
      <c r="X65" s="6">
        <f t="shared" si="42"/>
        <v>31.25</v>
      </c>
      <c r="Y65" s="2"/>
      <c r="Z65" s="7">
        <f t="shared" si="43"/>
        <v>1.4671361502347418E-2</v>
      </c>
    </row>
    <row r="66" spans="1:26" s="29" customFormat="1" outlineLevel="1" collapsed="1" x14ac:dyDescent="0.3">
      <c r="A66" s="28"/>
      <c r="B66" s="14" t="str">
        <f>CONCATENATE("     ","Services                                          ")</f>
        <v xml:space="preserve">     Services                                          </v>
      </c>
      <c r="C66" s="14"/>
      <c r="D66" s="1">
        <f>SUM(OSRRefD22_11x_0)</f>
        <v>272.27999999999997</v>
      </c>
      <c r="E66" s="1"/>
      <c r="F66" s="5">
        <f t="shared" ref="F66:F69" si="44">IF(D$12=0,0,D66/D$12)</f>
        <v>1.7869847028648984E-2</v>
      </c>
      <c r="G66" s="1"/>
      <c r="H66" s="1">
        <f>SUM(OSRRefH22_11x_0)</f>
        <v>192</v>
      </c>
      <c r="I66" s="1"/>
      <c r="J66" s="5">
        <f t="shared" ref="J66:J69" si="45">IF(H$12=0,0,H66/H$12)</f>
        <v>1.0898563887154452E-2</v>
      </c>
      <c r="K66" s="1"/>
      <c r="L66" s="1">
        <f t="shared" ref="L66:L69" si="46">+D66-H66</f>
        <v>80.279999999999973</v>
      </c>
      <c r="M66" s="1"/>
      <c r="N66" s="5">
        <f t="shared" ref="N66:N69" si="47">IF(H66=0,0,L66/H66)</f>
        <v>0.41812499999999986</v>
      </c>
      <c r="O66" s="14"/>
      <c r="P66" s="1">
        <f>SUM(OSRRefP22_11x_0)</f>
        <v>8383.16</v>
      </c>
      <c r="Q66" s="1"/>
      <c r="R66" s="5">
        <f t="shared" ref="R66:R69" si="48">IF(P$12=0,0,P66/P$12)</f>
        <v>0.13243264633859869</v>
      </c>
      <c r="S66" s="1"/>
      <c r="T66" s="1">
        <f>SUM(OSRRefT22_11x_0)</f>
        <v>777</v>
      </c>
      <c r="U66" s="1"/>
      <c r="V66" s="5">
        <f t="shared" ref="V66:V69" si="49">IF(T$12=0,0,T66/T$12)</f>
        <v>8.6517904863709239E-3</v>
      </c>
      <c r="W66" s="1"/>
      <c r="X66" s="1">
        <f t="shared" ref="X66:X69" si="50">+P66-T66</f>
        <v>7606.16</v>
      </c>
      <c r="Y66" s="1"/>
      <c r="Z66" s="5">
        <f t="shared" ref="Z66:Z69" si="51">IF(T66=0,0,X66/T66)</f>
        <v>9.7891377091377088</v>
      </c>
    </row>
    <row r="67" spans="1:26" s="24" customFormat="1" hidden="1" outlineLevel="2" x14ac:dyDescent="0.3">
      <c r="A67" s="27"/>
      <c r="B67" s="11" t="str">
        <f>CONCATENATE("          ", "6282", " - ", "JANITORIAL/EXTERMINATOR EXPENS")</f>
        <v xml:space="preserve">          6282 - JANITORIAL/EXTERMINATOR EXPENS</v>
      </c>
      <c r="C67" s="11"/>
      <c r="D67" s="6">
        <v>168.4</v>
      </c>
      <c r="E67" s="2"/>
      <c r="F67" s="7">
        <f t="shared" si="44"/>
        <v>1.105216042171474E-2</v>
      </c>
      <c r="G67" s="2"/>
      <c r="H67" s="6">
        <v>158</v>
      </c>
      <c r="I67" s="2"/>
      <c r="J67" s="7">
        <f t="shared" si="45"/>
        <v>8.9686098654708519E-3</v>
      </c>
      <c r="K67" s="2"/>
      <c r="L67" s="6">
        <f t="shared" si="46"/>
        <v>10.400000000000006</v>
      </c>
      <c r="M67" s="2"/>
      <c r="N67" s="7">
        <f t="shared" si="47"/>
        <v>6.5822784810126614E-2</v>
      </c>
      <c r="O67" s="11"/>
      <c r="P67" s="6">
        <v>842</v>
      </c>
      <c r="Q67" s="2"/>
      <c r="R67" s="7">
        <f t="shared" si="48"/>
        <v>1.3301462481582135E-2</v>
      </c>
      <c r="S67" s="2"/>
      <c r="T67" s="6">
        <v>632</v>
      </c>
      <c r="U67" s="2"/>
      <c r="V67" s="7">
        <f t="shared" si="49"/>
        <v>7.0372349902013184E-3</v>
      </c>
      <c r="W67" s="2"/>
      <c r="X67" s="6">
        <f t="shared" si="50"/>
        <v>210</v>
      </c>
      <c r="Y67" s="2"/>
      <c r="Z67" s="7">
        <f t="shared" si="51"/>
        <v>0.33227848101265822</v>
      </c>
    </row>
    <row r="68" spans="1:26" s="24" customFormat="1" hidden="1" outlineLevel="2" x14ac:dyDescent="0.3">
      <c r="A68" s="27"/>
      <c r="B68" s="11" t="str">
        <f>CONCATENATE("          ", "6285", " - ", "JANITORIAL SERVICES")</f>
        <v xml:space="preserve">          6285 - JANITORIAL SERVICES</v>
      </c>
      <c r="C68" s="11"/>
      <c r="D68" s="6"/>
      <c r="E68" s="2"/>
      <c r="F68" s="7">
        <f t="shared" si="44"/>
        <v>0</v>
      </c>
      <c r="G68" s="2"/>
      <c r="H68" s="6"/>
      <c r="I68" s="2"/>
      <c r="J68" s="7">
        <f t="shared" si="45"/>
        <v>0</v>
      </c>
      <c r="K68" s="2"/>
      <c r="L68" s="6">
        <f t="shared" si="46"/>
        <v>0</v>
      </c>
      <c r="M68" s="2"/>
      <c r="N68" s="7">
        <f t="shared" si="47"/>
        <v>0</v>
      </c>
      <c r="O68" s="11"/>
      <c r="P68" s="6">
        <v>7229.52</v>
      </c>
      <c r="Q68" s="2"/>
      <c r="R68" s="7">
        <f t="shared" si="48"/>
        <v>0.1142080629926932</v>
      </c>
      <c r="S68" s="2"/>
      <c r="T68" s="6"/>
      <c r="U68" s="2"/>
      <c r="V68" s="7">
        <f t="shared" si="49"/>
        <v>0</v>
      </c>
      <c r="W68" s="2"/>
      <c r="X68" s="6">
        <f t="shared" si="50"/>
        <v>7229.52</v>
      </c>
      <c r="Y68" s="2"/>
      <c r="Z68" s="7">
        <f t="shared" si="51"/>
        <v>0</v>
      </c>
    </row>
    <row r="69" spans="1:26" s="24" customFormat="1" hidden="1" outlineLevel="2" x14ac:dyDescent="0.3">
      <c r="A69" s="27"/>
      <c r="B69" s="11" t="str">
        <f>CONCATENATE("          ", "6286", " - ", "LAUNDRY EXPENSE")</f>
        <v xml:space="preserve">          6286 - LAUNDRY EXPENSE</v>
      </c>
      <c r="C69" s="11"/>
      <c r="D69" s="6">
        <v>103.88</v>
      </c>
      <c r="E69" s="2"/>
      <c r="F69" s="7">
        <f t="shared" si="44"/>
        <v>6.8176866069342458E-3</v>
      </c>
      <c r="G69" s="2"/>
      <c r="H69" s="6">
        <v>34</v>
      </c>
      <c r="I69" s="2"/>
      <c r="J69" s="7">
        <f t="shared" si="45"/>
        <v>1.9299540216836011E-3</v>
      </c>
      <c r="K69" s="2"/>
      <c r="L69" s="6">
        <f t="shared" si="46"/>
        <v>69.88</v>
      </c>
      <c r="M69" s="2"/>
      <c r="N69" s="7">
        <f t="shared" si="47"/>
        <v>2.0552941176470587</v>
      </c>
      <c r="O69" s="11"/>
      <c r="P69" s="6">
        <v>311.64</v>
      </c>
      <c r="Q69" s="2"/>
      <c r="R69" s="7">
        <f t="shared" si="48"/>
        <v>4.9231208643233451E-3</v>
      </c>
      <c r="S69" s="2"/>
      <c r="T69" s="6">
        <v>145</v>
      </c>
      <c r="U69" s="2"/>
      <c r="V69" s="7">
        <f t="shared" si="49"/>
        <v>1.6145554961696062E-3</v>
      </c>
      <c r="W69" s="2"/>
      <c r="X69" s="6">
        <f t="shared" si="50"/>
        <v>166.64</v>
      </c>
      <c r="Y69" s="2"/>
      <c r="Z69" s="7">
        <f t="shared" si="51"/>
        <v>1.1492413793103446</v>
      </c>
    </row>
    <row r="70" spans="1:26" s="29" customFormat="1" outlineLevel="1" collapsed="1" x14ac:dyDescent="0.3">
      <c r="A70" s="28"/>
      <c r="B70" s="14" t="str">
        <f>CONCATENATE("     ","Supplies                                          ")</f>
        <v xml:space="preserve">     Supplies                                          </v>
      </c>
      <c r="C70" s="14"/>
      <c r="D70" s="1">
        <f>SUM(OSRRefD22_12x_0)</f>
        <v>121.04</v>
      </c>
      <c r="E70" s="1"/>
      <c r="F70" s="5">
        <f t="shared" ref="F70:F75" si="52">IF(D$12=0,0,D70/D$12)</f>
        <v>7.943904379123231E-3</v>
      </c>
      <c r="G70" s="1"/>
      <c r="H70" s="1">
        <f>SUM(OSRRefH22_12x_0)</f>
        <v>800</v>
      </c>
      <c r="I70" s="1"/>
      <c r="J70" s="5">
        <f t="shared" ref="J70:J75" si="53">IF(H$12=0,0,H70/H$12)</f>
        <v>4.5410682863143557E-2</v>
      </c>
      <c r="K70" s="1"/>
      <c r="L70" s="1">
        <f t="shared" ref="L70:L75" si="54">+D70-H70</f>
        <v>-678.96</v>
      </c>
      <c r="M70" s="1"/>
      <c r="N70" s="5">
        <f t="shared" ref="N70:N75" si="55">IF(H70=0,0,L70/H70)</f>
        <v>-0.84870000000000001</v>
      </c>
      <c r="O70" s="14"/>
      <c r="P70" s="1">
        <f>SUM(OSRRefP22_12x_0)</f>
        <v>1346.9699999999998</v>
      </c>
      <c r="Q70" s="1"/>
      <c r="R70" s="5">
        <f t="shared" ref="R70:R75" si="56">IF(P$12=0,0,P70/P$12)</f>
        <v>2.1278706554414117E-2</v>
      </c>
      <c r="S70" s="1"/>
      <c r="T70" s="1">
        <f>SUM(OSRRefT22_12x_0)</f>
        <v>5700</v>
      </c>
      <c r="U70" s="1"/>
      <c r="V70" s="5">
        <f t="shared" ref="V70:V75" si="57">IF(T$12=0,0,T70/T$12)</f>
        <v>6.3468733297701765E-2</v>
      </c>
      <c r="W70" s="1"/>
      <c r="X70" s="1">
        <f t="shared" ref="X70:X75" si="58">+P70-T70</f>
        <v>-4353.0300000000007</v>
      </c>
      <c r="Y70" s="1"/>
      <c r="Z70" s="5">
        <f t="shared" ref="Z70:Z75" si="59">IF(T70=0,0,X70/T70)</f>
        <v>-0.7636894736842107</v>
      </c>
    </row>
    <row r="71" spans="1:26" s="24" customFormat="1" hidden="1" outlineLevel="2" x14ac:dyDescent="0.3">
      <c r="A71" s="27"/>
      <c r="B71" s="11" t="str">
        <f>CONCATENATE("          ", "6234", " - ", "EXPENDABLE SUPPLIES &amp; EQUIPMEN")</f>
        <v xml:space="preserve">          6234 - EXPENDABLE SUPPLIES &amp; EQUIPMEN</v>
      </c>
      <c r="C71" s="11"/>
      <c r="D71" s="6"/>
      <c r="E71" s="2"/>
      <c r="F71" s="7">
        <f t="shared" si="52"/>
        <v>0</v>
      </c>
      <c r="G71" s="2"/>
      <c r="H71" s="6">
        <v>50</v>
      </c>
      <c r="I71" s="2"/>
      <c r="J71" s="7">
        <f t="shared" si="53"/>
        <v>2.8381676789464723E-3</v>
      </c>
      <c r="K71" s="2"/>
      <c r="L71" s="6">
        <f t="shared" si="54"/>
        <v>-50</v>
      </c>
      <c r="M71" s="2"/>
      <c r="N71" s="7">
        <f t="shared" si="55"/>
        <v>-1</v>
      </c>
      <c r="O71" s="11"/>
      <c r="P71" s="6"/>
      <c r="Q71" s="2"/>
      <c r="R71" s="7">
        <f t="shared" si="56"/>
        <v>0</v>
      </c>
      <c r="S71" s="2"/>
      <c r="T71" s="6">
        <v>350</v>
      </c>
      <c r="U71" s="2"/>
      <c r="V71" s="7">
        <f t="shared" si="57"/>
        <v>3.8972029217887046E-3</v>
      </c>
      <c r="W71" s="2"/>
      <c r="X71" s="6">
        <f t="shared" si="58"/>
        <v>-350</v>
      </c>
      <c r="Y71" s="2"/>
      <c r="Z71" s="7">
        <f t="shared" si="59"/>
        <v>-1</v>
      </c>
    </row>
    <row r="72" spans="1:26" s="24" customFormat="1" hidden="1" outlineLevel="2" x14ac:dyDescent="0.3">
      <c r="A72" s="27"/>
      <c r="B72" s="11" t="str">
        <f>CONCATENATE("          ", "6237", " - ", "JANITORIAL SUPPLIES")</f>
        <v xml:space="preserve">          6237 - JANITORIAL SUPPLIES</v>
      </c>
      <c r="C72" s="11"/>
      <c r="D72" s="6"/>
      <c r="E72" s="2"/>
      <c r="F72" s="7">
        <f t="shared" si="52"/>
        <v>0</v>
      </c>
      <c r="G72" s="2"/>
      <c r="H72" s="6">
        <v>0</v>
      </c>
      <c r="I72" s="2"/>
      <c r="J72" s="7">
        <f t="shared" si="53"/>
        <v>0</v>
      </c>
      <c r="K72" s="2"/>
      <c r="L72" s="6">
        <f t="shared" si="54"/>
        <v>0</v>
      </c>
      <c r="M72" s="2"/>
      <c r="N72" s="7">
        <f t="shared" si="55"/>
        <v>0</v>
      </c>
      <c r="O72" s="11"/>
      <c r="P72" s="6">
        <v>488.84</v>
      </c>
      <c r="Q72" s="2"/>
      <c r="R72" s="7">
        <f t="shared" si="56"/>
        <v>7.7224310207798224E-3</v>
      </c>
      <c r="S72" s="2"/>
      <c r="T72" s="6">
        <v>100</v>
      </c>
      <c r="U72" s="2"/>
      <c r="V72" s="7">
        <f t="shared" si="57"/>
        <v>1.1134865490824871E-3</v>
      </c>
      <c r="W72" s="2"/>
      <c r="X72" s="6">
        <f t="shared" si="58"/>
        <v>388.84</v>
      </c>
      <c r="Y72" s="2"/>
      <c r="Z72" s="7">
        <f t="shared" si="59"/>
        <v>3.8883999999999999</v>
      </c>
    </row>
    <row r="73" spans="1:26" s="24" customFormat="1" hidden="1" outlineLevel="2" x14ac:dyDescent="0.3">
      <c r="A73" s="27"/>
      <c r="B73" s="11" t="str">
        <f>CONCATENATE("          ", "6241", " - ", "OFFICE EXPENSE")</f>
        <v xml:space="preserve">          6241 - OFFICE EXPENSE</v>
      </c>
      <c r="C73" s="11"/>
      <c r="D73" s="6"/>
      <c r="E73" s="2"/>
      <c r="F73" s="7">
        <f t="shared" si="52"/>
        <v>0</v>
      </c>
      <c r="G73" s="2"/>
      <c r="H73" s="6"/>
      <c r="I73" s="2"/>
      <c r="J73" s="7">
        <f t="shared" si="53"/>
        <v>0</v>
      </c>
      <c r="K73" s="2"/>
      <c r="L73" s="6">
        <f t="shared" si="54"/>
        <v>0</v>
      </c>
      <c r="M73" s="2"/>
      <c r="N73" s="7">
        <f t="shared" si="55"/>
        <v>0</v>
      </c>
      <c r="O73" s="11"/>
      <c r="P73" s="6">
        <v>172.98</v>
      </c>
      <c r="Q73" s="2"/>
      <c r="R73" s="7">
        <f t="shared" si="56"/>
        <v>2.7326448694347714E-3</v>
      </c>
      <c r="S73" s="2"/>
      <c r="T73" s="6"/>
      <c r="U73" s="2"/>
      <c r="V73" s="7">
        <f t="shared" si="57"/>
        <v>0</v>
      </c>
      <c r="W73" s="2"/>
      <c r="X73" s="6">
        <f t="shared" si="58"/>
        <v>172.98</v>
      </c>
      <c r="Y73" s="2"/>
      <c r="Z73" s="7">
        <f t="shared" si="59"/>
        <v>0</v>
      </c>
    </row>
    <row r="74" spans="1:26" s="24" customFormat="1" hidden="1" outlineLevel="2" x14ac:dyDescent="0.3">
      <c r="A74" s="27"/>
      <c r="B74" s="11" t="str">
        <f>CONCATENATE("          ", "6243", " - ", "PAPER SUPPLIES")</f>
        <v xml:space="preserve">          6243 - PAPER SUPPLIES</v>
      </c>
      <c r="C74" s="11"/>
      <c r="D74" s="6"/>
      <c r="E74" s="2"/>
      <c r="F74" s="7">
        <f t="shared" si="52"/>
        <v>0</v>
      </c>
      <c r="G74" s="2"/>
      <c r="H74" s="6">
        <v>200</v>
      </c>
      <c r="I74" s="2"/>
      <c r="J74" s="7">
        <f t="shared" si="53"/>
        <v>1.1352670715785889E-2</v>
      </c>
      <c r="K74" s="2"/>
      <c r="L74" s="6">
        <f t="shared" si="54"/>
        <v>-200</v>
      </c>
      <c r="M74" s="2"/>
      <c r="N74" s="7">
        <f t="shared" si="55"/>
        <v>-1</v>
      </c>
      <c r="O74" s="11"/>
      <c r="P74" s="6"/>
      <c r="Q74" s="2"/>
      <c r="R74" s="7">
        <f t="shared" si="56"/>
        <v>0</v>
      </c>
      <c r="S74" s="2"/>
      <c r="T74" s="6">
        <v>800</v>
      </c>
      <c r="U74" s="2"/>
      <c r="V74" s="7">
        <f t="shared" si="57"/>
        <v>8.9078923926598965E-3</v>
      </c>
      <c r="W74" s="2"/>
      <c r="X74" s="6">
        <f t="shared" si="58"/>
        <v>-800</v>
      </c>
      <c r="Y74" s="2"/>
      <c r="Z74" s="7">
        <f t="shared" si="59"/>
        <v>-1</v>
      </c>
    </row>
    <row r="75" spans="1:26" s="24" customFormat="1" hidden="1" outlineLevel="2" x14ac:dyDescent="0.3">
      <c r="A75" s="27"/>
      <c r="B75" s="11" t="str">
        <f>CONCATENATE("          ", "6247", " - ", "STORE SUPPLIES")</f>
        <v xml:space="preserve">          6247 - STORE SUPPLIES</v>
      </c>
      <c r="C75" s="11"/>
      <c r="D75" s="6">
        <v>121.04</v>
      </c>
      <c r="E75" s="2"/>
      <c r="F75" s="7">
        <f t="shared" si="52"/>
        <v>7.943904379123231E-3</v>
      </c>
      <c r="G75" s="2"/>
      <c r="H75" s="6">
        <v>550</v>
      </c>
      <c r="I75" s="2"/>
      <c r="J75" s="7">
        <f t="shared" si="53"/>
        <v>3.1219844468411195E-2</v>
      </c>
      <c r="K75" s="2"/>
      <c r="L75" s="6">
        <f t="shared" si="54"/>
        <v>-428.96</v>
      </c>
      <c r="M75" s="2"/>
      <c r="N75" s="7">
        <f t="shared" si="55"/>
        <v>-0.77992727272727269</v>
      </c>
      <c r="O75" s="11"/>
      <c r="P75" s="6">
        <v>685.15</v>
      </c>
      <c r="Q75" s="2"/>
      <c r="R75" s="7">
        <f t="shared" si="56"/>
        <v>1.0823630664199524E-2</v>
      </c>
      <c r="S75" s="2"/>
      <c r="T75" s="6">
        <v>4450</v>
      </c>
      <c r="U75" s="2"/>
      <c r="V75" s="7">
        <f t="shared" si="57"/>
        <v>4.9550151434170672E-2</v>
      </c>
      <c r="W75" s="2"/>
      <c r="X75" s="6">
        <f t="shared" si="58"/>
        <v>-3764.85</v>
      </c>
      <c r="Y75" s="2"/>
      <c r="Z75" s="7">
        <f t="shared" si="59"/>
        <v>-0.84603370786516852</v>
      </c>
    </row>
    <row r="76" spans="1:26" s="29" customFormat="1" outlineLevel="1" collapsed="1" x14ac:dyDescent="0.3">
      <c r="A76" s="28"/>
      <c r="B76" s="14" t="str">
        <f>CONCATENATE("     ","Telephone/Data Lines                              ")</f>
        <v xml:space="preserve">     Telephone/Data Lines                              </v>
      </c>
      <c r="C76" s="14"/>
      <c r="D76" s="1">
        <f>SUM(OSRRefD22_13x_0)</f>
        <v>22</v>
      </c>
      <c r="E76" s="1"/>
      <c r="F76" s="5">
        <f t="shared" ref="F76:F78" si="60">IF(D$12=0,0,D76/D$12)</f>
        <v>1.4438689387038257E-3</v>
      </c>
      <c r="G76" s="1"/>
      <c r="H76" s="1">
        <f>SUM(OSRRefH22_13x_0)</f>
        <v>125</v>
      </c>
      <c r="I76" s="1"/>
      <c r="J76" s="5">
        <f t="shared" ref="J76:J78" si="61">IF(H$12=0,0,H76/H$12)</f>
        <v>7.0954191973661802E-3</v>
      </c>
      <c r="K76" s="1"/>
      <c r="L76" s="1">
        <f t="shared" ref="L76:L78" si="62">+D76-H76</f>
        <v>-103</v>
      </c>
      <c r="M76" s="1"/>
      <c r="N76" s="5">
        <f t="shared" ref="N76:N78" si="63">IF(H76=0,0,L76/H76)</f>
        <v>-0.82399999999999995</v>
      </c>
      <c r="O76" s="14"/>
      <c r="P76" s="1">
        <f>SUM(OSRRefP22_13x_0)</f>
        <v>217</v>
      </c>
      <c r="Q76" s="1"/>
      <c r="R76" s="5">
        <f t="shared" ref="R76:R78" si="64">IF(P$12=0,0,P76/P$12)</f>
        <v>3.4280491193626169E-3</v>
      </c>
      <c r="S76" s="1"/>
      <c r="T76" s="1">
        <f>SUM(OSRRefT22_13x_0)</f>
        <v>625</v>
      </c>
      <c r="U76" s="1"/>
      <c r="V76" s="5">
        <f t="shared" ref="V76:V78" si="65">IF(T$12=0,0,T76/T$12)</f>
        <v>6.959290931765544E-3</v>
      </c>
      <c r="W76" s="1"/>
      <c r="X76" s="1">
        <f t="shared" ref="X76:X78" si="66">+P76-T76</f>
        <v>-408</v>
      </c>
      <c r="Y76" s="1"/>
      <c r="Z76" s="5">
        <f t="shared" ref="Z76:Z78" si="67">IF(T76=0,0,X76/T76)</f>
        <v>-0.65280000000000005</v>
      </c>
    </row>
    <row r="77" spans="1:26" s="24" customFormat="1" hidden="1" outlineLevel="2" x14ac:dyDescent="0.3">
      <c r="A77" s="27"/>
      <c r="B77" s="11" t="str">
        <f>CONCATENATE("          ", "6303", " - ", "DATA PHONE LINES")</f>
        <v xml:space="preserve">          6303 - DATA PHONE LINES</v>
      </c>
      <c r="C77" s="11"/>
      <c r="D77" s="6"/>
      <c r="E77" s="2"/>
      <c r="F77" s="7">
        <f t="shared" si="60"/>
        <v>0</v>
      </c>
      <c r="G77" s="2"/>
      <c r="H77" s="6">
        <v>50</v>
      </c>
      <c r="I77" s="2"/>
      <c r="J77" s="7">
        <f t="shared" si="61"/>
        <v>2.8381676789464723E-3</v>
      </c>
      <c r="K77" s="2"/>
      <c r="L77" s="6">
        <f t="shared" si="62"/>
        <v>-50</v>
      </c>
      <c r="M77" s="2"/>
      <c r="N77" s="7">
        <f t="shared" si="63"/>
        <v>-1</v>
      </c>
      <c r="O77" s="11"/>
      <c r="P77" s="6"/>
      <c r="Q77" s="2"/>
      <c r="R77" s="7">
        <f t="shared" si="64"/>
        <v>0</v>
      </c>
      <c r="S77" s="2"/>
      <c r="T77" s="6">
        <v>250</v>
      </c>
      <c r="U77" s="2"/>
      <c r="V77" s="7">
        <f t="shared" si="65"/>
        <v>2.7837163727062178E-3</v>
      </c>
      <c r="W77" s="2"/>
      <c r="X77" s="6">
        <f t="shared" si="66"/>
        <v>-250</v>
      </c>
      <c r="Y77" s="2"/>
      <c r="Z77" s="7">
        <f t="shared" si="67"/>
        <v>-1</v>
      </c>
    </row>
    <row r="78" spans="1:26" s="24" customFormat="1" hidden="1" outlineLevel="2" x14ac:dyDescent="0.3">
      <c r="A78" s="27"/>
      <c r="B78" s="11" t="str">
        <f>CONCATENATE("          ", "6309", " - ", "TELEPHONE")</f>
        <v xml:space="preserve">          6309 - TELEPHONE</v>
      </c>
      <c r="C78" s="11"/>
      <c r="D78" s="6">
        <v>22</v>
      </c>
      <c r="E78" s="2"/>
      <c r="F78" s="7">
        <f t="shared" si="60"/>
        <v>1.4438689387038257E-3</v>
      </c>
      <c r="G78" s="2"/>
      <c r="H78" s="6">
        <v>75</v>
      </c>
      <c r="I78" s="2"/>
      <c r="J78" s="7">
        <f t="shared" si="61"/>
        <v>4.2572515184197083E-3</v>
      </c>
      <c r="K78" s="2"/>
      <c r="L78" s="6">
        <f t="shared" si="62"/>
        <v>-53</v>
      </c>
      <c r="M78" s="2"/>
      <c r="N78" s="7">
        <f t="shared" si="63"/>
        <v>-0.70666666666666667</v>
      </c>
      <c r="O78" s="11"/>
      <c r="P78" s="6">
        <v>217</v>
      </c>
      <c r="Q78" s="2"/>
      <c r="R78" s="7">
        <f t="shared" si="64"/>
        <v>3.4280491193626169E-3</v>
      </c>
      <c r="S78" s="2"/>
      <c r="T78" s="6">
        <v>375</v>
      </c>
      <c r="U78" s="2"/>
      <c r="V78" s="7">
        <f t="shared" si="65"/>
        <v>4.1755745590593262E-3</v>
      </c>
      <c r="W78" s="2"/>
      <c r="X78" s="6">
        <f t="shared" si="66"/>
        <v>-158</v>
      </c>
      <c r="Y78" s="2"/>
      <c r="Z78" s="7">
        <f t="shared" si="67"/>
        <v>-0.42133333333333334</v>
      </c>
    </row>
    <row r="79" spans="1:26" s="29" customFormat="1" outlineLevel="1" collapsed="1" x14ac:dyDescent="0.3">
      <c r="A79" s="28"/>
      <c r="B79" s="14" t="str">
        <f>CONCATENATE("     ","Utilities                                         ")</f>
        <v xml:space="preserve">     Utilities                                         </v>
      </c>
      <c r="C79" s="14"/>
      <c r="D79" s="1">
        <f>SUM(OSRRefD22_14x_0)</f>
        <v>100</v>
      </c>
      <c r="E79" s="1"/>
      <c r="F79" s="5">
        <f t="shared" ref="F79:F80" si="68">IF(D$12=0,0,D79/D$12)</f>
        <v>6.5630406304719351E-3</v>
      </c>
      <c r="G79" s="1"/>
      <c r="H79" s="1">
        <f>SUM(OSRRefH22_14x_0)</f>
        <v>0</v>
      </c>
      <c r="I79" s="1"/>
      <c r="J79" s="5">
        <f t="shared" ref="J79:J80" si="69">IF(H$12=0,0,H79/H$12)</f>
        <v>0</v>
      </c>
      <c r="K79" s="1"/>
      <c r="L79" s="1">
        <f t="shared" ref="L79:L80" si="70">+D79-H79</f>
        <v>100</v>
      </c>
      <c r="M79" s="1"/>
      <c r="N79" s="5">
        <f t="shared" ref="N79:N80" si="71">IF(H79=0,0,L79/H79)</f>
        <v>0</v>
      </c>
      <c r="O79" s="14"/>
      <c r="P79" s="1">
        <f>SUM(OSRRefP22_14x_0)</f>
        <v>500</v>
      </c>
      <c r="Q79" s="1"/>
      <c r="R79" s="5">
        <f t="shared" ref="R79:R80" si="72">IF(P$12=0,0,P79/P$12)</f>
        <v>7.8987306897756147E-3</v>
      </c>
      <c r="S79" s="1"/>
      <c r="T79" s="1">
        <f>SUM(OSRRefT22_14x_0)</f>
        <v>0</v>
      </c>
      <c r="U79" s="1"/>
      <c r="V79" s="5">
        <f t="shared" ref="V79:V80" si="73">IF(T$12=0,0,T79/T$12)</f>
        <v>0</v>
      </c>
      <c r="W79" s="1"/>
      <c r="X79" s="1">
        <f t="shared" ref="X79:X80" si="74">+P79-T79</f>
        <v>500</v>
      </c>
      <c r="Y79" s="1"/>
      <c r="Z79" s="5">
        <f t="shared" ref="Z79:Z80" si="75">IF(T79=0,0,X79/T79)</f>
        <v>0</v>
      </c>
    </row>
    <row r="80" spans="1:26" s="24" customFormat="1" hidden="1" outlineLevel="2" x14ac:dyDescent="0.3">
      <c r="A80" s="27"/>
      <c r="B80" s="11" t="str">
        <f>CONCATENATE("          ", "6274", " - ", "UTILITIES")</f>
        <v xml:space="preserve">          6274 - UTILITIES</v>
      </c>
      <c r="C80" s="11"/>
      <c r="D80" s="6">
        <v>100</v>
      </c>
      <c r="E80" s="2"/>
      <c r="F80" s="7">
        <f t="shared" si="68"/>
        <v>6.5630406304719351E-3</v>
      </c>
      <c r="G80" s="2"/>
      <c r="H80" s="6">
        <v>0</v>
      </c>
      <c r="I80" s="2"/>
      <c r="J80" s="7">
        <f t="shared" si="69"/>
        <v>0</v>
      </c>
      <c r="K80" s="2"/>
      <c r="L80" s="6">
        <f t="shared" si="70"/>
        <v>100</v>
      </c>
      <c r="M80" s="2"/>
      <c r="N80" s="7">
        <f t="shared" si="71"/>
        <v>0</v>
      </c>
      <c r="O80" s="11"/>
      <c r="P80" s="6">
        <v>500</v>
      </c>
      <c r="Q80" s="2"/>
      <c r="R80" s="7">
        <f t="shared" si="72"/>
        <v>7.8987306897756147E-3</v>
      </c>
      <c r="S80" s="2"/>
      <c r="T80" s="6">
        <v>0</v>
      </c>
      <c r="U80" s="2"/>
      <c r="V80" s="7">
        <f t="shared" si="73"/>
        <v>0</v>
      </c>
      <c r="W80" s="2"/>
      <c r="X80" s="6">
        <f t="shared" si="74"/>
        <v>500</v>
      </c>
      <c r="Y80" s="2"/>
      <c r="Z80" s="7">
        <f t="shared" si="75"/>
        <v>0</v>
      </c>
    </row>
    <row r="81" spans="1:26" s="63" customFormat="1" x14ac:dyDescent="0.3">
      <c r="A81" s="36"/>
      <c r="B81" s="36"/>
      <c r="C81" s="36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6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x14ac:dyDescent="0.3">
      <c r="A82" s="10"/>
      <c r="B82" s="25" t="s">
        <v>293</v>
      </c>
      <c r="C82" s="10"/>
      <c r="D82" s="4">
        <f>SUM(0)</f>
        <v>0</v>
      </c>
      <c r="E82" s="4"/>
      <c r="F82" s="12">
        <f>IF(D$12=0,0,D82/D$12)</f>
        <v>0</v>
      </c>
      <c r="G82" s="4"/>
      <c r="H82" s="4">
        <f>SUM(0)</f>
        <v>0</v>
      </c>
      <c r="I82" s="4"/>
      <c r="J82" s="12">
        <f>IF(H$12=0,0,H82/H$12)</f>
        <v>0</v>
      </c>
      <c r="K82" s="4"/>
      <c r="L82" s="4">
        <f>+D82-H82</f>
        <v>0</v>
      </c>
      <c r="M82" s="4"/>
      <c r="N82" s="12">
        <f>IF(H82=0,0,L82/H82)</f>
        <v>0</v>
      </c>
      <c r="O82" s="10"/>
      <c r="P82" s="4">
        <f>SUM(0)</f>
        <v>0</v>
      </c>
      <c r="Q82" s="4"/>
      <c r="R82" s="12">
        <f>IF(P$12=0,0,P82/P$12)</f>
        <v>0</v>
      </c>
      <c r="S82" s="4"/>
      <c r="T82" s="4">
        <f>SUM(0)</f>
        <v>0</v>
      </c>
      <c r="U82" s="4"/>
      <c r="V82" s="12">
        <f>IF(T$12=0,0,T82/T$12)</f>
        <v>0</v>
      </c>
      <c r="W82" s="4"/>
      <c r="X82" s="4">
        <f>+P82-T82</f>
        <v>0</v>
      </c>
      <c r="Y82" s="4"/>
      <c r="Z82" s="12">
        <f>IF(T82=0,0,X82/T82)</f>
        <v>0</v>
      </c>
    </row>
    <row r="83" spans="1:26" x14ac:dyDescent="0.3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3">
      <c r="A84" s="10"/>
      <c r="B84" s="26" t="s">
        <v>277</v>
      </c>
      <c r="C84" s="26"/>
      <c r="D84" s="20">
        <f>+D21-D23+D82</f>
        <v>-6181.3100000000013</v>
      </c>
      <c r="E84" s="13"/>
      <c r="F84" s="22">
        <f>IF(D$12=0,0,D84/D$12)</f>
        <v>-0.40568188679542483</v>
      </c>
      <c r="G84" s="13"/>
      <c r="H84" s="20">
        <f>+H21-H23+H82</f>
        <v>-16931.67481230769</v>
      </c>
      <c r="I84" s="13"/>
      <c r="J84" s="22">
        <f>IF(H$12=0,0,H84/H$12)</f>
        <v>-0.9610986440544752</v>
      </c>
      <c r="K84" s="15"/>
      <c r="L84" s="20">
        <f>+D84-H84</f>
        <v>10750.364812307689</v>
      </c>
      <c r="M84" s="15"/>
      <c r="N84" s="22">
        <f>IF(H84=0,0,L84/H84)</f>
        <v>-0.63492625103413947</v>
      </c>
      <c r="O84" s="25"/>
      <c r="P84" s="20">
        <f>+P21-P23+P82</f>
        <v>-50641.96</v>
      </c>
      <c r="Q84" s="13"/>
      <c r="R84" s="22">
        <f>IF(P$12=0,0,P84/P$12)</f>
        <v>-0.80001440728477813</v>
      </c>
      <c r="S84" s="13"/>
      <c r="T84" s="20">
        <f>+T21-T23+T82</f>
        <v>-90788.753467692324</v>
      </c>
      <c r="U84" s="13"/>
      <c r="V84" s="22">
        <f>IF(T$12=0,0,T84/T$12)</f>
        <v>-1.0109205579424141</v>
      </c>
      <c r="W84" s="15"/>
      <c r="X84" s="20">
        <f>+P84-T84</f>
        <v>40146.793467692325</v>
      </c>
      <c r="Y84" s="15"/>
      <c r="Z84" s="22">
        <f>IF(T84=0,0,X84/T84)</f>
        <v>-0.44220007362452424</v>
      </c>
    </row>
    <row r="85" spans="1:26" x14ac:dyDescent="0.3">
      <c r="A85" s="9"/>
      <c r="B85" s="10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3">
      <c r="A86" s="52"/>
      <c r="B86" s="10" t="s">
        <v>128</v>
      </c>
      <c r="C86" s="10"/>
      <c r="D86" s="4">
        <v>1984.07</v>
      </c>
      <c r="E86" s="4"/>
      <c r="F86" s="12">
        <f>IF(D$12=0,0,D86/D$12)</f>
        <v>0.13021532023700452</v>
      </c>
      <c r="G86" s="4"/>
      <c r="H86" s="4">
        <v>2926</v>
      </c>
      <c r="I86" s="4"/>
      <c r="J86" s="12">
        <f>IF(H$12=0,0,H86/H$12)</f>
        <v>0.16608957257194756</v>
      </c>
      <c r="K86" s="4"/>
      <c r="L86" s="4">
        <f>+D86-H86</f>
        <v>-941.93000000000006</v>
      </c>
      <c r="M86" s="4"/>
      <c r="N86" s="12">
        <f>IF(H86=0,0,L86/H86)</f>
        <v>-0.32191729323308271</v>
      </c>
      <c r="O86" s="10"/>
      <c r="P86" s="4">
        <v>7539.93</v>
      </c>
      <c r="Q86" s="4"/>
      <c r="R86" s="12">
        <f>IF(P$12=0,0,P86/P$12)</f>
        <v>0.1191117529795197</v>
      </c>
      <c r="S86" s="4"/>
      <c r="T86" s="4">
        <v>11227</v>
      </c>
      <c r="U86" s="4"/>
      <c r="V86" s="12">
        <f>IF(T$12=0,0,T86/T$12)</f>
        <v>0.12501113486549081</v>
      </c>
      <c r="W86" s="4"/>
      <c r="X86" s="4">
        <f>+P86-T86</f>
        <v>-3687.0699999999997</v>
      </c>
      <c r="Y86" s="4"/>
      <c r="Z86" s="12">
        <f>IF(T86=0,0,X86/T86)</f>
        <v>-0.32841097354591609</v>
      </c>
    </row>
    <row r="87" spans="1:26" x14ac:dyDescent="0.3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" thickBot="1" x14ac:dyDescent="0.35">
      <c r="A88" s="10"/>
      <c r="B88" s="26" t="s">
        <v>126</v>
      </c>
      <c r="C88" s="26"/>
      <c r="D88" s="33">
        <f>+D84-D86</f>
        <v>-8165.380000000001</v>
      </c>
      <c r="E88" s="13"/>
      <c r="F88" s="34">
        <f>IF(D$12=0,0,D88/D$12)</f>
        <v>-0.53589720703242938</v>
      </c>
      <c r="G88" s="13"/>
      <c r="H88" s="33">
        <f>+H84-H86</f>
        <v>-19857.67481230769</v>
      </c>
      <c r="I88" s="13"/>
      <c r="J88" s="34">
        <f>IF(H$12=0,0,H88/H$12)</f>
        <v>-1.1271882166264229</v>
      </c>
      <c r="K88" s="15"/>
      <c r="L88" s="33">
        <f>D88-H88</f>
        <v>11692.294812307689</v>
      </c>
      <c r="M88" s="15"/>
      <c r="N88" s="34">
        <f>IF(H88=0,0,L88/H88)</f>
        <v>-0.58880482850191818</v>
      </c>
      <c r="O88" s="25"/>
      <c r="P88" s="33">
        <f>+P84-P86</f>
        <v>-58181.89</v>
      </c>
      <c r="Q88" s="13"/>
      <c r="R88" s="34">
        <f>IF(P$12=0,0,P88/P$12)</f>
        <v>-0.91912616026429783</v>
      </c>
      <c r="S88" s="13"/>
      <c r="T88" s="33">
        <f>+T84-T86</f>
        <v>-102015.75346769232</v>
      </c>
      <c r="U88" s="13"/>
      <c r="V88" s="34">
        <f>IF(T$12=0,0,T88/T$12)</f>
        <v>-1.1359316928079048</v>
      </c>
      <c r="W88" s="15"/>
      <c r="X88" s="33">
        <f>P88-T88</f>
        <v>43833.863467692325</v>
      </c>
      <c r="Y88" s="15"/>
      <c r="Z88" s="34">
        <f>IF(T88=0,0,X88/T88)</f>
        <v>-0.4296773976342213</v>
      </c>
    </row>
    <row r="89" spans="1:26" ht="15" thickTop="1" x14ac:dyDescent="0.3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x14ac:dyDescent="0.3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" thickBot="1" x14ac:dyDescent="0.35">
      <c r="A91" s="10"/>
      <c r="B91" s="26" t="s">
        <v>294</v>
      </c>
      <c r="C91" s="26"/>
      <c r="D91" s="35">
        <f>SUM(D88:D90)</f>
        <v>-8165.380000000001</v>
      </c>
      <c r="E91" s="13"/>
      <c r="F91" s="32">
        <f>IF(D$12=0,0,D91/D$12)</f>
        <v>-0.53589720703242938</v>
      </c>
      <c r="G91" s="13"/>
      <c r="H91" s="35">
        <f>SUM(H88:H90)</f>
        <v>-19857.67481230769</v>
      </c>
      <c r="I91" s="13"/>
      <c r="J91" s="32">
        <f>IF(H$12=0,0,H91/H$12)</f>
        <v>-1.1271882166264229</v>
      </c>
      <c r="K91" s="15"/>
      <c r="L91" s="35">
        <f>+D91-H91</f>
        <v>11692.294812307689</v>
      </c>
      <c r="M91" s="15"/>
      <c r="N91" s="32">
        <f>IF(H91=0,0,L91/H91)</f>
        <v>-0.58880482850191818</v>
      </c>
      <c r="O91" s="25"/>
      <c r="P91" s="35">
        <f>SUM(P88:P90)</f>
        <v>-58181.89</v>
      </c>
      <c r="Q91" s="13"/>
      <c r="R91" s="32">
        <f>IF(P$12=0,0,P91/P$12)</f>
        <v>-0.91912616026429783</v>
      </c>
      <c r="S91" s="13"/>
      <c r="T91" s="35">
        <f>SUM(T88:T90)</f>
        <v>-102015.75346769232</v>
      </c>
      <c r="U91" s="13"/>
      <c r="V91" s="32">
        <f>IF(T$12=0,0,T91/T$12)</f>
        <v>-1.1359316928079048</v>
      </c>
      <c r="W91" s="15"/>
      <c r="X91" s="35">
        <f>+P91-T91</f>
        <v>43833.863467692325</v>
      </c>
      <c r="Y91" s="15"/>
      <c r="Z91" s="32">
        <f>IF(T91=0,0,X91/T91)</f>
        <v>-0.4296773976342213</v>
      </c>
    </row>
    <row r="92" spans="1:26" ht="15" thickTop="1" x14ac:dyDescent="0.3">
      <c r="A92" s="9"/>
      <c r="C92" s="9"/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  <row r="93" spans="1:26" x14ac:dyDescent="0.3">
      <c r="A93" s="9"/>
      <c r="B93" s="60">
        <v>44543.753113078703</v>
      </c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3">
      <c r="A94" s="9"/>
      <c r="B94" s="58" t="s">
        <v>56</v>
      </c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3">
      <c r="A95" s="9"/>
      <c r="B95" s="55"/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3"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92D050"/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","327", " - ", "C-Store Vending Machine(s)")</f>
        <v>Department 327 - C-Store Vending Machine(s)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84.35</v>
      </c>
      <c r="E12" s="4"/>
      <c r="F12" s="12"/>
      <c r="G12" s="4"/>
      <c r="H12" s="4">
        <f>SUM(OSRRefH13x_0)</f>
        <v>50</v>
      </c>
      <c r="I12" s="4"/>
      <c r="J12" s="12"/>
      <c r="K12" s="4"/>
      <c r="L12" s="4">
        <f t="shared" ref="L12:L15" si="0">+D12-H12</f>
        <v>34.349999999999994</v>
      </c>
      <c r="M12" s="4"/>
      <c r="N12" s="12">
        <f t="shared" ref="N12:N15" si="1">IF(H12=0,0,L12/H12)</f>
        <v>0.68699999999999983</v>
      </c>
      <c r="O12" s="10"/>
      <c r="P12" s="4">
        <f>SUM(OSRRefP13x_0)</f>
        <v>627.97</v>
      </c>
      <c r="Q12" s="4"/>
      <c r="R12" s="12"/>
      <c r="S12" s="4"/>
      <c r="T12" s="4">
        <f>SUM(OSRRefT13x_0)</f>
        <v>175</v>
      </c>
      <c r="U12" s="4"/>
      <c r="V12" s="12"/>
      <c r="W12" s="4"/>
      <c r="X12" s="4">
        <f t="shared" ref="X12:X15" si="2">+P12-T12</f>
        <v>452.97</v>
      </c>
      <c r="Y12" s="4"/>
      <c r="Z12" s="12">
        <f t="shared" ref="Z12:Z15" si="3">IF(T12=0,0,X12/T12)</f>
        <v>2.5884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50</v>
      </c>
      <c r="I13" s="2"/>
      <c r="J13" s="19"/>
      <c r="K13" s="2"/>
      <c r="L13" s="2">
        <f t="shared" si="0"/>
        <v>-50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175</v>
      </c>
      <c r="U13" s="2"/>
      <c r="V13" s="19"/>
      <c r="W13" s="2"/>
      <c r="X13" s="2">
        <f t="shared" si="2"/>
        <v>-175</v>
      </c>
      <c r="Y13" s="2"/>
      <c r="Z13" s="19">
        <f t="shared" si="3"/>
        <v>-1</v>
      </c>
    </row>
    <row r="14" spans="1:26" s="24" customFormat="1" hidden="1" outlineLevel="1" x14ac:dyDescent="0.3">
      <c r="A14" s="44"/>
      <c r="B14" s="11" t="str">
        <f>CONCATENATE("          ", "4053", " - ", "TAXABLE SALES-FOOD")</f>
        <v xml:space="preserve">          4053 - TAXABLE SALES-FOOD</v>
      </c>
      <c r="C14" s="11"/>
      <c r="D14" s="2">
        <f>--84.35</f>
        <v>84.35</v>
      </c>
      <c r="E14" s="2"/>
      <c r="F14" s="19"/>
      <c r="G14" s="2"/>
      <c r="H14" s="2"/>
      <c r="I14" s="2"/>
      <c r="J14" s="19"/>
      <c r="K14" s="2"/>
      <c r="L14" s="2">
        <f t="shared" si="0"/>
        <v>84.35</v>
      </c>
      <c r="M14" s="2"/>
      <c r="N14" s="19">
        <f t="shared" si="1"/>
        <v>0</v>
      </c>
      <c r="O14" s="11"/>
      <c r="P14" s="2">
        <f>--627.97</f>
        <v>627.97</v>
      </c>
      <c r="Q14" s="2"/>
      <c r="R14" s="19"/>
      <c r="S14" s="2"/>
      <c r="T14" s="2"/>
      <c r="U14" s="2"/>
      <c r="V14" s="19"/>
      <c r="W14" s="2"/>
      <c r="X14" s="2">
        <f t="shared" si="2"/>
        <v>627.97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0</f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0</f>
        <v>0</v>
      </c>
      <c r="Q15" s="2"/>
      <c r="R15" s="19"/>
      <c r="S15" s="2"/>
      <c r="T15" s="2"/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x14ac:dyDescent="0.3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3">
      <c r="A17" s="10"/>
      <c r="B17" s="25" t="s">
        <v>257</v>
      </c>
      <c r="C17" s="10"/>
      <c r="D17" s="4">
        <f>SUM(OSRRefD16x_0)</f>
        <v>165</v>
      </c>
      <c r="E17" s="4"/>
      <c r="F17" s="12">
        <f t="shared" ref="F17:F20" si="4">IF(D$12=0,0,D17/D$12)</f>
        <v>1.9561351511558982</v>
      </c>
      <c r="G17" s="4"/>
      <c r="H17" s="4">
        <f>SUM(OSRRefH16x_0)</f>
        <v>25</v>
      </c>
      <c r="I17" s="4"/>
      <c r="J17" s="12">
        <f t="shared" ref="J17:J20" si="5">IF(H$12=0,0,H17/H$12)</f>
        <v>0.5</v>
      </c>
      <c r="K17" s="4"/>
      <c r="L17" s="4">
        <f t="shared" ref="L17:L20" si="6">+D17-H17</f>
        <v>140</v>
      </c>
      <c r="M17" s="4"/>
      <c r="N17" s="12">
        <f t="shared" ref="N17:N20" si="7">IF(H17=0,0,L17/H17)</f>
        <v>5.6</v>
      </c>
      <c r="O17" s="10"/>
      <c r="P17" s="4">
        <f>SUM(OSRRefP16x_0)</f>
        <v>-19.799999999999997</v>
      </c>
      <c r="Q17" s="4"/>
      <c r="R17" s="12">
        <f t="shared" ref="R17:R20" si="8">IF(P$12=0,0,P17/P$12)</f>
        <v>-3.153016863862923E-2</v>
      </c>
      <c r="S17" s="4"/>
      <c r="T17" s="4">
        <f>SUM(OSRRefT16x_0)</f>
        <v>88</v>
      </c>
      <c r="U17" s="4"/>
      <c r="V17" s="12">
        <f t="shared" ref="V17:V20" si="9">IF(T$12=0,0,T17/T$12)</f>
        <v>0.50285714285714289</v>
      </c>
      <c r="W17" s="4"/>
      <c r="X17" s="4">
        <f t="shared" ref="X17:X20" si="10">+P17-T17</f>
        <v>-107.8</v>
      </c>
      <c r="Y17" s="4"/>
      <c r="Z17" s="12">
        <f t="shared" ref="Z17:Z20" si="11">IF(T17=0,0,X17/T17)</f>
        <v>-1.2249999999999999</v>
      </c>
    </row>
    <row r="18" spans="1:26" s="24" customFormat="1" hidden="1" outlineLevel="1" x14ac:dyDescent="0.3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25</v>
      </c>
      <c r="I18" s="2"/>
      <c r="J18" s="19">
        <f t="shared" si="5"/>
        <v>0.5</v>
      </c>
      <c r="K18" s="2"/>
      <c r="L18" s="2">
        <f t="shared" si="6"/>
        <v>-25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88</v>
      </c>
      <c r="U18" s="2"/>
      <c r="V18" s="19">
        <f t="shared" si="9"/>
        <v>0.50285714285714289</v>
      </c>
      <c r="W18" s="2"/>
      <c r="X18" s="2">
        <f t="shared" si="10"/>
        <v>-88</v>
      </c>
      <c r="Y18" s="2"/>
      <c r="Z18" s="19">
        <f t="shared" si="11"/>
        <v>-1</v>
      </c>
    </row>
    <row r="19" spans="1:26" s="24" customFormat="1" hidden="1" outlineLevel="1" x14ac:dyDescent="0.3">
      <c r="A19" s="44"/>
      <c r="B19" s="11" t="str">
        <f>CONCATENATE("          ", "5053", " - ", "PURCHASES @ COST-FOOD")</f>
        <v xml:space="preserve">          5053 - PURCHASES @ COST-FOOD</v>
      </c>
      <c r="C19" s="11"/>
      <c r="D19" s="2"/>
      <c r="E19" s="2"/>
      <c r="F19" s="19">
        <f t="shared" si="4"/>
        <v>0</v>
      </c>
      <c r="G19" s="2"/>
      <c r="H19" s="2"/>
      <c r="I19" s="2"/>
      <c r="J19" s="19">
        <f t="shared" si="5"/>
        <v>0</v>
      </c>
      <c r="K19" s="2"/>
      <c r="L19" s="2">
        <f t="shared" si="6"/>
        <v>0</v>
      </c>
      <c r="M19" s="2"/>
      <c r="N19" s="19">
        <f t="shared" si="7"/>
        <v>0</v>
      </c>
      <c r="O19" s="11"/>
      <c r="P19" s="2">
        <v>45</v>
      </c>
      <c r="Q19" s="2"/>
      <c r="R19" s="19">
        <f t="shared" si="8"/>
        <v>7.1659474178702803E-2</v>
      </c>
      <c r="S19" s="2"/>
      <c r="T19" s="2"/>
      <c r="U19" s="2"/>
      <c r="V19" s="19">
        <f t="shared" si="9"/>
        <v>0</v>
      </c>
      <c r="W19" s="2"/>
      <c r="X19" s="2">
        <f t="shared" si="10"/>
        <v>45</v>
      </c>
      <c r="Y19" s="2"/>
      <c r="Z19" s="19">
        <f t="shared" si="11"/>
        <v>0</v>
      </c>
    </row>
    <row r="20" spans="1:26" s="24" customFormat="1" hidden="1" outlineLevel="1" x14ac:dyDescent="0.3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165</v>
      </c>
      <c r="E20" s="2"/>
      <c r="F20" s="19">
        <f t="shared" si="4"/>
        <v>1.9561351511558982</v>
      </c>
      <c r="G20" s="2"/>
      <c r="H20" s="2"/>
      <c r="I20" s="2"/>
      <c r="J20" s="19">
        <f t="shared" si="5"/>
        <v>0</v>
      </c>
      <c r="K20" s="2"/>
      <c r="L20" s="2">
        <f t="shared" si="6"/>
        <v>165</v>
      </c>
      <c r="M20" s="2"/>
      <c r="N20" s="19">
        <f t="shared" si="7"/>
        <v>0</v>
      </c>
      <c r="O20" s="11"/>
      <c r="P20" s="2">
        <v>-64.8</v>
      </c>
      <c r="Q20" s="2"/>
      <c r="R20" s="19">
        <f t="shared" si="8"/>
        <v>-0.10318964281733203</v>
      </c>
      <c r="S20" s="2"/>
      <c r="T20" s="2"/>
      <c r="U20" s="2"/>
      <c r="V20" s="19">
        <f t="shared" si="9"/>
        <v>0</v>
      </c>
      <c r="W20" s="2"/>
      <c r="X20" s="2">
        <f t="shared" si="10"/>
        <v>-64.8</v>
      </c>
      <c r="Y20" s="2"/>
      <c r="Z20" s="19">
        <f t="shared" si="11"/>
        <v>0</v>
      </c>
    </row>
    <row r="21" spans="1:26" x14ac:dyDescent="0.3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3">
      <c r="A22" s="10"/>
      <c r="B22" s="26" t="s">
        <v>108</v>
      </c>
      <c r="C22" s="26"/>
      <c r="D22" s="20">
        <f>D12-D17</f>
        <v>-80.650000000000006</v>
      </c>
      <c r="E22" s="13"/>
      <c r="F22" s="22">
        <f>IF(D$12=0,0,D22/D$12)</f>
        <v>-0.9561351511558982</v>
      </c>
      <c r="G22" s="13"/>
      <c r="H22" s="20">
        <f>H12-H17</f>
        <v>25</v>
      </c>
      <c r="I22" s="13"/>
      <c r="J22" s="22">
        <f>IF(H$12=0,0,H22/H$12)</f>
        <v>0.5</v>
      </c>
      <c r="K22" s="15"/>
      <c r="L22" s="20">
        <f>+D22-H22</f>
        <v>-105.65</v>
      </c>
      <c r="M22" s="15"/>
      <c r="N22" s="22">
        <f>IF(H22=0,0,L22/H22)</f>
        <v>-4.226</v>
      </c>
      <c r="O22" s="25"/>
      <c r="P22" s="20">
        <f>P12-P17</f>
        <v>647.77</v>
      </c>
      <c r="Q22" s="13"/>
      <c r="R22" s="22">
        <f>IF(P$12=0,0,P22/P$12)</f>
        <v>1.0315301686386291</v>
      </c>
      <c r="S22" s="13"/>
      <c r="T22" s="20">
        <f>T12-T17</f>
        <v>87</v>
      </c>
      <c r="U22" s="13"/>
      <c r="V22" s="22">
        <f>IF(T$12=0,0,T22/T$12)</f>
        <v>0.49714285714285716</v>
      </c>
      <c r="W22" s="15"/>
      <c r="X22" s="20">
        <f>+P22-T22</f>
        <v>560.77</v>
      </c>
      <c r="Y22" s="15"/>
      <c r="Z22" s="22">
        <f>IF(T22=0,0,X22/T22)</f>
        <v>6.4456321839080459</v>
      </c>
    </row>
    <row r="23" spans="1:26" x14ac:dyDescent="0.3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3">
      <c r="A24" s="10"/>
      <c r="B24" s="25" t="s">
        <v>295</v>
      </c>
      <c r="C24" s="10"/>
      <c r="D24" s="21">
        <f>SUM(OSRRefD22x_0)</f>
        <v>48.01</v>
      </c>
      <c r="E24" s="21"/>
      <c r="F24" s="30">
        <f t="shared" ref="F24:F26" si="12">IF(D$12=0,0,D24/D$12)</f>
        <v>0.56917605216360401</v>
      </c>
      <c r="G24" s="21"/>
      <c r="H24" s="21">
        <f>SUM(OSRRefH22x_0)</f>
        <v>4.5</v>
      </c>
      <c r="I24" s="21"/>
      <c r="J24" s="30">
        <f t="shared" ref="J24:J26" si="13">IF(H$12=0,0,H24/H$12)</f>
        <v>0.09</v>
      </c>
      <c r="K24" s="4"/>
      <c r="L24" s="21">
        <f t="shared" ref="L24:L26" si="14">+D24-H24</f>
        <v>43.51</v>
      </c>
      <c r="M24" s="4"/>
      <c r="N24" s="30">
        <f t="shared" ref="N24:N26" si="15">IF(H24=0,0,L24/H24)</f>
        <v>9.6688888888888886</v>
      </c>
      <c r="O24" s="10"/>
      <c r="P24" s="21">
        <f>SUM(OSRRefP22x_0)</f>
        <v>322.05</v>
      </c>
      <c r="Q24" s="21"/>
      <c r="R24" s="30">
        <f t="shared" ref="R24:R26" si="16">IF(P$12=0,0,P24/P$12)</f>
        <v>0.51284297020558312</v>
      </c>
      <c r="S24" s="21"/>
      <c r="T24" s="21">
        <f>SUM(OSRRefT22x_0)</f>
        <v>15.75</v>
      </c>
      <c r="U24" s="21"/>
      <c r="V24" s="30">
        <f t="shared" ref="V24:V26" si="17">IF(T$12=0,0,T24/T$12)</f>
        <v>0.09</v>
      </c>
      <c r="W24" s="4"/>
      <c r="X24" s="21">
        <f t="shared" ref="X24:X26" si="18">+P24-T24</f>
        <v>306.3</v>
      </c>
      <c r="Y24" s="4"/>
      <c r="Z24" s="30">
        <f t="shared" ref="Z24:Z26" si="19">IF(T24=0,0,X24/T24)</f>
        <v>19.44761904761905</v>
      </c>
    </row>
    <row r="25" spans="1:26" s="29" customFormat="1" outlineLevel="1" collapsed="1" x14ac:dyDescent="0.3">
      <c r="A25" s="28"/>
      <c r="B25" s="14" t="str">
        <f>CONCATENATE("     ","Bank/card Fees                                    ")</f>
        <v xml:space="preserve">     Bank/card Fees                                    </v>
      </c>
      <c r="C25" s="14"/>
      <c r="D25" s="1">
        <f>SUM(OSRRefD22_0x_0)</f>
        <v>48.01</v>
      </c>
      <c r="E25" s="1"/>
      <c r="F25" s="5">
        <f t="shared" si="12"/>
        <v>0.56917605216360401</v>
      </c>
      <c r="G25" s="1"/>
      <c r="H25" s="1">
        <f>SUM(OSRRefH22_0x_0)</f>
        <v>4.5</v>
      </c>
      <c r="I25" s="1"/>
      <c r="J25" s="5">
        <f t="shared" si="13"/>
        <v>0.09</v>
      </c>
      <c r="K25" s="1"/>
      <c r="L25" s="1">
        <f t="shared" si="14"/>
        <v>43.51</v>
      </c>
      <c r="M25" s="1"/>
      <c r="N25" s="5">
        <f t="shared" si="15"/>
        <v>9.6688888888888886</v>
      </c>
      <c r="O25" s="14"/>
      <c r="P25" s="1">
        <f>SUM(OSRRefP22_0x_0)</f>
        <v>322.05</v>
      </c>
      <c r="Q25" s="1"/>
      <c r="R25" s="5">
        <f t="shared" si="16"/>
        <v>0.51284297020558312</v>
      </c>
      <c r="S25" s="1"/>
      <c r="T25" s="1">
        <f>SUM(OSRRefT22_0x_0)</f>
        <v>15.75</v>
      </c>
      <c r="U25" s="1"/>
      <c r="V25" s="5">
        <f t="shared" si="17"/>
        <v>0.09</v>
      </c>
      <c r="W25" s="1"/>
      <c r="X25" s="1">
        <f t="shared" si="18"/>
        <v>306.3</v>
      </c>
      <c r="Y25" s="1"/>
      <c r="Z25" s="5">
        <f t="shared" si="19"/>
        <v>19.44761904761905</v>
      </c>
    </row>
    <row r="26" spans="1:26" s="24" customFormat="1" hidden="1" outlineLevel="2" x14ac:dyDescent="0.3">
      <c r="A26" s="27"/>
      <c r="B26" s="11" t="str">
        <f>CONCATENATE("          ", "6381", " - ", "BANK/CREDIT CARD FEES")</f>
        <v xml:space="preserve">          6381 - BANK/CREDIT CARD FEES</v>
      </c>
      <c r="C26" s="11"/>
      <c r="D26" s="6">
        <v>48.01</v>
      </c>
      <c r="E26" s="2"/>
      <c r="F26" s="7">
        <f t="shared" si="12"/>
        <v>0.56917605216360401</v>
      </c>
      <c r="G26" s="2"/>
      <c r="H26" s="6">
        <v>4.5</v>
      </c>
      <c r="I26" s="2"/>
      <c r="J26" s="7">
        <f t="shared" si="13"/>
        <v>0.09</v>
      </c>
      <c r="K26" s="2"/>
      <c r="L26" s="6">
        <f t="shared" si="14"/>
        <v>43.51</v>
      </c>
      <c r="M26" s="2"/>
      <c r="N26" s="7">
        <f t="shared" si="15"/>
        <v>9.6688888888888886</v>
      </c>
      <c r="O26" s="11"/>
      <c r="P26" s="6">
        <v>322.05</v>
      </c>
      <c r="Q26" s="2"/>
      <c r="R26" s="7">
        <f t="shared" si="16"/>
        <v>0.51284297020558312</v>
      </c>
      <c r="S26" s="2"/>
      <c r="T26" s="6">
        <v>15.75</v>
      </c>
      <c r="U26" s="2"/>
      <c r="V26" s="7">
        <f t="shared" si="17"/>
        <v>0.09</v>
      </c>
      <c r="W26" s="2"/>
      <c r="X26" s="6">
        <f t="shared" si="18"/>
        <v>306.3</v>
      </c>
      <c r="Y26" s="2"/>
      <c r="Z26" s="7">
        <f t="shared" si="19"/>
        <v>19.44761904761905</v>
      </c>
    </row>
    <row r="27" spans="1:26" s="63" customFormat="1" x14ac:dyDescent="0.3">
      <c r="A27" s="36"/>
      <c r="B27" s="36"/>
      <c r="C27" s="36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6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3">
      <c r="A28" s="10"/>
      <c r="B28" s="25" t="s">
        <v>293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3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3">
      <c r="A30" s="10"/>
      <c r="B30" s="26" t="s">
        <v>277</v>
      </c>
      <c r="C30" s="26"/>
      <c r="D30" s="20">
        <f>+D22-D24+D28</f>
        <v>-128.66</v>
      </c>
      <c r="E30" s="13"/>
      <c r="F30" s="22">
        <f>IF(D$12=0,0,D30/D$12)</f>
        <v>-1.5253112033195022</v>
      </c>
      <c r="G30" s="13"/>
      <c r="H30" s="20">
        <f>+H22-H24+H28</f>
        <v>20.5</v>
      </c>
      <c r="I30" s="13"/>
      <c r="J30" s="22">
        <f>IF(H$12=0,0,H30/H$12)</f>
        <v>0.41</v>
      </c>
      <c r="K30" s="15"/>
      <c r="L30" s="20">
        <f>+D30-H30</f>
        <v>-149.16</v>
      </c>
      <c r="M30" s="15"/>
      <c r="N30" s="22">
        <f>IF(H30=0,0,L30/H30)</f>
        <v>-7.27609756097561</v>
      </c>
      <c r="O30" s="25"/>
      <c r="P30" s="20">
        <f>+P22-P24+P28</f>
        <v>325.71999999999997</v>
      </c>
      <c r="Q30" s="13"/>
      <c r="R30" s="22">
        <f>IF(P$12=0,0,P30/P$12)</f>
        <v>0.51868719843304611</v>
      </c>
      <c r="S30" s="13"/>
      <c r="T30" s="20">
        <f>+T22-T24+T28</f>
        <v>71.25</v>
      </c>
      <c r="U30" s="13"/>
      <c r="V30" s="22">
        <f>IF(T$12=0,0,T30/T$12)</f>
        <v>0.40714285714285714</v>
      </c>
      <c r="W30" s="15"/>
      <c r="X30" s="20">
        <f>+P30-T30</f>
        <v>254.46999999999997</v>
      </c>
      <c r="Y30" s="15"/>
      <c r="Z30" s="22">
        <f>IF(T30=0,0,X30/T30)</f>
        <v>3.5715087719298242</v>
      </c>
    </row>
    <row r="31" spans="1:26" x14ac:dyDescent="0.3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3">
      <c r="A32" s="52"/>
      <c r="B32" s="10" t="s">
        <v>128</v>
      </c>
      <c r="C32" s="10"/>
      <c r="D32" s="4">
        <v>11.96</v>
      </c>
      <c r="E32" s="4"/>
      <c r="F32" s="12">
        <f>IF(D$12=0,0,D32/D$12)</f>
        <v>0.14179016004742148</v>
      </c>
      <c r="G32" s="4"/>
      <c r="H32" s="4">
        <v>8</v>
      </c>
      <c r="I32" s="4"/>
      <c r="J32" s="12">
        <f>IF(H$12=0,0,H32/H$12)</f>
        <v>0.16</v>
      </c>
      <c r="K32" s="4"/>
      <c r="L32" s="4">
        <f>+D32-H32</f>
        <v>3.9600000000000009</v>
      </c>
      <c r="M32" s="4"/>
      <c r="N32" s="12">
        <f>IF(H32=0,0,L32/H32)</f>
        <v>0.49500000000000011</v>
      </c>
      <c r="O32" s="10"/>
      <c r="P32" s="4">
        <v>74.8</v>
      </c>
      <c r="Q32" s="4"/>
      <c r="R32" s="12">
        <f>IF(P$12=0,0,P32/P$12)</f>
        <v>0.11911397041259932</v>
      </c>
      <c r="S32" s="4"/>
      <c r="T32" s="4">
        <v>22</v>
      </c>
      <c r="U32" s="4"/>
      <c r="V32" s="12">
        <f>IF(T$12=0,0,T32/T$12)</f>
        <v>0.12571428571428572</v>
      </c>
      <c r="W32" s="4"/>
      <c r="X32" s="4">
        <f>+P32-T32</f>
        <v>52.8</v>
      </c>
      <c r="Y32" s="4"/>
      <c r="Z32" s="12">
        <f>IF(T32=0,0,X32/T32)</f>
        <v>2.4</v>
      </c>
    </row>
    <row r="33" spans="1:26" x14ac:dyDescent="0.3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" thickBot="1" x14ac:dyDescent="0.35">
      <c r="A34" s="10"/>
      <c r="B34" s="26" t="s">
        <v>126</v>
      </c>
      <c r="C34" s="26"/>
      <c r="D34" s="33">
        <f>+D30-D32</f>
        <v>-140.62</v>
      </c>
      <c r="E34" s="13"/>
      <c r="F34" s="34">
        <f>IF(D$12=0,0,D34/D$12)</f>
        <v>-1.6671013633669236</v>
      </c>
      <c r="G34" s="13"/>
      <c r="H34" s="33">
        <f>+H30-H32</f>
        <v>12.5</v>
      </c>
      <c r="I34" s="13"/>
      <c r="J34" s="34">
        <f>IF(H$12=0,0,H34/H$12)</f>
        <v>0.25</v>
      </c>
      <c r="K34" s="15"/>
      <c r="L34" s="33">
        <f>D34-H34</f>
        <v>-153.12</v>
      </c>
      <c r="M34" s="15"/>
      <c r="N34" s="34">
        <f>IF(H34=0,0,L34/H34)</f>
        <v>-12.249600000000001</v>
      </c>
      <c r="O34" s="25"/>
      <c r="P34" s="33">
        <f>+P30-P32</f>
        <v>250.91999999999996</v>
      </c>
      <c r="Q34" s="13"/>
      <c r="R34" s="34">
        <f>IF(P$12=0,0,P34/P$12)</f>
        <v>0.39957322802044676</v>
      </c>
      <c r="S34" s="13"/>
      <c r="T34" s="33">
        <f>+T30-T32</f>
        <v>49.25</v>
      </c>
      <c r="U34" s="13"/>
      <c r="V34" s="34">
        <f>IF(T$12=0,0,T34/T$12)</f>
        <v>0.28142857142857142</v>
      </c>
      <c r="W34" s="15"/>
      <c r="X34" s="33">
        <f>P34-T34</f>
        <v>201.66999999999996</v>
      </c>
      <c r="Y34" s="15"/>
      <c r="Z34" s="34">
        <f>IF(T34=0,0,X34/T34)</f>
        <v>4.0948223350253796</v>
      </c>
    </row>
    <row r="35" spans="1:26" ht="15" thickTop="1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3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" thickBot="1" x14ac:dyDescent="0.35">
      <c r="A37" s="10"/>
      <c r="B37" s="26" t="s">
        <v>294</v>
      </c>
      <c r="C37" s="26"/>
      <c r="D37" s="35">
        <f>SUM(D34:D36)</f>
        <v>-140.62</v>
      </c>
      <c r="E37" s="13"/>
      <c r="F37" s="32">
        <f>IF(D$12=0,0,D37/D$12)</f>
        <v>-1.6671013633669236</v>
      </c>
      <c r="G37" s="13"/>
      <c r="H37" s="35">
        <f>SUM(H34:H36)</f>
        <v>12.5</v>
      </c>
      <c r="I37" s="13"/>
      <c r="J37" s="32">
        <f>IF(H$12=0,0,H37/H$12)</f>
        <v>0.25</v>
      </c>
      <c r="K37" s="15"/>
      <c r="L37" s="35">
        <f>+D37-H37</f>
        <v>-153.12</v>
      </c>
      <c r="M37" s="15"/>
      <c r="N37" s="32">
        <f>IF(H37=0,0,L37/H37)</f>
        <v>-12.249600000000001</v>
      </c>
      <c r="O37" s="25"/>
      <c r="P37" s="35">
        <f>SUM(P34:P36)</f>
        <v>250.91999999999996</v>
      </c>
      <c r="Q37" s="13"/>
      <c r="R37" s="32">
        <f>IF(P$12=0,0,P37/P$12)</f>
        <v>0.39957322802044676</v>
      </c>
      <c r="S37" s="13"/>
      <c r="T37" s="35">
        <f>SUM(T34:T36)</f>
        <v>49.25</v>
      </c>
      <c r="U37" s="13"/>
      <c r="V37" s="32">
        <f>IF(T$12=0,0,T37/T$12)</f>
        <v>0.28142857142857142</v>
      </c>
      <c r="W37" s="15"/>
      <c r="X37" s="35">
        <f>+P37-T37</f>
        <v>201.66999999999996</v>
      </c>
      <c r="Y37" s="15"/>
      <c r="Z37" s="32">
        <f>IF(T37=0,0,X37/T37)</f>
        <v>4.0948223350253796</v>
      </c>
    </row>
    <row r="38" spans="1:26" ht="15" thickTop="1" x14ac:dyDescent="0.3">
      <c r="A38" s="9"/>
      <c r="C38" s="9"/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60">
        <v>44543.753113078703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8" t="s">
        <v>56</v>
      </c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A41" s="9"/>
      <c r="B41" s="55"/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  <row r="42" spans="1:26" x14ac:dyDescent="0.3">
      <c r="D42" s="17"/>
      <c r="E42" s="17"/>
      <c r="G42" s="17"/>
      <c r="H42" s="17"/>
      <c r="I42" s="17"/>
      <c r="J42" s="42"/>
      <c r="K42" s="17"/>
      <c r="L42" s="17"/>
      <c r="M42" s="17"/>
      <c r="P42" s="17"/>
      <c r="Q42" s="17"/>
      <c r="R42" s="42"/>
      <c r="S42" s="17"/>
      <c r="T42" s="17"/>
      <c r="U42" s="17"/>
      <c r="V42" s="42"/>
      <c r="W42" s="17"/>
      <c r="X42" s="17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218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C000"/>
    <outlinePr summaryBelow="0" summaryRight="0"/>
  </sheetPr>
  <dimension ref="A2:Z12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200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1387530.02</v>
      </c>
      <c r="E12" s="4"/>
      <c r="F12" s="12"/>
      <c r="G12" s="4"/>
      <c r="H12" s="4">
        <f>SUM(OSRRefH13x_0)</f>
        <v>888527</v>
      </c>
      <c r="I12" s="4"/>
      <c r="J12" s="12"/>
      <c r="K12" s="4"/>
      <c r="L12" s="4">
        <f t="shared" ref="L12:L18" si="0">+D12-H12</f>
        <v>499003.02</v>
      </c>
      <c r="M12" s="4"/>
      <c r="N12" s="12">
        <f t="shared" ref="N12:N18" si="1">IF(H12=0,0,L12/H12)</f>
        <v>0.56160704176687937</v>
      </c>
      <c r="O12" s="10"/>
      <c r="P12" s="4">
        <f>SUM(OSRRefP13x_0)</f>
        <v>5313120.67</v>
      </c>
      <c r="Q12" s="4"/>
      <c r="R12" s="12"/>
      <c r="S12" s="4"/>
      <c r="T12" s="4">
        <f>SUM(OSRRefT13x_0)</f>
        <v>4042245</v>
      </c>
      <c r="U12" s="4"/>
      <c r="V12" s="12"/>
      <c r="W12" s="4"/>
      <c r="X12" s="4">
        <f t="shared" ref="X12:X18" si="2">+P12-T12</f>
        <v>1270875.67</v>
      </c>
      <c r="Y12" s="4"/>
      <c r="Z12" s="12">
        <f t="shared" ref="Z12:Z18" si="3">IF(T12=0,0,X12/T12)</f>
        <v>0.31439847658912312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24656</v>
      </c>
      <c r="I13" s="2"/>
      <c r="J13" s="19"/>
      <c r="K13" s="2"/>
      <c r="L13" s="2">
        <f t="shared" si="0"/>
        <v>-24656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126183</v>
      </c>
      <c r="U13" s="2"/>
      <c r="V13" s="19"/>
      <c r="W13" s="2"/>
      <c r="X13" s="2">
        <f t="shared" si="2"/>
        <v>-126183</v>
      </c>
      <c r="Y13" s="2"/>
      <c r="Z13" s="19">
        <f t="shared" si="3"/>
        <v>-1</v>
      </c>
    </row>
    <row r="14" spans="1:26" s="24" customFormat="1" hidden="1" outlineLevel="1" x14ac:dyDescent="0.3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--23100.6</f>
        <v>23100.6</v>
      </c>
      <c r="E14" s="2"/>
      <c r="F14" s="19"/>
      <c r="G14" s="2"/>
      <c r="H14" s="2"/>
      <c r="I14" s="2"/>
      <c r="J14" s="19"/>
      <c r="K14" s="2"/>
      <c r="L14" s="2">
        <f t="shared" si="0"/>
        <v>23100.6</v>
      </c>
      <c r="M14" s="2"/>
      <c r="N14" s="19">
        <f t="shared" si="1"/>
        <v>0</v>
      </c>
      <c r="O14" s="11"/>
      <c r="P14" s="2">
        <f>--127351.17</f>
        <v>127351.17</v>
      </c>
      <c r="Q14" s="2"/>
      <c r="R14" s="19"/>
      <c r="S14" s="2"/>
      <c r="T14" s="2"/>
      <c r="U14" s="2"/>
      <c r="V14" s="19"/>
      <c r="W14" s="2"/>
      <c r="X14" s="2">
        <f t="shared" si="2"/>
        <v>127351.17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--1953.51</f>
        <v>1953.51</v>
      </c>
      <c r="E15" s="2"/>
      <c r="F15" s="19"/>
      <c r="G15" s="2"/>
      <c r="H15" s="2"/>
      <c r="I15" s="2"/>
      <c r="J15" s="19"/>
      <c r="K15" s="2"/>
      <c r="L15" s="2">
        <f t="shared" si="0"/>
        <v>1953.51</v>
      </c>
      <c r="M15" s="2"/>
      <c r="N15" s="19">
        <f t="shared" si="1"/>
        <v>0</v>
      </c>
      <c r="O15" s="11"/>
      <c r="P15" s="2">
        <f>--7999.01</f>
        <v>7999.01</v>
      </c>
      <c r="Q15" s="2"/>
      <c r="R15" s="19"/>
      <c r="S15" s="2"/>
      <c r="T15" s="2"/>
      <c r="U15" s="2"/>
      <c r="V15" s="19"/>
      <c r="W15" s="2"/>
      <c r="X15" s="2">
        <f t="shared" si="2"/>
        <v>7999.01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>0</f>
        <v>0</v>
      </c>
      <c r="E16" s="2"/>
      <c r="F16" s="19"/>
      <c r="G16" s="2"/>
      <c r="H16" s="2">
        <v>863871</v>
      </c>
      <c r="I16" s="2"/>
      <c r="J16" s="19"/>
      <c r="K16" s="2"/>
      <c r="L16" s="2">
        <f t="shared" si="0"/>
        <v>-863871</v>
      </c>
      <c r="M16" s="2"/>
      <c r="N16" s="19">
        <f t="shared" si="1"/>
        <v>-1</v>
      </c>
      <c r="O16" s="11"/>
      <c r="P16" s="2">
        <f>0</f>
        <v>0</v>
      </c>
      <c r="Q16" s="2"/>
      <c r="R16" s="19"/>
      <c r="S16" s="2"/>
      <c r="T16" s="2">
        <v>3916062</v>
      </c>
      <c r="U16" s="2"/>
      <c r="V16" s="19"/>
      <c r="W16" s="2"/>
      <c r="X16" s="2">
        <f t="shared" si="2"/>
        <v>-3916062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"4151", " - ", "NON-TAXABLE SALES-FOOD")</f>
        <v xml:space="preserve">          4151 - NON-TAXABLE SALES-FOOD</v>
      </c>
      <c r="C17" s="11"/>
      <c r="D17" s="2">
        <f>--1356110.78</f>
        <v>1356110.78</v>
      </c>
      <c r="E17" s="2"/>
      <c r="F17" s="19"/>
      <c r="G17" s="2"/>
      <c r="H17" s="2"/>
      <c r="I17" s="2"/>
      <c r="J17" s="19"/>
      <c r="K17" s="2"/>
      <c r="L17" s="2">
        <f t="shared" si="0"/>
        <v>1356110.78</v>
      </c>
      <c r="M17" s="2"/>
      <c r="N17" s="19">
        <f t="shared" si="1"/>
        <v>0</v>
      </c>
      <c r="O17" s="11"/>
      <c r="P17" s="2">
        <f>--5127000.66</f>
        <v>5127000.66</v>
      </c>
      <c r="Q17" s="2"/>
      <c r="R17" s="19"/>
      <c r="S17" s="2"/>
      <c r="T17" s="2"/>
      <c r="U17" s="2"/>
      <c r="V17" s="19"/>
      <c r="W17" s="2"/>
      <c r="X17" s="2">
        <f t="shared" si="2"/>
        <v>5127000.66</v>
      </c>
      <c r="Y17" s="2"/>
      <c r="Z17" s="19">
        <f t="shared" si="3"/>
        <v>0</v>
      </c>
    </row>
    <row r="18" spans="1:26" s="24" customFormat="1" hidden="1" outlineLevel="1" x14ac:dyDescent="0.3">
      <c r="A18" s="44"/>
      <c r="B18" s="11" t="str">
        <f>CONCATENATE("          ", "4153", " - ", "NON-TAXABLE SALES-FOOD")</f>
        <v xml:space="preserve">          4153 - NON-TAXABLE SALES-FOOD</v>
      </c>
      <c r="C18" s="11"/>
      <c r="D18" s="2">
        <f>--6365.13</f>
        <v>6365.13</v>
      </c>
      <c r="E18" s="2"/>
      <c r="F18" s="19"/>
      <c r="G18" s="2"/>
      <c r="H18" s="2"/>
      <c r="I18" s="2"/>
      <c r="J18" s="19"/>
      <c r="K18" s="2"/>
      <c r="L18" s="2">
        <f t="shared" si="0"/>
        <v>6365.13</v>
      </c>
      <c r="M18" s="2"/>
      <c r="N18" s="19">
        <f t="shared" si="1"/>
        <v>0</v>
      </c>
      <c r="O18" s="11"/>
      <c r="P18" s="2">
        <f>--50769.83</f>
        <v>50769.83</v>
      </c>
      <c r="Q18" s="2"/>
      <c r="R18" s="19"/>
      <c r="S18" s="2"/>
      <c r="T18" s="2"/>
      <c r="U18" s="2"/>
      <c r="V18" s="19"/>
      <c r="W18" s="2"/>
      <c r="X18" s="2">
        <f t="shared" si="2"/>
        <v>50769.83</v>
      </c>
      <c r="Y18" s="2"/>
      <c r="Z18" s="19">
        <f t="shared" si="3"/>
        <v>0</v>
      </c>
    </row>
    <row r="19" spans="1:26" x14ac:dyDescent="0.3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3">
      <c r="A20" s="10"/>
      <c r="B20" s="25" t="s">
        <v>257</v>
      </c>
      <c r="C20" s="10"/>
      <c r="D20" s="4">
        <f>SUM(OSRRefD16x_0)</f>
        <v>325183.37</v>
      </c>
      <c r="E20" s="4"/>
      <c r="F20" s="12">
        <f t="shared" ref="F20:F23" si="4">IF(D$12=0,0,D20/D$12)</f>
        <v>0.23436132214278146</v>
      </c>
      <c r="G20" s="4"/>
      <c r="H20" s="4">
        <f>SUM(OSRRefH16x_0)</f>
        <v>242733</v>
      </c>
      <c r="I20" s="4"/>
      <c r="J20" s="12">
        <f t="shared" ref="J20:J23" si="5">IF(H$12=0,0,H20/H$12)</f>
        <v>0.27318584578746624</v>
      </c>
      <c r="K20" s="4"/>
      <c r="L20" s="4">
        <f t="shared" ref="L20:L23" si="6">+D20-H20</f>
        <v>82450.37</v>
      </c>
      <c r="M20" s="4"/>
      <c r="N20" s="12">
        <f t="shared" ref="N20:N23" si="7">IF(H20=0,0,L20/H20)</f>
        <v>0.33967515747755761</v>
      </c>
      <c r="O20" s="10"/>
      <c r="P20" s="4">
        <f>SUM(OSRRefP16x_0)</f>
        <v>1469513.58</v>
      </c>
      <c r="Q20" s="4"/>
      <c r="R20" s="12">
        <f t="shared" ref="R20:R23" si="8">IF(P$12=0,0,P20/P$12)</f>
        <v>0.2765820073120982</v>
      </c>
      <c r="S20" s="4"/>
      <c r="T20" s="4">
        <f>SUM(OSRRefT16x_0)</f>
        <v>1176565</v>
      </c>
      <c r="U20" s="4"/>
      <c r="V20" s="12">
        <f t="shared" ref="V20:V23" si="9">IF(T$12=0,0,T20/T$12)</f>
        <v>0.29106721636120519</v>
      </c>
      <c r="W20" s="4"/>
      <c r="X20" s="4">
        <f t="shared" ref="X20:X23" si="10">+P20-T20</f>
        <v>292948.58000000007</v>
      </c>
      <c r="Y20" s="4"/>
      <c r="Z20" s="12">
        <f t="shared" ref="Z20:Z23" si="11">IF(T20=0,0,X20/T20)</f>
        <v>0.24898631184847422</v>
      </c>
    </row>
    <row r="21" spans="1:26" s="24" customFormat="1" hidden="1" outlineLevel="1" x14ac:dyDescent="0.3">
      <c r="A21" s="44"/>
      <c r="B21" s="11" t="str">
        <f>CONCATENATE("          ", "5000", " - ", "PURCHASES @ COST")</f>
        <v xml:space="preserve">          5000 - PURCHASES @ COST</v>
      </c>
      <c r="C21" s="11"/>
      <c r="D21" s="2"/>
      <c r="E21" s="2"/>
      <c r="F21" s="19">
        <f t="shared" si="4"/>
        <v>0</v>
      </c>
      <c r="G21" s="2"/>
      <c r="H21" s="2">
        <v>242733</v>
      </c>
      <c r="I21" s="2"/>
      <c r="J21" s="19">
        <f t="shared" si="5"/>
        <v>0.27318584578746624</v>
      </c>
      <c r="K21" s="2"/>
      <c r="L21" s="2">
        <f t="shared" si="6"/>
        <v>-242733</v>
      </c>
      <c r="M21" s="2"/>
      <c r="N21" s="19">
        <f t="shared" si="7"/>
        <v>-1</v>
      </c>
      <c r="O21" s="11"/>
      <c r="P21" s="2"/>
      <c r="Q21" s="2"/>
      <c r="R21" s="19">
        <f t="shared" si="8"/>
        <v>0</v>
      </c>
      <c r="S21" s="2"/>
      <c r="T21" s="2">
        <v>1176565</v>
      </c>
      <c r="U21" s="2"/>
      <c r="V21" s="19">
        <f t="shared" si="9"/>
        <v>0.29106721636120519</v>
      </c>
      <c r="W21" s="2"/>
      <c r="X21" s="2">
        <f t="shared" si="10"/>
        <v>-1176565</v>
      </c>
      <c r="Y21" s="2"/>
      <c r="Z21" s="19">
        <f t="shared" si="11"/>
        <v>-1</v>
      </c>
    </row>
    <row r="22" spans="1:26" s="24" customFormat="1" hidden="1" outlineLevel="1" x14ac:dyDescent="0.3">
      <c r="A22" s="44"/>
      <c r="B22" s="11" t="str">
        <f>CONCATENATE("          ", "5053", " - ", "PURCHASES @ COST-FOOD")</f>
        <v xml:space="preserve">          5053 - PURCHASES @ COST-FOOD</v>
      </c>
      <c r="C22" s="11"/>
      <c r="D22" s="2">
        <v>316830.11</v>
      </c>
      <c r="E22" s="2"/>
      <c r="F22" s="19">
        <f t="shared" si="4"/>
        <v>0.22834108482928533</v>
      </c>
      <c r="G22" s="2"/>
      <c r="H22" s="2"/>
      <c r="I22" s="2"/>
      <c r="J22" s="19">
        <f t="shared" si="5"/>
        <v>0</v>
      </c>
      <c r="K22" s="2"/>
      <c r="L22" s="2">
        <f t="shared" si="6"/>
        <v>316830.11</v>
      </c>
      <c r="M22" s="2"/>
      <c r="N22" s="19">
        <f t="shared" si="7"/>
        <v>0</v>
      </c>
      <c r="O22" s="11"/>
      <c r="P22" s="2">
        <v>1523924.24</v>
      </c>
      <c r="Q22" s="2"/>
      <c r="R22" s="19">
        <f t="shared" si="8"/>
        <v>0.28682281744600391</v>
      </c>
      <c r="S22" s="2"/>
      <c r="T22" s="2"/>
      <c r="U22" s="2"/>
      <c r="V22" s="19">
        <f t="shared" si="9"/>
        <v>0</v>
      </c>
      <c r="W22" s="2"/>
      <c r="X22" s="2">
        <f t="shared" si="10"/>
        <v>1523924.24</v>
      </c>
      <c r="Y22" s="2"/>
      <c r="Z22" s="19">
        <f t="shared" si="11"/>
        <v>0</v>
      </c>
    </row>
    <row r="23" spans="1:26" s="24" customFormat="1" hidden="1" outlineLevel="1" x14ac:dyDescent="0.3">
      <c r="A23" s="44"/>
      <c r="B23" s="11" t="str">
        <f>CONCATENATE("          ", "5059", " - ", "PURCHASES @ COST-FOOD")</f>
        <v xml:space="preserve">          5059 - PURCHASES @ COST-FOOD</v>
      </c>
      <c r="C23" s="11"/>
      <c r="D23" s="2">
        <v>8353.26</v>
      </c>
      <c r="E23" s="2"/>
      <c r="F23" s="19">
        <f t="shared" si="4"/>
        <v>6.020237313496107E-3</v>
      </c>
      <c r="G23" s="2"/>
      <c r="H23" s="2"/>
      <c r="I23" s="2"/>
      <c r="J23" s="19">
        <f t="shared" si="5"/>
        <v>0</v>
      </c>
      <c r="K23" s="2"/>
      <c r="L23" s="2">
        <f t="shared" si="6"/>
        <v>8353.26</v>
      </c>
      <c r="M23" s="2"/>
      <c r="N23" s="19">
        <f t="shared" si="7"/>
        <v>0</v>
      </c>
      <c r="O23" s="11"/>
      <c r="P23" s="2">
        <v>-54410.66</v>
      </c>
      <c r="Q23" s="2"/>
      <c r="R23" s="19">
        <f t="shared" si="8"/>
        <v>-1.024081013390573E-2</v>
      </c>
      <c r="S23" s="2"/>
      <c r="T23" s="2"/>
      <c r="U23" s="2"/>
      <c r="V23" s="19">
        <f t="shared" si="9"/>
        <v>0</v>
      </c>
      <c r="W23" s="2"/>
      <c r="X23" s="2">
        <f t="shared" si="10"/>
        <v>-54410.66</v>
      </c>
      <c r="Y23" s="2"/>
      <c r="Z23" s="19">
        <f t="shared" si="11"/>
        <v>0</v>
      </c>
    </row>
    <row r="24" spans="1:26" x14ac:dyDescent="0.3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3">
      <c r="A25" s="10"/>
      <c r="B25" s="26" t="s">
        <v>108</v>
      </c>
      <c r="C25" s="26"/>
      <c r="D25" s="20">
        <f>D12-D20</f>
        <v>1062346.6499999999</v>
      </c>
      <c r="E25" s="13"/>
      <c r="F25" s="22">
        <f>IF(D$12=0,0,D25/D$12)</f>
        <v>0.76563867785721851</v>
      </c>
      <c r="G25" s="13"/>
      <c r="H25" s="20">
        <f>H12-H20</f>
        <v>645794</v>
      </c>
      <c r="I25" s="13"/>
      <c r="J25" s="22">
        <f>IF(H$12=0,0,H25/H$12)</f>
        <v>0.72681415421253381</v>
      </c>
      <c r="K25" s="15"/>
      <c r="L25" s="20">
        <f>+D25-H25</f>
        <v>416552.64999999991</v>
      </c>
      <c r="M25" s="15"/>
      <c r="N25" s="22">
        <f>IF(H25=0,0,L25/H25)</f>
        <v>0.64502403243139439</v>
      </c>
      <c r="O25" s="25"/>
      <c r="P25" s="20">
        <f>P12-P20</f>
        <v>3843607.09</v>
      </c>
      <c r="Q25" s="13"/>
      <c r="R25" s="22">
        <f>IF(P$12=0,0,P25/P$12)</f>
        <v>0.72341799268790175</v>
      </c>
      <c r="S25" s="13"/>
      <c r="T25" s="20">
        <f>T12-T20</f>
        <v>2865680</v>
      </c>
      <c r="U25" s="13"/>
      <c r="V25" s="22">
        <f>IF(T$12=0,0,T25/T$12)</f>
        <v>0.70893278363879475</v>
      </c>
      <c r="W25" s="15"/>
      <c r="X25" s="20">
        <f>+P25-T25</f>
        <v>977927.08999999985</v>
      </c>
      <c r="Y25" s="15"/>
      <c r="Z25" s="22">
        <f>IF(T25=0,0,X25/T25)</f>
        <v>0.34125481212138126</v>
      </c>
    </row>
    <row r="26" spans="1:26" x14ac:dyDescent="0.3">
      <c r="A26" s="9"/>
      <c r="B26" s="10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6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3">
      <c r="A27" s="10"/>
      <c r="B27" s="25" t="s">
        <v>295</v>
      </c>
      <c r="C27" s="10"/>
      <c r="D27" s="21">
        <f>SUM(OSRRefD22x_0)</f>
        <v>647580.8899999999</v>
      </c>
      <c r="E27" s="21"/>
      <c r="F27" s="30">
        <f t="shared" ref="F27:F38" si="12">IF(D$12=0,0,D27/D$12)</f>
        <v>0.46671486790606509</v>
      </c>
      <c r="G27" s="21"/>
      <c r="H27" s="21">
        <f>SUM(OSRRefH22x_0)</f>
        <v>668479.28894703439</v>
      </c>
      <c r="I27" s="21"/>
      <c r="J27" s="30">
        <f t="shared" ref="J27:J38" si="13">IF(H$12=0,0,H27/H$12)</f>
        <v>0.75234549872658274</v>
      </c>
      <c r="K27" s="4"/>
      <c r="L27" s="21">
        <f t="shared" ref="L27:L38" si="14">+D27-H27</f>
        <v>-20898.398947034497</v>
      </c>
      <c r="M27" s="4"/>
      <c r="N27" s="30">
        <f t="shared" ref="N27:N38" si="15">IF(H27=0,0,L27/H27)</f>
        <v>-3.1262597499397381E-2</v>
      </c>
      <c r="O27" s="10"/>
      <c r="P27" s="21">
        <f>SUM(OSRRefP22x_0)</f>
        <v>3137582.0099999993</v>
      </c>
      <c r="Q27" s="21"/>
      <c r="R27" s="30">
        <f t="shared" ref="R27:R38" si="16">IF(P$12=0,0,P27/P$12)</f>
        <v>0.59053467912295687</v>
      </c>
      <c r="S27" s="21"/>
      <c r="T27" s="21">
        <f>SUM(OSRRefT22x_0)</f>
        <v>3351095.189463546</v>
      </c>
      <c r="U27" s="21"/>
      <c r="V27" s="30">
        <f t="shared" ref="V27:V38" si="17">IF(T$12=0,0,T27/T$12)</f>
        <v>0.82901832755400673</v>
      </c>
      <c r="W27" s="4"/>
      <c r="X27" s="21">
        <f t="shared" ref="X27:X38" si="18">+P27-T27</f>
        <v>-213513.17946354672</v>
      </c>
      <c r="Y27" s="4"/>
      <c r="Z27" s="30">
        <f t="shared" ref="Z27:Z38" si="19">IF(T27=0,0,X27/T27)</f>
        <v>-6.3714447782584949E-2</v>
      </c>
    </row>
    <row r="28" spans="1:26" s="29" customFormat="1" outlineLevel="1" collapsed="1" x14ac:dyDescent="0.3">
      <c r="A28" s="28"/>
      <c r="B28" s="14" t="str">
        <f>CONCATENATE("     ","*Benefits                                         ")</f>
        <v xml:space="preserve">     *Benefits                                         </v>
      </c>
      <c r="C28" s="14"/>
      <c r="D28" s="1">
        <f>SUM(OSRRefD22_0x_0)</f>
        <v>117729.47000000002</v>
      </c>
      <c r="E28" s="1"/>
      <c r="F28" s="5">
        <f t="shared" si="12"/>
        <v>8.4848232689048425E-2</v>
      </c>
      <c r="G28" s="1"/>
      <c r="H28" s="1">
        <f>SUM(OSRRefH22_0x_0)</f>
        <v>131689.38025318834</v>
      </c>
      <c r="I28" s="1"/>
      <c r="J28" s="5">
        <f t="shared" si="13"/>
        <v>0.14821089314470842</v>
      </c>
      <c r="K28" s="1"/>
      <c r="L28" s="1">
        <f t="shared" si="14"/>
        <v>-13959.910253188325</v>
      </c>
      <c r="M28" s="1"/>
      <c r="N28" s="5">
        <f t="shared" si="15"/>
        <v>-0.10600634786456398</v>
      </c>
      <c r="O28" s="14"/>
      <c r="P28" s="1">
        <f>SUM(OSRRefP22_0x_0)</f>
        <v>572901.35</v>
      </c>
      <c r="Q28" s="1"/>
      <c r="R28" s="5">
        <f t="shared" si="16"/>
        <v>0.1078276563968949</v>
      </c>
      <c r="S28" s="1"/>
      <c r="T28" s="1">
        <f>SUM(OSRRefT22_0x_0)</f>
        <v>706991.62298739271</v>
      </c>
      <c r="U28" s="1"/>
      <c r="V28" s="5">
        <f t="shared" si="17"/>
        <v>0.17490073535557413</v>
      </c>
      <c r="W28" s="1"/>
      <c r="X28" s="1">
        <f t="shared" si="18"/>
        <v>-134090.27298739273</v>
      </c>
      <c r="Y28" s="1"/>
      <c r="Z28" s="5">
        <f t="shared" si="19"/>
        <v>-0.18966317086020673</v>
      </c>
    </row>
    <row r="29" spans="1:26" s="24" customFormat="1" hidden="1" outlineLevel="2" x14ac:dyDescent="0.3">
      <c r="A29" s="27"/>
      <c r="B29" s="11" t="str">
        <f>CONCATENATE("          ", "6111", " - ", "F.I.C.A.")</f>
        <v xml:space="preserve">          6111 - F.I.C.A.</v>
      </c>
      <c r="C29" s="11"/>
      <c r="D29" s="6">
        <v>16259.55</v>
      </c>
      <c r="E29" s="2"/>
      <c r="F29" s="7">
        <f t="shared" si="12"/>
        <v>1.1718341056145221E-2</v>
      </c>
      <c r="G29" s="2"/>
      <c r="H29" s="6">
        <v>14678.115511342199</v>
      </c>
      <c r="I29" s="2"/>
      <c r="J29" s="7">
        <f t="shared" si="13"/>
        <v>1.6519605494646983E-2</v>
      </c>
      <c r="K29" s="2"/>
      <c r="L29" s="6">
        <f t="shared" si="14"/>
        <v>1581.4344886578001</v>
      </c>
      <c r="M29" s="2"/>
      <c r="N29" s="7">
        <f t="shared" si="15"/>
        <v>0.10774097583819807</v>
      </c>
      <c r="O29" s="11"/>
      <c r="P29" s="6">
        <v>83599.509999999995</v>
      </c>
      <c r="Q29" s="2"/>
      <c r="R29" s="7">
        <f t="shared" si="16"/>
        <v>1.5734540055157453E-2</v>
      </c>
      <c r="S29" s="2"/>
      <c r="T29" s="6">
        <v>83591.268628315796</v>
      </c>
      <c r="U29" s="2"/>
      <c r="V29" s="7">
        <f t="shared" si="17"/>
        <v>2.0679416667796185E-2</v>
      </c>
      <c r="W29" s="2"/>
      <c r="X29" s="6">
        <f t="shared" si="18"/>
        <v>8.2413716841983842</v>
      </c>
      <c r="Y29" s="2"/>
      <c r="Z29" s="7">
        <f t="shared" si="19"/>
        <v>9.8591298103671717E-5</v>
      </c>
    </row>
    <row r="30" spans="1:26" s="24" customFormat="1" hidden="1" outlineLevel="2" x14ac:dyDescent="0.3">
      <c r="A30" s="27"/>
      <c r="B30" s="11" t="str">
        <f>CONCATENATE("          ", "6112", " - ", "COMPENSATION INSURANCE")</f>
        <v xml:space="preserve">          6112 - COMPENSATION INSURANCE</v>
      </c>
      <c r="C30" s="11"/>
      <c r="D30" s="6">
        <v>10652.62</v>
      </c>
      <c r="E30" s="2"/>
      <c r="F30" s="7">
        <f t="shared" si="12"/>
        <v>7.6773978555072994E-3</v>
      </c>
      <c r="G30" s="2"/>
      <c r="H30" s="6">
        <v>12741.2628200492</v>
      </c>
      <c r="I30" s="2"/>
      <c r="J30" s="7">
        <f t="shared" si="13"/>
        <v>1.4339758746835156E-2</v>
      </c>
      <c r="K30" s="2"/>
      <c r="L30" s="6">
        <f t="shared" si="14"/>
        <v>-2088.6428200491991</v>
      </c>
      <c r="M30" s="2"/>
      <c r="N30" s="7">
        <f t="shared" si="15"/>
        <v>-0.16392745754860222</v>
      </c>
      <c r="O30" s="11"/>
      <c r="P30" s="6">
        <v>46638.28</v>
      </c>
      <c r="Q30" s="2"/>
      <c r="R30" s="7">
        <f t="shared" si="16"/>
        <v>8.7779448080933572E-3</v>
      </c>
      <c r="S30" s="2"/>
      <c r="T30" s="6">
        <v>62632.231750890802</v>
      </c>
      <c r="U30" s="2"/>
      <c r="V30" s="7">
        <f t="shared" si="17"/>
        <v>1.5494417520682393E-2</v>
      </c>
      <c r="W30" s="2"/>
      <c r="X30" s="6">
        <f t="shared" si="18"/>
        <v>-15993.951750890803</v>
      </c>
      <c r="Y30" s="2"/>
      <c r="Z30" s="7">
        <f t="shared" si="19"/>
        <v>-0.25536295456473695</v>
      </c>
    </row>
    <row r="31" spans="1:26" s="24" customFormat="1" hidden="1" outlineLevel="2" x14ac:dyDescent="0.3">
      <c r="A31" s="27"/>
      <c r="B31" s="11" t="str">
        <f>CONCATENATE("          ", "6113", " - ", "GROUP INSURANCE")</f>
        <v xml:space="preserve">          6113 - GROUP INSURANCE</v>
      </c>
      <c r="C31" s="11"/>
      <c r="D31" s="6">
        <v>57555.43</v>
      </c>
      <c r="E31" s="2"/>
      <c r="F31" s="7">
        <f t="shared" si="12"/>
        <v>4.148049351753845E-2</v>
      </c>
      <c r="G31" s="2"/>
      <c r="H31" s="6">
        <v>73444.073076923101</v>
      </c>
      <c r="I31" s="2"/>
      <c r="J31" s="7">
        <f t="shared" si="13"/>
        <v>8.2658234445237011E-2</v>
      </c>
      <c r="K31" s="2"/>
      <c r="L31" s="6">
        <f t="shared" si="14"/>
        <v>-15888.643076923101</v>
      </c>
      <c r="M31" s="2"/>
      <c r="N31" s="7">
        <f t="shared" si="15"/>
        <v>-0.21633662746729496</v>
      </c>
      <c r="O31" s="11"/>
      <c r="P31" s="6">
        <v>277057.08</v>
      </c>
      <c r="Q31" s="2"/>
      <c r="R31" s="7">
        <f t="shared" si="16"/>
        <v>5.2145828639724841E-2</v>
      </c>
      <c r="S31" s="2"/>
      <c r="T31" s="6">
        <v>400876.35</v>
      </c>
      <c r="U31" s="2"/>
      <c r="V31" s="7">
        <f t="shared" si="17"/>
        <v>9.9171710274859631E-2</v>
      </c>
      <c r="W31" s="2"/>
      <c r="X31" s="6">
        <f t="shared" si="18"/>
        <v>-123819.26999999996</v>
      </c>
      <c r="Y31" s="2"/>
      <c r="Z31" s="7">
        <f t="shared" si="19"/>
        <v>-0.30887147620457023</v>
      </c>
    </row>
    <row r="32" spans="1:26" s="24" customFormat="1" hidden="1" outlineLevel="2" x14ac:dyDescent="0.3">
      <c r="A32" s="27"/>
      <c r="B32" s="11" t="str">
        <f>CONCATENATE("          ", "6114", " - ", "STATE UNEMPLOYMENT INSURANCE")</f>
        <v xml:space="preserve">          6114 - STATE UNEMPLOYMENT INSURANCE</v>
      </c>
      <c r="C32" s="11"/>
      <c r="D32" s="6">
        <v>799.48</v>
      </c>
      <c r="E32" s="2"/>
      <c r="F32" s="7">
        <f t="shared" si="12"/>
        <v>5.7618933534857861E-4</v>
      </c>
      <c r="G32" s="2"/>
      <c r="H32" s="6">
        <v>705.98026179692397</v>
      </c>
      <c r="I32" s="2"/>
      <c r="J32" s="7">
        <f t="shared" si="13"/>
        <v>7.945512762098664E-4</v>
      </c>
      <c r="K32" s="2"/>
      <c r="L32" s="6">
        <f t="shared" si="14"/>
        <v>93.499738203076049</v>
      </c>
      <c r="M32" s="2"/>
      <c r="N32" s="7">
        <f t="shared" si="15"/>
        <v>0.13243959252499804</v>
      </c>
      <c r="O32" s="11"/>
      <c r="P32" s="6">
        <v>3530.06</v>
      </c>
      <c r="Q32" s="2"/>
      <c r="R32" s="7">
        <f t="shared" si="16"/>
        <v>6.6440425867459168E-4</v>
      </c>
      <c r="S32" s="2"/>
      <c r="T32" s="6">
        <v>3470.3875112630799</v>
      </c>
      <c r="U32" s="2"/>
      <c r="V32" s="7">
        <f t="shared" si="17"/>
        <v>8.5852973069744159E-4</v>
      </c>
      <c r="W32" s="2"/>
      <c r="X32" s="6">
        <f t="shared" si="18"/>
        <v>59.672488736920059</v>
      </c>
      <c r="Y32" s="2"/>
      <c r="Z32" s="7">
        <f t="shared" si="19"/>
        <v>1.7194762412916158E-2</v>
      </c>
    </row>
    <row r="33" spans="1:26" s="24" customFormat="1" hidden="1" outlineLevel="2" x14ac:dyDescent="0.3">
      <c r="A33" s="27"/>
      <c r="B33" s="11" t="str">
        <f>CONCATENATE("          ", "6115", " - ", "P.E.R.S.")</f>
        <v xml:space="preserve">          6115 - P.E.R.S.</v>
      </c>
      <c r="C33" s="11"/>
      <c r="D33" s="6">
        <v>7341.91</v>
      </c>
      <c r="E33" s="2"/>
      <c r="F33" s="7">
        <f t="shared" si="12"/>
        <v>5.2913521827801608E-3</v>
      </c>
      <c r="G33" s="2"/>
      <c r="H33" s="6">
        <v>6180.7902307692302</v>
      </c>
      <c r="I33" s="2"/>
      <c r="J33" s="7">
        <f t="shared" si="13"/>
        <v>6.9562210611148903E-3</v>
      </c>
      <c r="K33" s="2"/>
      <c r="L33" s="6">
        <f t="shared" si="14"/>
        <v>1161.1197692307696</v>
      </c>
      <c r="M33" s="2"/>
      <c r="N33" s="7">
        <f t="shared" si="15"/>
        <v>0.18785943639544331</v>
      </c>
      <c r="O33" s="11"/>
      <c r="P33" s="6">
        <v>38670.54</v>
      </c>
      <c r="Q33" s="2"/>
      <c r="R33" s="7">
        <f t="shared" si="16"/>
        <v>7.2783101310590036E-3</v>
      </c>
      <c r="S33" s="2"/>
      <c r="T33" s="6">
        <v>33994.346269230802</v>
      </c>
      <c r="U33" s="2"/>
      <c r="V33" s="7">
        <f t="shared" si="17"/>
        <v>8.4097688955594736E-3</v>
      </c>
      <c r="W33" s="2"/>
      <c r="X33" s="6">
        <f t="shared" si="18"/>
        <v>4676.1937307691987</v>
      </c>
      <c r="Y33" s="2"/>
      <c r="Z33" s="7">
        <f t="shared" si="19"/>
        <v>0.13755798372277414</v>
      </c>
    </row>
    <row r="34" spans="1:26" s="24" customFormat="1" hidden="1" outlineLevel="2" x14ac:dyDescent="0.3">
      <c r="A34" s="27"/>
      <c r="B34" s="11" t="str">
        <f>CONCATENATE("          ", "6116", " - ", "EDUCATIONAL BENEFITS")</f>
        <v xml:space="preserve">          6116 - EDUCATIONAL BENEFITS</v>
      </c>
      <c r="C34" s="11"/>
      <c r="D34" s="6"/>
      <c r="E34" s="2"/>
      <c r="F34" s="7">
        <f t="shared" si="12"/>
        <v>0</v>
      </c>
      <c r="G34" s="2"/>
      <c r="H34" s="6">
        <v>0</v>
      </c>
      <c r="I34" s="2"/>
      <c r="J34" s="7">
        <f t="shared" si="13"/>
        <v>0</v>
      </c>
      <c r="K34" s="2"/>
      <c r="L34" s="6">
        <f t="shared" si="14"/>
        <v>0</v>
      </c>
      <c r="M34" s="2"/>
      <c r="N34" s="7">
        <f t="shared" si="15"/>
        <v>0</v>
      </c>
      <c r="O34" s="11"/>
      <c r="P34" s="6"/>
      <c r="Q34" s="2"/>
      <c r="R34" s="7">
        <f t="shared" si="16"/>
        <v>0</v>
      </c>
      <c r="S34" s="2"/>
      <c r="T34" s="6">
        <v>0</v>
      </c>
      <c r="U34" s="2"/>
      <c r="V34" s="7">
        <f t="shared" si="17"/>
        <v>0</v>
      </c>
      <c r="W34" s="2"/>
      <c r="X34" s="6">
        <f t="shared" si="18"/>
        <v>0</v>
      </c>
      <c r="Y34" s="2"/>
      <c r="Z34" s="7">
        <f t="shared" si="19"/>
        <v>0</v>
      </c>
    </row>
    <row r="35" spans="1:26" s="24" customFormat="1" hidden="1" outlineLevel="2" x14ac:dyDescent="0.3">
      <c r="A35" s="27"/>
      <c r="B35" s="11" t="str">
        <f>CONCATENATE("          ", "6117", " - ", "RETIREMENT STAFF HOURLY")</f>
        <v xml:space="preserve">          6117 - RETIREMENT STAFF HOURLY</v>
      </c>
      <c r="C35" s="11"/>
      <c r="D35" s="6">
        <v>1804.57</v>
      </c>
      <c r="E35" s="2"/>
      <c r="F35" s="7">
        <f t="shared" si="12"/>
        <v>1.3005628519662587E-3</v>
      </c>
      <c r="G35" s="2"/>
      <c r="H35" s="6"/>
      <c r="I35" s="2"/>
      <c r="J35" s="7">
        <f t="shared" si="13"/>
        <v>0</v>
      </c>
      <c r="K35" s="2"/>
      <c r="L35" s="6">
        <f t="shared" si="14"/>
        <v>1804.57</v>
      </c>
      <c r="M35" s="2"/>
      <c r="N35" s="7">
        <f t="shared" si="15"/>
        <v>0</v>
      </c>
      <c r="O35" s="11"/>
      <c r="P35" s="6">
        <v>8289.98</v>
      </c>
      <c r="Q35" s="2"/>
      <c r="R35" s="7">
        <f t="shared" si="16"/>
        <v>1.5602845323669263E-3</v>
      </c>
      <c r="S35" s="2"/>
      <c r="T35" s="6"/>
      <c r="U35" s="2"/>
      <c r="V35" s="7">
        <f t="shared" si="17"/>
        <v>0</v>
      </c>
      <c r="W35" s="2"/>
      <c r="X35" s="6">
        <f t="shared" si="18"/>
        <v>8289.98</v>
      </c>
      <c r="Y35" s="2"/>
      <c r="Z35" s="7">
        <f t="shared" si="19"/>
        <v>0</v>
      </c>
    </row>
    <row r="36" spans="1:26" s="24" customFormat="1" hidden="1" outlineLevel="2" x14ac:dyDescent="0.3">
      <c r="A36" s="27"/>
      <c r="B36" s="11" t="str">
        <f>CONCATENATE("          ", "6118", " - ", "VACATION")</f>
        <v xml:space="preserve">          6118 - VACATION</v>
      </c>
      <c r="C36" s="11"/>
      <c r="D36" s="6">
        <v>10002.56</v>
      </c>
      <c r="E36" s="2"/>
      <c r="F36" s="7">
        <f t="shared" si="12"/>
        <v>7.2088962803125512E-3</v>
      </c>
      <c r="G36" s="2"/>
      <c r="H36" s="6">
        <v>7864.9434221538404</v>
      </c>
      <c r="I36" s="2"/>
      <c r="J36" s="7">
        <f t="shared" si="13"/>
        <v>8.8516650840704224E-3</v>
      </c>
      <c r="K36" s="2"/>
      <c r="L36" s="6">
        <f t="shared" si="14"/>
        <v>2137.6165778461591</v>
      </c>
      <c r="M36" s="2"/>
      <c r="N36" s="7">
        <f t="shared" si="15"/>
        <v>0.27179045838078841</v>
      </c>
      <c r="O36" s="11"/>
      <c r="P36" s="6">
        <v>53391.32</v>
      </c>
      <c r="Q36" s="2"/>
      <c r="R36" s="7">
        <f t="shared" si="16"/>
        <v>1.0048956783810445E-2</v>
      </c>
      <c r="S36" s="2"/>
      <c r="T36" s="6">
        <v>43646.3468058461</v>
      </c>
      <c r="U36" s="2"/>
      <c r="V36" s="7">
        <f t="shared" si="17"/>
        <v>1.0797551065273405E-2</v>
      </c>
      <c r="W36" s="2"/>
      <c r="X36" s="6">
        <f t="shared" si="18"/>
        <v>9744.9731941538994</v>
      </c>
      <c r="Y36" s="2"/>
      <c r="Z36" s="7">
        <f t="shared" si="19"/>
        <v>0.22327122215984943</v>
      </c>
    </row>
    <row r="37" spans="1:26" s="24" customFormat="1" hidden="1" outlineLevel="2" x14ac:dyDescent="0.3">
      <c r="A37" s="27"/>
      <c r="B37" s="11" t="str">
        <f>CONCATENATE("          ", "6119", " - ", "SICK LEAVE")</f>
        <v xml:space="preserve">          6119 - SICK LEAVE</v>
      </c>
      <c r="C37" s="11"/>
      <c r="D37" s="6">
        <v>7527.43</v>
      </c>
      <c r="E37" s="2"/>
      <c r="F37" s="7">
        <f t="shared" si="12"/>
        <v>5.4250573980374134E-3</v>
      </c>
      <c r="G37" s="2"/>
      <c r="H37" s="6">
        <v>9753.2149301538393</v>
      </c>
      <c r="I37" s="2"/>
      <c r="J37" s="7">
        <f t="shared" si="13"/>
        <v>1.0976835740673992E-2</v>
      </c>
      <c r="K37" s="2"/>
      <c r="L37" s="6">
        <f t="shared" si="14"/>
        <v>-2225.784930153839</v>
      </c>
      <c r="M37" s="2"/>
      <c r="N37" s="7">
        <f t="shared" si="15"/>
        <v>-0.22821038458533502</v>
      </c>
      <c r="O37" s="11"/>
      <c r="P37" s="6">
        <v>37415.440000000002</v>
      </c>
      <c r="Q37" s="2"/>
      <c r="R37" s="7">
        <f t="shared" si="16"/>
        <v>7.0420836122285935E-3</v>
      </c>
      <c r="S37" s="2"/>
      <c r="T37" s="6">
        <v>47607.692021846102</v>
      </c>
      <c r="U37" s="2"/>
      <c r="V37" s="7">
        <f t="shared" si="17"/>
        <v>1.1777537487669873E-2</v>
      </c>
      <c r="W37" s="2"/>
      <c r="X37" s="6">
        <f t="shared" si="18"/>
        <v>-10192.2520218461</v>
      </c>
      <c r="Y37" s="2"/>
      <c r="Z37" s="7">
        <f t="shared" si="19"/>
        <v>-0.21408834558014497</v>
      </c>
    </row>
    <row r="38" spans="1:26" s="24" customFormat="1" hidden="1" outlineLevel="2" x14ac:dyDescent="0.3">
      <c r="A38" s="27"/>
      <c r="B38" s="11" t="str">
        <f>CONCATENATE("          ", "6156", " - ", "EMPLOYEE MEALS")</f>
        <v xml:space="preserve">          6156 - EMPLOYEE MEALS</v>
      </c>
      <c r="C38" s="11"/>
      <c r="D38" s="6">
        <v>5785.92</v>
      </c>
      <c r="E38" s="2"/>
      <c r="F38" s="7">
        <f t="shared" si="12"/>
        <v>4.1699422114124781E-3</v>
      </c>
      <c r="G38" s="2"/>
      <c r="H38" s="6">
        <v>6321</v>
      </c>
      <c r="I38" s="2"/>
      <c r="J38" s="7">
        <f t="shared" si="13"/>
        <v>7.1140212959201017E-3</v>
      </c>
      <c r="K38" s="2"/>
      <c r="L38" s="6">
        <f t="shared" si="14"/>
        <v>-535.07999999999993</v>
      </c>
      <c r="M38" s="2"/>
      <c r="N38" s="7">
        <f t="shared" si="15"/>
        <v>-8.4651162790697662E-2</v>
      </c>
      <c r="O38" s="11"/>
      <c r="P38" s="6">
        <v>24309.14</v>
      </c>
      <c r="Q38" s="2"/>
      <c r="R38" s="7">
        <f t="shared" si="16"/>
        <v>4.5753035757796932E-3</v>
      </c>
      <c r="S38" s="2"/>
      <c r="T38" s="6">
        <v>31173</v>
      </c>
      <c r="U38" s="2"/>
      <c r="V38" s="7">
        <f t="shared" si="17"/>
        <v>7.7118037130357014E-3</v>
      </c>
      <c r="W38" s="2"/>
      <c r="X38" s="6">
        <f t="shared" si="18"/>
        <v>-6863.8600000000006</v>
      </c>
      <c r="Y38" s="2"/>
      <c r="Z38" s="7">
        <f t="shared" si="19"/>
        <v>-0.22018605844801592</v>
      </c>
    </row>
    <row r="39" spans="1:26" s="29" customFormat="1" outlineLevel="1" collapsed="1" x14ac:dyDescent="0.3">
      <c r="A39" s="28"/>
      <c r="B39" s="14" t="str">
        <f>CONCATENATE("     ","*Payroll                                          ")</f>
        <v xml:space="preserve">     *Payroll                                          </v>
      </c>
      <c r="C39" s="14"/>
      <c r="D39" s="1">
        <f>SUM(OSRRefD22_1x_0)</f>
        <v>299283.51</v>
      </c>
      <c r="E39" s="1"/>
      <c r="F39" s="5">
        <f t="shared" ref="F39:F49" si="20">IF(D$12=0,0,D39/D$12)</f>
        <v>0.21569516023876731</v>
      </c>
      <c r="G39" s="1"/>
      <c r="H39" s="1">
        <f>SUM(OSRRefH22_1x_0)</f>
        <v>319763.90869384608</v>
      </c>
      <c r="I39" s="1"/>
      <c r="J39" s="5">
        <f t="shared" ref="J39:J49" si="21">IF(H$12=0,0,H39/H$12)</f>
        <v>0.35988091379760667</v>
      </c>
      <c r="K39" s="1"/>
      <c r="L39" s="1">
        <f t="shared" ref="L39:L49" si="22">+D39-H39</f>
        <v>-20480.398693846073</v>
      </c>
      <c r="M39" s="1"/>
      <c r="N39" s="5">
        <f t="shared" ref="N39:N49" si="23">IF(H39=0,0,L39/H39)</f>
        <v>-6.4048499962060357E-2</v>
      </c>
      <c r="O39" s="14"/>
      <c r="P39" s="1">
        <f>SUM(OSRRefP22_1x_0)</f>
        <v>1417326.15</v>
      </c>
      <c r="Q39" s="1"/>
      <c r="R39" s="5">
        <f t="shared" ref="R39:R49" si="24">IF(P$12=0,0,P39/P$12)</f>
        <v>0.26675963864378033</v>
      </c>
      <c r="S39" s="1"/>
      <c r="T39" s="1">
        <f>SUM(OSRRefT22_1x_0)</f>
        <v>1566265.5664761532</v>
      </c>
      <c r="U39" s="1"/>
      <c r="V39" s="5">
        <f t="shared" ref="V39:V49" si="25">IF(T$12=0,0,T39/T$12)</f>
        <v>0.38747417993618727</v>
      </c>
      <c r="W39" s="1"/>
      <c r="X39" s="1">
        <f t="shared" ref="X39:X49" si="26">+P39-T39</f>
        <v>-148939.4164761533</v>
      </c>
      <c r="Y39" s="1"/>
      <c r="Z39" s="5">
        <f t="shared" ref="Z39:Z49" si="27">IF(T39=0,0,X39/T39)</f>
        <v>-9.5092058246063052E-2</v>
      </c>
    </row>
    <row r="40" spans="1:26" s="24" customFormat="1" hidden="1" outlineLevel="2" x14ac:dyDescent="0.3">
      <c r="A40" s="27"/>
      <c r="B40" s="11" t="str">
        <f>CONCATENATE("          ", "6001", " - ", "ADMINISTRATIVE SALARIES")</f>
        <v xml:space="preserve">          6001 - ADMINISTRATIVE SALARIES</v>
      </c>
      <c r="C40" s="11"/>
      <c r="D40" s="6">
        <v>17129.88</v>
      </c>
      <c r="E40" s="2"/>
      <c r="F40" s="7">
        <f t="shared" si="20"/>
        <v>1.2345592349778493E-2</v>
      </c>
      <c r="G40" s="2"/>
      <c r="H40" s="6">
        <v>10268.307692307701</v>
      </c>
      <c r="I40" s="2"/>
      <c r="J40" s="7">
        <f t="shared" si="21"/>
        <v>1.1556551114718743E-2</v>
      </c>
      <c r="K40" s="2"/>
      <c r="L40" s="6">
        <f t="shared" si="22"/>
        <v>6861.5723076923005</v>
      </c>
      <c r="M40" s="2"/>
      <c r="N40" s="7">
        <f t="shared" si="23"/>
        <v>0.66822815533980462</v>
      </c>
      <c r="O40" s="11"/>
      <c r="P40" s="6">
        <v>99827.49</v>
      </c>
      <c r="Q40" s="2"/>
      <c r="R40" s="7">
        <f t="shared" si="24"/>
        <v>1.8788861800874551E-2</v>
      </c>
      <c r="S40" s="2"/>
      <c r="T40" s="6">
        <v>56475.692307692298</v>
      </c>
      <c r="U40" s="2"/>
      <c r="V40" s="7">
        <f t="shared" si="25"/>
        <v>1.3971367966981788E-2</v>
      </c>
      <c r="W40" s="2"/>
      <c r="X40" s="6">
        <f t="shared" si="26"/>
        <v>43351.797692307708</v>
      </c>
      <c r="Y40" s="2"/>
      <c r="Z40" s="7">
        <f t="shared" si="27"/>
        <v>0.76761870321336378</v>
      </c>
    </row>
    <row r="41" spans="1:26" s="24" customFormat="1" hidden="1" outlineLevel="2" x14ac:dyDescent="0.3">
      <c r="A41" s="27"/>
      <c r="B41" s="11" t="str">
        <f>CONCATENATE("          ", "6002", " - ", "STAFF SALARIES")</f>
        <v xml:space="preserve">          6002 - STAFF SALARIES</v>
      </c>
      <c r="C41" s="11"/>
      <c r="D41" s="6">
        <v>57111.1</v>
      </c>
      <c r="E41" s="2"/>
      <c r="F41" s="7">
        <f t="shared" si="20"/>
        <v>4.116026260822811E-2</v>
      </c>
      <c r="G41" s="2"/>
      <c r="H41" s="6">
        <v>56764.480161538399</v>
      </c>
      <c r="I41" s="2"/>
      <c r="J41" s="7">
        <f t="shared" si="21"/>
        <v>6.3886049789751348E-2</v>
      </c>
      <c r="K41" s="2"/>
      <c r="L41" s="6">
        <f t="shared" si="22"/>
        <v>346.61983846160001</v>
      </c>
      <c r="M41" s="2"/>
      <c r="N41" s="7">
        <f t="shared" si="23"/>
        <v>6.1062805027933178E-3</v>
      </c>
      <c r="O41" s="11"/>
      <c r="P41" s="6">
        <v>301562.56</v>
      </c>
      <c r="Q41" s="2"/>
      <c r="R41" s="7">
        <f t="shared" si="24"/>
        <v>5.6758086015765194E-2</v>
      </c>
      <c r="S41" s="2"/>
      <c r="T41" s="6">
        <v>312204.64088846103</v>
      </c>
      <c r="U41" s="2"/>
      <c r="V41" s="7">
        <f t="shared" si="25"/>
        <v>7.7235457249241704E-2</v>
      </c>
      <c r="W41" s="2"/>
      <c r="X41" s="6">
        <f t="shared" si="26"/>
        <v>-10642.080888461031</v>
      </c>
      <c r="Y41" s="2"/>
      <c r="Z41" s="7">
        <f t="shared" si="27"/>
        <v>-3.4086876025212723E-2</v>
      </c>
    </row>
    <row r="42" spans="1:26" s="24" customFormat="1" hidden="1" outlineLevel="2" x14ac:dyDescent="0.3">
      <c r="A42" s="27"/>
      <c r="B42" s="11" t="str">
        <f>CONCATENATE("          ", "6003", " - ", "STAFF HOURLY-9 MONTH")</f>
        <v xml:space="preserve">          6003 - STAFF HOURLY-9 MONTH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/>
      <c r="Q42" s="2"/>
      <c r="R42" s="7">
        <f t="shared" si="24"/>
        <v>0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0</v>
      </c>
      <c r="Y42" s="2"/>
      <c r="Z42" s="7">
        <f t="shared" si="27"/>
        <v>0</v>
      </c>
    </row>
    <row r="43" spans="1:26" s="24" customFormat="1" hidden="1" outlineLevel="2" x14ac:dyDescent="0.3">
      <c r="A43" s="27"/>
      <c r="B43" s="11" t="str">
        <f>CONCATENATE("          ", "6004", " - ", "STAFF HOURLY")</f>
        <v xml:space="preserve">          6004 - STAFF HOURLY</v>
      </c>
      <c r="C43" s="11"/>
      <c r="D43" s="6">
        <v>92332.62</v>
      </c>
      <c r="E43" s="2"/>
      <c r="F43" s="7">
        <f t="shared" si="20"/>
        <v>6.6544592671227393E-2</v>
      </c>
      <c r="G43" s="2"/>
      <c r="H43" s="6">
        <v>111064.29584000001</v>
      </c>
      <c r="I43" s="2"/>
      <c r="J43" s="7">
        <f t="shared" si="21"/>
        <v>0.12499822272142547</v>
      </c>
      <c r="K43" s="2"/>
      <c r="L43" s="6">
        <f t="shared" si="22"/>
        <v>-18731.675840000011</v>
      </c>
      <c r="M43" s="2"/>
      <c r="N43" s="7">
        <f t="shared" si="23"/>
        <v>-0.16865614370783022</v>
      </c>
      <c r="O43" s="11"/>
      <c r="P43" s="6">
        <v>440480.66</v>
      </c>
      <c r="Q43" s="2"/>
      <c r="R43" s="7">
        <f t="shared" si="24"/>
        <v>8.2904320710638024E-2</v>
      </c>
      <c r="S43" s="2"/>
      <c r="T43" s="6">
        <v>598440.83828000003</v>
      </c>
      <c r="U43" s="2"/>
      <c r="V43" s="7">
        <f t="shared" si="25"/>
        <v>0.14804665186795951</v>
      </c>
      <c r="W43" s="2"/>
      <c r="X43" s="6">
        <f t="shared" si="26"/>
        <v>-157960.17828000005</v>
      </c>
      <c r="Y43" s="2"/>
      <c r="Z43" s="7">
        <f t="shared" si="27"/>
        <v>-0.26395287249112043</v>
      </c>
    </row>
    <row r="44" spans="1:26" s="24" customFormat="1" hidden="1" outlineLevel="2" x14ac:dyDescent="0.3">
      <c r="A44" s="27"/>
      <c r="B44" s="11" t="str">
        <f>CONCATENATE("          ", "6005", " - ", "TEMPORARY WAGES-HOURLY")</f>
        <v xml:space="preserve">          6005 - TEMPORARY WAGES-HOURLY</v>
      </c>
      <c r="C44" s="11"/>
      <c r="D44" s="6">
        <v>33238.57</v>
      </c>
      <c r="E44" s="2"/>
      <c r="F44" s="7">
        <f t="shared" si="20"/>
        <v>2.3955207830386255E-2</v>
      </c>
      <c r="G44" s="2"/>
      <c r="H44" s="6">
        <v>31888.264999999999</v>
      </c>
      <c r="I44" s="2"/>
      <c r="J44" s="7">
        <f t="shared" si="21"/>
        <v>3.588890939723835E-2</v>
      </c>
      <c r="K44" s="2"/>
      <c r="L44" s="6">
        <f t="shared" si="22"/>
        <v>1350.3050000000003</v>
      </c>
      <c r="M44" s="2"/>
      <c r="N44" s="7">
        <f t="shared" si="23"/>
        <v>4.2344887688307915E-2</v>
      </c>
      <c r="O44" s="11"/>
      <c r="P44" s="6">
        <v>255291.21</v>
      </c>
      <c r="Q44" s="2"/>
      <c r="R44" s="7">
        <f t="shared" si="24"/>
        <v>4.8049202315595063E-2</v>
      </c>
      <c r="S44" s="2"/>
      <c r="T44" s="6">
        <v>143837.42000000001</v>
      </c>
      <c r="U44" s="2"/>
      <c r="V44" s="7">
        <f t="shared" si="25"/>
        <v>3.558354825103377E-2</v>
      </c>
      <c r="W44" s="2"/>
      <c r="X44" s="6">
        <f t="shared" si="26"/>
        <v>111453.78999999998</v>
      </c>
      <c r="Y44" s="2"/>
      <c r="Z44" s="7">
        <f t="shared" si="27"/>
        <v>0.77485949066661486</v>
      </c>
    </row>
    <row r="45" spans="1:26" s="24" customFormat="1" hidden="1" outlineLevel="2" x14ac:dyDescent="0.3">
      <c r="A45" s="27"/>
      <c r="B45" s="11" t="str">
        <f>CONCATENATE("          ", "6006", " - ", "TEMPORARY PART TIME")</f>
        <v xml:space="preserve">          6006 - TEMPORARY PART TIME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3">
      <c r="A46" s="27"/>
      <c r="B46" s="11" t="str">
        <f>CONCATENATE("          ", "6007", " - ", "STUDENT HOURLY")</f>
        <v xml:space="preserve">          6007 - STUDENT HOURLY</v>
      </c>
      <c r="C46" s="11"/>
      <c r="D46" s="6">
        <v>73348.25</v>
      </c>
      <c r="E46" s="2"/>
      <c r="F46" s="7">
        <f t="shared" si="20"/>
        <v>5.286245986951691E-2</v>
      </c>
      <c r="G46" s="2"/>
      <c r="H46" s="6">
        <v>992.31</v>
      </c>
      <c r="I46" s="2"/>
      <c r="J46" s="7">
        <f t="shared" si="21"/>
        <v>1.1168034285958671E-3</v>
      </c>
      <c r="K46" s="2"/>
      <c r="L46" s="6">
        <f t="shared" si="22"/>
        <v>72355.94</v>
      </c>
      <c r="M46" s="2"/>
      <c r="N46" s="7">
        <f t="shared" si="23"/>
        <v>72.916669186040664</v>
      </c>
      <c r="O46" s="11"/>
      <c r="P46" s="6">
        <v>275786.26</v>
      </c>
      <c r="Q46" s="2"/>
      <c r="R46" s="7">
        <f t="shared" si="24"/>
        <v>5.1906643407743272E-2</v>
      </c>
      <c r="S46" s="2"/>
      <c r="T46" s="6">
        <v>53163.45</v>
      </c>
      <c r="U46" s="2"/>
      <c r="V46" s="7">
        <f t="shared" si="25"/>
        <v>1.3151961348211203E-2</v>
      </c>
      <c r="W46" s="2"/>
      <c r="X46" s="6">
        <f t="shared" si="26"/>
        <v>222622.81</v>
      </c>
      <c r="Y46" s="2"/>
      <c r="Z46" s="7">
        <f t="shared" si="27"/>
        <v>4.1875162353082809</v>
      </c>
    </row>
    <row r="47" spans="1:26" s="24" customFormat="1" hidden="1" outlineLevel="2" x14ac:dyDescent="0.3">
      <c r="A47" s="27"/>
      <c r="B47" s="11" t="str">
        <f>CONCATENATE("          ", "6008", " - ", "STUDENT HOURLY-FICA EXEMPT")</f>
        <v xml:space="preserve">          6008 - STUDENT HOURLY-FICA EXEMPT</v>
      </c>
      <c r="C47" s="11"/>
      <c r="D47" s="6">
        <v>26123.09</v>
      </c>
      <c r="E47" s="2"/>
      <c r="F47" s="7">
        <f t="shared" si="20"/>
        <v>1.8827044909630136E-2</v>
      </c>
      <c r="G47" s="2"/>
      <c r="H47" s="6">
        <v>108786.25</v>
      </c>
      <c r="I47" s="2"/>
      <c r="J47" s="7">
        <f t="shared" si="21"/>
        <v>0.12243437734587694</v>
      </c>
      <c r="K47" s="2"/>
      <c r="L47" s="6">
        <f t="shared" si="22"/>
        <v>-82663.16</v>
      </c>
      <c r="M47" s="2"/>
      <c r="N47" s="7">
        <f t="shared" si="23"/>
        <v>-0.75986772225350174</v>
      </c>
      <c r="O47" s="11"/>
      <c r="P47" s="6">
        <v>44377.97</v>
      </c>
      <c r="Q47" s="2"/>
      <c r="R47" s="7">
        <f t="shared" si="24"/>
        <v>8.3525243931642165E-3</v>
      </c>
      <c r="S47" s="2"/>
      <c r="T47" s="6">
        <v>402143.52500000002</v>
      </c>
      <c r="U47" s="2"/>
      <c r="V47" s="7">
        <f t="shared" si="25"/>
        <v>9.9485193252759299E-2</v>
      </c>
      <c r="W47" s="2"/>
      <c r="X47" s="6">
        <f t="shared" si="26"/>
        <v>-357765.55500000005</v>
      </c>
      <c r="Y47" s="2"/>
      <c r="Z47" s="7">
        <f t="shared" si="27"/>
        <v>-0.8896464390418819</v>
      </c>
    </row>
    <row r="48" spans="1:26" s="24" customFormat="1" hidden="1" outlineLevel="2" x14ac:dyDescent="0.3">
      <c r="A48" s="27"/>
      <c r="B48" s="11" t="str">
        <f>CONCATENATE("          ", "6009", " - ", "TEMPORARY-SEASONAL")</f>
        <v xml:space="preserve">          6009 - TEMPORARY-SEASONAL</v>
      </c>
      <c r="C48" s="11"/>
      <c r="D48" s="6"/>
      <c r="E48" s="2"/>
      <c r="F48" s="7">
        <f t="shared" si="20"/>
        <v>0</v>
      </c>
      <c r="G48" s="2"/>
      <c r="H48" s="6">
        <v>0</v>
      </c>
      <c r="I48" s="2"/>
      <c r="J48" s="7">
        <f t="shared" si="21"/>
        <v>0</v>
      </c>
      <c r="K48" s="2"/>
      <c r="L48" s="6">
        <f t="shared" si="22"/>
        <v>0</v>
      </c>
      <c r="M48" s="2"/>
      <c r="N48" s="7">
        <f t="shared" si="23"/>
        <v>0</v>
      </c>
      <c r="O48" s="11"/>
      <c r="P48" s="6"/>
      <c r="Q48" s="2"/>
      <c r="R48" s="7">
        <f t="shared" si="24"/>
        <v>0</v>
      </c>
      <c r="S48" s="2"/>
      <c r="T48" s="6">
        <v>0</v>
      </c>
      <c r="U48" s="2"/>
      <c r="V48" s="7">
        <f t="shared" si="25"/>
        <v>0</v>
      </c>
      <c r="W48" s="2"/>
      <c r="X48" s="6">
        <f t="shared" si="26"/>
        <v>0</v>
      </c>
      <c r="Y48" s="2"/>
      <c r="Z48" s="7">
        <f t="shared" si="27"/>
        <v>0</v>
      </c>
    </row>
    <row r="49" spans="1:26" s="24" customFormat="1" hidden="1" outlineLevel="2" x14ac:dyDescent="0.3">
      <c r="A49" s="27"/>
      <c r="B49" s="11" t="str">
        <f>CONCATENATE("          ", "6010", " - ", "GRATUITY")</f>
        <v xml:space="preserve">          6010 - GRATUITY</v>
      </c>
      <c r="C49" s="11"/>
      <c r="D49" s="6"/>
      <c r="E49" s="2"/>
      <c r="F49" s="7">
        <f t="shared" si="20"/>
        <v>0</v>
      </c>
      <c r="G49" s="2"/>
      <c r="H49" s="6">
        <v>0</v>
      </c>
      <c r="I49" s="2"/>
      <c r="J49" s="7">
        <f t="shared" si="21"/>
        <v>0</v>
      </c>
      <c r="K49" s="2"/>
      <c r="L49" s="6">
        <f t="shared" si="22"/>
        <v>0</v>
      </c>
      <c r="M49" s="2"/>
      <c r="N49" s="7">
        <f t="shared" si="23"/>
        <v>0</v>
      </c>
      <c r="O49" s="11"/>
      <c r="P49" s="6"/>
      <c r="Q49" s="2"/>
      <c r="R49" s="7">
        <f t="shared" si="24"/>
        <v>0</v>
      </c>
      <c r="S49" s="2"/>
      <c r="T49" s="6">
        <v>0</v>
      </c>
      <c r="U49" s="2"/>
      <c r="V49" s="7">
        <f t="shared" si="25"/>
        <v>0</v>
      </c>
      <c r="W49" s="2"/>
      <c r="X49" s="6">
        <f t="shared" si="26"/>
        <v>0</v>
      </c>
      <c r="Y49" s="2"/>
      <c r="Z49" s="7">
        <f t="shared" si="27"/>
        <v>0</v>
      </c>
    </row>
    <row r="50" spans="1:26" s="29" customFormat="1" outlineLevel="1" collapsed="1" x14ac:dyDescent="0.3">
      <c r="A50" s="28"/>
      <c r="B50" s="14" t="str">
        <f>CONCATENATE("     ","Advertising/Promo                                 ")</f>
        <v xml:space="preserve">     Advertising/Promo                                 </v>
      </c>
      <c r="C50" s="14"/>
      <c r="D50" s="1">
        <f>SUM(OSRRefD22_2x_0)</f>
        <v>270.02</v>
      </c>
      <c r="E50" s="1"/>
      <c r="F50" s="5">
        <f t="shared" ref="F50:F58" si="28">IF(D$12=0,0,D50/D$12)</f>
        <v>1.9460479853257516E-4</v>
      </c>
      <c r="G50" s="1"/>
      <c r="H50" s="1">
        <f>SUM(OSRRefH22_2x_0)</f>
        <v>1319</v>
      </c>
      <c r="I50" s="1"/>
      <c r="J50" s="5">
        <f t="shared" ref="J50:J58" si="29">IF(H$12=0,0,H50/H$12)</f>
        <v>1.4844793686629668E-3</v>
      </c>
      <c r="K50" s="1"/>
      <c r="L50" s="1">
        <f t="shared" ref="L50:L58" si="30">+D50-H50</f>
        <v>-1048.98</v>
      </c>
      <c r="M50" s="1"/>
      <c r="N50" s="5">
        <f t="shared" ref="N50:N58" si="31">IF(H50=0,0,L50/H50)</f>
        <v>-0.7952843062926459</v>
      </c>
      <c r="O50" s="14"/>
      <c r="P50" s="1">
        <f>SUM(OSRRefP22_2x_0)</f>
        <v>3863.21</v>
      </c>
      <c r="Q50" s="1"/>
      <c r="R50" s="5">
        <f t="shared" ref="R50:R58" si="32">IF(P$12=0,0,P50/P$12)</f>
        <v>7.2710752116232288E-4</v>
      </c>
      <c r="S50" s="1"/>
      <c r="T50" s="1">
        <f>SUM(OSRRefT22_2x_0)</f>
        <v>6595</v>
      </c>
      <c r="U50" s="1"/>
      <c r="V50" s="5">
        <f t="shared" ref="V50:V58" si="33">IF(T$12=0,0,T50/T$12)</f>
        <v>1.63151911870755E-3</v>
      </c>
      <c r="W50" s="1"/>
      <c r="X50" s="1">
        <f t="shared" ref="X50:X58" si="34">+P50-T50</f>
        <v>-2731.79</v>
      </c>
      <c r="Y50" s="1"/>
      <c r="Z50" s="5">
        <f t="shared" ref="Z50:Z58" si="35">IF(T50=0,0,X50/T50)</f>
        <v>-0.41422137983320695</v>
      </c>
    </row>
    <row r="51" spans="1:26" s="24" customFormat="1" hidden="1" outlineLevel="2" x14ac:dyDescent="0.3">
      <c r="A51" s="27"/>
      <c r="B51" s="11" t="str">
        <f>CONCATENATE("          ", "6362", " - ", "ADVERTISING EXPENSE")</f>
        <v xml:space="preserve">          6362 - ADVERTISING EXPENSE</v>
      </c>
      <c r="C51" s="11"/>
      <c r="D51" s="6">
        <v>270.02</v>
      </c>
      <c r="E51" s="2"/>
      <c r="F51" s="7">
        <f t="shared" si="28"/>
        <v>1.9460479853257516E-4</v>
      </c>
      <c r="G51" s="2"/>
      <c r="H51" s="6">
        <v>1319</v>
      </c>
      <c r="I51" s="2"/>
      <c r="J51" s="7">
        <f t="shared" si="29"/>
        <v>1.4844793686629668E-3</v>
      </c>
      <c r="K51" s="2"/>
      <c r="L51" s="6">
        <f t="shared" si="30"/>
        <v>-1048.98</v>
      </c>
      <c r="M51" s="2"/>
      <c r="N51" s="7">
        <f t="shared" si="31"/>
        <v>-0.7952843062926459</v>
      </c>
      <c r="O51" s="11"/>
      <c r="P51" s="6">
        <v>3863.21</v>
      </c>
      <c r="Q51" s="2"/>
      <c r="R51" s="7">
        <f t="shared" si="32"/>
        <v>7.2710752116232288E-4</v>
      </c>
      <c r="S51" s="2"/>
      <c r="T51" s="6">
        <v>6595</v>
      </c>
      <c r="U51" s="2"/>
      <c r="V51" s="7">
        <f t="shared" si="33"/>
        <v>1.63151911870755E-3</v>
      </c>
      <c r="W51" s="2"/>
      <c r="X51" s="6">
        <f t="shared" si="34"/>
        <v>-2731.79</v>
      </c>
      <c r="Y51" s="2"/>
      <c r="Z51" s="7">
        <f t="shared" si="35"/>
        <v>-0.41422137983320695</v>
      </c>
    </row>
    <row r="52" spans="1:26" s="29" customFormat="1" outlineLevel="1" collapsed="1" x14ac:dyDescent="0.3">
      <c r="A52" s="28"/>
      <c r="B52" s="14" t="str">
        <f>CONCATENATE("     ","Bad Debts/Over/Short                              ")</f>
        <v xml:space="preserve">     Bad Debts/Over/Short                              </v>
      </c>
      <c r="C52" s="14"/>
      <c r="D52" s="1">
        <f>SUM(OSRRefD22_3x_0)</f>
        <v>-3.81</v>
      </c>
      <c r="E52" s="1"/>
      <c r="F52" s="5">
        <f t="shared" si="28"/>
        <v>-2.7458865358459053E-6</v>
      </c>
      <c r="G52" s="1"/>
      <c r="H52" s="1">
        <f>SUM(OSRRefH22_3x_0)</f>
        <v>33</v>
      </c>
      <c r="I52" s="1"/>
      <c r="J52" s="5">
        <f t="shared" si="29"/>
        <v>3.7140120671628438E-5</v>
      </c>
      <c r="K52" s="1"/>
      <c r="L52" s="1">
        <f t="shared" si="30"/>
        <v>-36.81</v>
      </c>
      <c r="M52" s="1"/>
      <c r="N52" s="5">
        <f t="shared" si="31"/>
        <v>-1.1154545454545455</v>
      </c>
      <c r="O52" s="14"/>
      <c r="P52" s="1">
        <f>SUM(OSRRefP22_3x_0)</f>
        <v>-130.81</v>
      </c>
      <c r="Q52" s="1"/>
      <c r="R52" s="5">
        <f t="shared" si="32"/>
        <v>-2.4620182398379445E-5</v>
      </c>
      <c r="S52" s="1"/>
      <c r="T52" s="1">
        <f>SUM(OSRRefT22_3x_0)</f>
        <v>187</v>
      </c>
      <c r="U52" s="1"/>
      <c r="V52" s="5">
        <f t="shared" si="33"/>
        <v>4.6261421561533257E-5</v>
      </c>
      <c r="W52" s="1"/>
      <c r="X52" s="1">
        <f t="shared" si="34"/>
        <v>-317.81</v>
      </c>
      <c r="Y52" s="1"/>
      <c r="Z52" s="5">
        <f t="shared" si="35"/>
        <v>-1.6995187165775401</v>
      </c>
    </row>
    <row r="53" spans="1:26" s="24" customFormat="1" hidden="1" outlineLevel="2" x14ac:dyDescent="0.3">
      <c r="A53" s="27"/>
      <c r="B53" s="11" t="str">
        <f>CONCATENATE("          ", "6272", " - ", "CASH (OVER/SHORT)")</f>
        <v xml:space="preserve">          6272 - CASH (OVER/SHORT)</v>
      </c>
      <c r="C53" s="11"/>
      <c r="D53" s="6">
        <v>-3.81</v>
      </c>
      <c r="E53" s="2"/>
      <c r="F53" s="7">
        <f t="shared" si="28"/>
        <v>-2.7458865358459053E-6</v>
      </c>
      <c r="G53" s="2"/>
      <c r="H53" s="6">
        <v>33</v>
      </c>
      <c r="I53" s="2"/>
      <c r="J53" s="7">
        <f t="shared" si="29"/>
        <v>3.7140120671628438E-5</v>
      </c>
      <c r="K53" s="2"/>
      <c r="L53" s="6">
        <f t="shared" si="30"/>
        <v>-36.81</v>
      </c>
      <c r="M53" s="2"/>
      <c r="N53" s="7">
        <f t="shared" si="31"/>
        <v>-1.1154545454545455</v>
      </c>
      <c r="O53" s="11"/>
      <c r="P53" s="6">
        <v>-130.81</v>
      </c>
      <c r="Q53" s="2"/>
      <c r="R53" s="7">
        <f t="shared" si="32"/>
        <v>-2.4620182398379445E-5</v>
      </c>
      <c r="S53" s="2"/>
      <c r="T53" s="6">
        <v>187</v>
      </c>
      <c r="U53" s="2"/>
      <c r="V53" s="7">
        <f t="shared" si="33"/>
        <v>4.6261421561533257E-5</v>
      </c>
      <c r="W53" s="2"/>
      <c r="X53" s="6">
        <f t="shared" si="34"/>
        <v>-317.81</v>
      </c>
      <c r="Y53" s="2"/>
      <c r="Z53" s="7">
        <f t="shared" si="35"/>
        <v>-1.6995187165775401</v>
      </c>
    </row>
    <row r="54" spans="1:26" s="29" customFormat="1" outlineLevel="1" collapsed="1" x14ac:dyDescent="0.3">
      <c r="A54" s="28"/>
      <c r="B54" s="14" t="str">
        <f>CONCATENATE("     ","Bank/card Fees                                    ")</f>
        <v xml:space="preserve">     Bank/card Fees                                    </v>
      </c>
      <c r="C54" s="14"/>
      <c r="D54" s="1">
        <f>SUM(OSRRefD22_4x_0)</f>
        <v>4474.22</v>
      </c>
      <c r="E54" s="1"/>
      <c r="F54" s="5">
        <f t="shared" si="28"/>
        <v>3.2245932956463169E-3</v>
      </c>
      <c r="G54" s="1"/>
      <c r="H54" s="1">
        <f>SUM(OSRRefH22_4x_0)</f>
        <v>4727</v>
      </c>
      <c r="I54" s="1"/>
      <c r="J54" s="5">
        <f t="shared" si="29"/>
        <v>5.3200409216602306E-3</v>
      </c>
      <c r="K54" s="1"/>
      <c r="L54" s="1">
        <f t="shared" si="30"/>
        <v>-252.77999999999975</v>
      </c>
      <c r="M54" s="1"/>
      <c r="N54" s="5">
        <f t="shared" si="31"/>
        <v>-5.3475777448698907E-2</v>
      </c>
      <c r="O54" s="14"/>
      <c r="P54" s="1">
        <f>SUM(OSRRefP22_4x_0)</f>
        <v>19318.650000000001</v>
      </c>
      <c r="Q54" s="1"/>
      <c r="R54" s="5">
        <f t="shared" si="32"/>
        <v>3.6360269604040446E-3</v>
      </c>
      <c r="S54" s="1"/>
      <c r="T54" s="1">
        <f>SUM(OSRRefT22_4x_0)</f>
        <v>23787</v>
      </c>
      <c r="U54" s="1"/>
      <c r="V54" s="5">
        <f t="shared" si="33"/>
        <v>5.8846012549956771E-3</v>
      </c>
      <c r="W54" s="1"/>
      <c r="X54" s="1">
        <f t="shared" si="34"/>
        <v>-4468.3499999999985</v>
      </c>
      <c r="Y54" s="1"/>
      <c r="Z54" s="5">
        <f t="shared" si="35"/>
        <v>-0.18784840459074278</v>
      </c>
    </row>
    <row r="55" spans="1:26" s="24" customFormat="1" hidden="1" outlineLevel="2" x14ac:dyDescent="0.3">
      <c r="A55" s="27"/>
      <c r="B55" s="11" t="str">
        <f>CONCATENATE("          ", "6381", " - ", "BANK/CREDIT CARD FEES")</f>
        <v xml:space="preserve">          6381 - BANK/CREDIT CARD FEES</v>
      </c>
      <c r="C55" s="11"/>
      <c r="D55" s="6">
        <v>4474.22</v>
      </c>
      <c r="E55" s="2"/>
      <c r="F55" s="7">
        <f t="shared" si="28"/>
        <v>3.2245932956463169E-3</v>
      </c>
      <c r="G55" s="2"/>
      <c r="H55" s="6">
        <v>4727</v>
      </c>
      <c r="I55" s="2"/>
      <c r="J55" s="7">
        <f t="shared" si="29"/>
        <v>5.3200409216602306E-3</v>
      </c>
      <c r="K55" s="2"/>
      <c r="L55" s="6">
        <f t="shared" si="30"/>
        <v>-252.77999999999975</v>
      </c>
      <c r="M55" s="2"/>
      <c r="N55" s="7">
        <f t="shared" si="31"/>
        <v>-5.3475777448698907E-2</v>
      </c>
      <c r="O55" s="11"/>
      <c r="P55" s="6">
        <v>19318.650000000001</v>
      </c>
      <c r="Q55" s="2"/>
      <c r="R55" s="7">
        <f t="shared" si="32"/>
        <v>3.6360269604040446E-3</v>
      </c>
      <c r="S55" s="2"/>
      <c r="T55" s="6">
        <v>23787</v>
      </c>
      <c r="U55" s="2"/>
      <c r="V55" s="7">
        <f t="shared" si="33"/>
        <v>5.8846012549956771E-3</v>
      </c>
      <c r="W55" s="2"/>
      <c r="X55" s="6">
        <f t="shared" si="34"/>
        <v>-4468.3499999999985</v>
      </c>
      <c r="Y55" s="2"/>
      <c r="Z55" s="7">
        <f t="shared" si="35"/>
        <v>-0.18784840459074278</v>
      </c>
    </row>
    <row r="56" spans="1:26" s="29" customFormat="1" outlineLevel="1" collapsed="1" x14ac:dyDescent="0.3">
      <c r="A56" s="28"/>
      <c r="B56" s="14" t="str">
        <f>CONCATENATE("     ","Depreciation                                      ")</f>
        <v xml:space="preserve">     Depreciation                                      </v>
      </c>
      <c r="C56" s="14"/>
      <c r="D56" s="1">
        <f>SUM(OSRRefD22_5x_0)</f>
        <v>33542.080000000002</v>
      </c>
      <c r="E56" s="1"/>
      <c r="F56" s="5">
        <f t="shared" si="28"/>
        <v>2.4173949043639432E-2</v>
      </c>
      <c r="G56" s="1"/>
      <c r="H56" s="1">
        <f>SUM(OSRRefH22_5x_0)</f>
        <v>33269</v>
      </c>
      <c r="I56" s="1"/>
      <c r="J56" s="5">
        <f t="shared" si="29"/>
        <v>3.7442868928012317E-2</v>
      </c>
      <c r="K56" s="1"/>
      <c r="L56" s="1">
        <f t="shared" si="30"/>
        <v>273.08000000000175</v>
      </c>
      <c r="M56" s="1"/>
      <c r="N56" s="5">
        <f t="shared" si="31"/>
        <v>8.208241906880331E-3</v>
      </c>
      <c r="O56" s="14"/>
      <c r="P56" s="1">
        <f>SUM(OSRRefP22_5x_0)</f>
        <v>167798.54</v>
      </c>
      <c r="Q56" s="1"/>
      <c r="R56" s="5">
        <f t="shared" si="32"/>
        <v>3.1581917750797106E-2</v>
      </c>
      <c r="S56" s="1"/>
      <c r="T56" s="1">
        <f>SUM(OSRRefT22_5x_0)</f>
        <v>166433</v>
      </c>
      <c r="U56" s="1"/>
      <c r="V56" s="5">
        <f t="shared" si="33"/>
        <v>4.1173407351607828E-2</v>
      </c>
      <c r="W56" s="1"/>
      <c r="X56" s="1">
        <f t="shared" si="34"/>
        <v>1365.5400000000081</v>
      </c>
      <c r="Y56" s="1"/>
      <c r="Z56" s="5">
        <f t="shared" si="35"/>
        <v>8.2047430497558058E-3</v>
      </c>
    </row>
    <row r="57" spans="1:26" s="24" customFormat="1" hidden="1" outlineLevel="2" x14ac:dyDescent="0.3">
      <c r="A57" s="27"/>
      <c r="B57" s="11" t="str">
        <f>CONCATENATE("          ", "6321", " - ", "BUILDING DEPRECIATION")</f>
        <v xml:space="preserve">          6321 - BUILDING DEPRECIATION</v>
      </c>
      <c r="C57" s="11"/>
      <c r="D57" s="6">
        <v>23539.4</v>
      </c>
      <c r="E57" s="2"/>
      <c r="F57" s="7">
        <f t="shared" si="28"/>
        <v>1.6964966278711576E-2</v>
      </c>
      <c r="G57" s="2"/>
      <c r="H57" s="6"/>
      <c r="I57" s="2"/>
      <c r="J57" s="7">
        <f t="shared" si="29"/>
        <v>0</v>
      </c>
      <c r="K57" s="2"/>
      <c r="L57" s="6">
        <f t="shared" si="30"/>
        <v>23539.4</v>
      </c>
      <c r="M57" s="2"/>
      <c r="N57" s="7">
        <f t="shared" si="31"/>
        <v>0</v>
      </c>
      <c r="O57" s="11"/>
      <c r="P57" s="6">
        <v>117785.14</v>
      </c>
      <c r="Q57" s="2"/>
      <c r="R57" s="7">
        <f t="shared" si="32"/>
        <v>2.2168730453471897E-2</v>
      </c>
      <c r="S57" s="2"/>
      <c r="T57" s="6"/>
      <c r="U57" s="2"/>
      <c r="V57" s="7">
        <f t="shared" si="33"/>
        <v>0</v>
      </c>
      <c r="W57" s="2"/>
      <c r="X57" s="6">
        <f t="shared" si="34"/>
        <v>117785.14</v>
      </c>
      <c r="Y57" s="2"/>
      <c r="Z57" s="7">
        <f t="shared" si="35"/>
        <v>0</v>
      </c>
    </row>
    <row r="58" spans="1:26" s="24" customFormat="1" hidden="1" outlineLevel="2" x14ac:dyDescent="0.3">
      <c r="A58" s="27"/>
      <c r="B58" s="11" t="str">
        <f>CONCATENATE("          ", "6322", " - ", "EQUIPMENT DEPRECIATION EXPENSE")</f>
        <v xml:space="preserve">          6322 - EQUIPMENT DEPRECIATION EXPENSE</v>
      </c>
      <c r="C58" s="11"/>
      <c r="D58" s="6">
        <v>10002.68</v>
      </c>
      <c r="E58" s="2"/>
      <c r="F58" s="7">
        <f t="shared" si="28"/>
        <v>7.2089827649278538E-3</v>
      </c>
      <c r="G58" s="2"/>
      <c r="H58" s="6">
        <v>33269</v>
      </c>
      <c r="I58" s="2"/>
      <c r="J58" s="7">
        <f t="shared" si="29"/>
        <v>3.7442868928012317E-2</v>
      </c>
      <c r="K58" s="2"/>
      <c r="L58" s="6">
        <f t="shared" si="30"/>
        <v>-23266.32</v>
      </c>
      <c r="M58" s="2"/>
      <c r="N58" s="7">
        <f t="shared" si="31"/>
        <v>-0.69933932489705131</v>
      </c>
      <c r="O58" s="11"/>
      <c r="P58" s="6">
        <v>50013.4</v>
      </c>
      <c r="Q58" s="2"/>
      <c r="R58" s="7">
        <f t="shared" si="32"/>
        <v>9.4131872973252095E-3</v>
      </c>
      <c r="S58" s="2"/>
      <c r="T58" s="6">
        <v>166433</v>
      </c>
      <c r="U58" s="2"/>
      <c r="V58" s="7">
        <f t="shared" si="33"/>
        <v>4.1173407351607828E-2</v>
      </c>
      <c r="W58" s="2"/>
      <c r="X58" s="6">
        <f t="shared" si="34"/>
        <v>-116419.6</v>
      </c>
      <c r="Y58" s="2"/>
      <c r="Z58" s="7">
        <f t="shared" si="35"/>
        <v>-0.69949829661184981</v>
      </c>
    </row>
    <row r="59" spans="1:26" s="29" customFormat="1" outlineLevel="1" collapsed="1" x14ac:dyDescent="0.3">
      <c r="A59" s="28"/>
      <c r="B59" s="14" t="str">
        <f>CONCATENATE("     ","Donations                                         ")</f>
        <v xml:space="preserve">     Donations                                         </v>
      </c>
      <c r="C59" s="14"/>
      <c r="D59" s="1">
        <f>SUM(OSRRefD22_6x_0)</f>
        <v>8398.85</v>
      </c>
      <c r="E59" s="1"/>
      <c r="F59" s="5">
        <f t="shared" ref="F59:F78" si="36">IF(D$12=0,0,D59/D$12)</f>
        <v>6.0530942602596812E-3</v>
      </c>
      <c r="G59" s="1"/>
      <c r="H59" s="1">
        <f>SUM(OSRRefH22_6x_0)</f>
        <v>15500</v>
      </c>
      <c r="I59" s="1"/>
      <c r="J59" s="5">
        <f t="shared" ref="J59:J78" si="37">IF(H$12=0,0,H59/H$12)</f>
        <v>1.7444602133643659E-2</v>
      </c>
      <c r="K59" s="1"/>
      <c r="L59" s="1">
        <f t="shared" ref="L59:L78" si="38">+D59-H59</f>
        <v>-7101.15</v>
      </c>
      <c r="M59" s="1"/>
      <c r="N59" s="5">
        <f t="shared" ref="N59:N78" si="39">IF(H59=0,0,L59/H59)</f>
        <v>-0.45813870967741932</v>
      </c>
      <c r="O59" s="14"/>
      <c r="P59" s="1">
        <f>SUM(OSRRefP22_6x_0)</f>
        <v>32812.589999999997</v>
      </c>
      <c r="Q59" s="1"/>
      <c r="R59" s="5">
        <f t="shared" ref="R59:R78" si="40">IF(P$12=0,0,P59/P$12)</f>
        <v>6.1757660023181813E-3</v>
      </c>
      <c r="S59" s="1"/>
      <c r="T59" s="1">
        <f>SUM(OSRRefT22_6x_0)</f>
        <v>62000</v>
      </c>
      <c r="U59" s="1"/>
      <c r="V59" s="5">
        <f t="shared" ref="V59:V78" si="41">IF(T$12=0,0,T59/T$12)</f>
        <v>1.5338011426818513E-2</v>
      </c>
      <c r="W59" s="1"/>
      <c r="X59" s="1">
        <f t="shared" ref="X59:X78" si="42">+P59-T59</f>
        <v>-29187.410000000003</v>
      </c>
      <c r="Y59" s="1"/>
      <c r="Z59" s="5">
        <f t="shared" ref="Z59:Z78" si="43">IF(T59=0,0,X59/T59)</f>
        <v>-0.4707646774193549</v>
      </c>
    </row>
    <row r="60" spans="1:26" s="24" customFormat="1" hidden="1" outlineLevel="2" x14ac:dyDescent="0.3">
      <c r="A60" s="27"/>
      <c r="B60" s="11" t="str">
        <f>CONCATENATE("          ", "6399", " - ", "DONATION-ON CAMPUS")</f>
        <v xml:space="preserve">          6399 - DONATION-ON CAMPUS</v>
      </c>
      <c r="C60" s="11"/>
      <c r="D60" s="6">
        <v>8398.85</v>
      </c>
      <c r="E60" s="2"/>
      <c r="F60" s="7">
        <f t="shared" si="36"/>
        <v>6.0530942602596812E-3</v>
      </c>
      <c r="G60" s="2"/>
      <c r="H60" s="6">
        <v>15500</v>
      </c>
      <c r="I60" s="2"/>
      <c r="J60" s="7">
        <f t="shared" si="37"/>
        <v>1.7444602133643659E-2</v>
      </c>
      <c r="K60" s="2"/>
      <c r="L60" s="6">
        <f t="shared" si="38"/>
        <v>-7101.15</v>
      </c>
      <c r="M60" s="2"/>
      <c r="N60" s="7">
        <f t="shared" si="39"/>
        <v>-0.45813870967741932</v>
      </c>
      <c r="O60" s="11"/>
      <c r="P60" s="6">
        <v>32812.589999999997</v>
      </c>
      <c r="Q60" s="2"/>
      <c r="R60" s="7">
        <f t="shared" si="40"/>
        <v>6.1757660023181813E-3</v>
      </c>
      <c r="S60" s="2"/>
      <c r="T60" s="6">
        <v>62000</v>
      </c>
      <c r="U60" s="2"/>
      <c r="V60" s="7">
        <f t="shared" si="41"/>
        <v>1.5338011426818513E-2</v>
      </c>
      <c r="W60" s="2"/>
      <c r="X60" s="6">
        <f t="shared" si="42"/>
        <v>-29187.410000000003</v>
      </c>
      <c r="Y60" s="2"/>
      <c r="Z60" s="7">
        <f t="shared" si="43"/>
        <v>-0.4707646774193549</v>
      </c>
    </row>
    <row r="61" spans="1:26" s="29" customFormat="1" outlineLevel="1" collapsed="1" x14ac:dyDescent="0.3">
      <c r="A61" s="28"/>
      <c r="B61" s="14" t="str">
        <f>CONCATENATE("     ","Employees' Appreciation                           ")</f>
        <v xml:space="preserve">     Employees' Appreciation                           </v>
      </c>
      <c r="C61" s="14"/>
      <c r="D61" s="1">
        <f>SUM(OSRRefD22_7x_0)</f>
        <v>34.47</v>
      </c>
      <c r="E61" s="1"/>
      <c r="F61" s="5">
        <f t="shared" si="36"/>
        <v>2.48427057455665E-5</v>
      </c>
      <c r="G61" s="1"/>
      <c r="H61" s="1">
        <f>SUM(OSRRefH22_7x_0)</f>
        <v>240</v>
      </c>
      <c r="I61" s="1"/>
      <c r="J61" s="5">
        <f t="shared" si="37"/>
        <v>2.7010996852093406E-4</v>
      </c>
      <c r="K61" s="1"/>
      <c r="L61" s="1">
        <f t="shared" si="38"/>
        <v>-205.53</v>
      </c>
      <c r="M61" s="1"/>
      <c r="N61" s="5">
        <f t="shared" si="39"/>
        <v>-0.856375</v>
      </c>
      <c r="O61" s="14"/>
      <c r="P61" s="1">
        <f>SUM(OSRRefP22_7x_0)</f>
        <v>190.13</v>
      </c>
      <c r="Q61" s="1"/>
      <c r="R61" s="5">
        <f t="shared" si="40"/>
        <v>3.578499563797786E-5</v>
      </c>
      <c r="S61" s="1"/>
      <c r="T61" s="1">
        <f>SUM(OSRRefT22_7x_0)</f>
        <v>1320</v>
      </c>
      <c r="U61" s="1"/>
      <c r="V61" s="5">
        <f t="shared" si="41"/>
        <v>3.2655121102258771E-4</v>
      </c>
      <c r="W61" s="1"/>
      <c r="X61" s="1">
        <f t="shared" si="42"/>
        <v>-1129.8699999999999</v>
      </c>
      <c r="Y61" s="1"/>
      <c r="Z61" s="5">
        <f t="shared" si="43"/>
        <v>-0.85596212121212112</v>
      </c>
    </row>
    <row r="62" spans="1:26" s="24" customFormat="1" hidden="1" outlineLevel="2" x14ac:dyDescent="0.3">
      <c r="A62" s="27"/>
      <c r="B62" s="11" t="str">
        <f>CONCATENATE("          ", "6277", " - ", "EMPLOYEE APPRECIATION")</f>
        <v xml:space="preserve">          6277 - EMPLOYEE APPRECIATION</v>
      </c>
      <c r="C62" s="11"/>
      <c r="D62" s="6">
        <v>34.47</v>
      </c>
      <c r="E62" s="2"/>
      <c r="F62" s="7">
        <f t="shared" si="36"/>
        <v>2.48427057455665E-5</v>
      </c>
      <c r="G62" s="2"/>
      <c r="H62" s="6">
        <v>240</v>
      </c>
      <c r="I62" s="2"/>
      <c r="J62" s="7">
        <f t="shared" si="37"/>
        <v>2.7010996852093406E-4</v>
      </c>
      <c r="K62" s="2"/>
      <c r="L62" s="6">
        <f t="shared" si="38"/>
        <v>-205.53</v>
      </c>
      <c r="M62" s="2"/>
      <c r="N62" s="7">
        <f t="shared" si="39"/>
        <v>-0.856375</v>
      </c>
      <c r="O62" s="11"/>
      <c r="P62" s="6">
        <v>190.13</v>
      </c>
      <c r="Q62" s="2"/>
      <c r="R62" s="7">
        <f t="shared" si="40"/>
        <v>3.578499563797786E-5</v>
      </c>
      <c r="S62" s="2"/>
      <c r="T62" s="6">
        <v>1320</v>
      </c>
      <c r="U62" s="2"/>
      <c r="V62" s="7">
        <f t="shared" si="41"/>
        <v>3.2655121102258771E-4</v>
      </c>
      <c r="W62" s="2"/>
      <c r="X62" s="6">
        <f t="shared" si="42"/>
        <v>-1129.8699999999999</v>
      </c>
      <c r="Y62" s="2"/>
      <c r="Z62" s="7">
        <f t="shared" si="43"/>
        <v>-0.85596212121212112</v>
      </c>
    </row>
    <row r="63" spans="1:26" s="29" customFormat="1" outlineLevel="1" collapsed="1" x14ac:dyDescent="0.3">
      <c r="A63" s="28"/>
      <c r="B63" s="14" t="str">
        <f>CONCATENATE("     ","Equipment Rental                                  ")</f>
        <v xml:space="preserve">     Equipment Rental                                  </v>
      </c>
      <c r="C63" s="14"/>
      <c r="D63" s="1">
        <f>SUM(OSRRefD22_8x_0)</f>
        <v>1328.91</v>
      </c>
      <c r="E63" s="1"/>
      <c r="F63" s="5">
        <f t="shared" si="36"/>
        <v>9.5775225101075653E-4</v>
      </c>
      <c r="G63" s="1"/>
      <c r="H63" s="1">
        <f>SUM(OSRRefH22_8x_0)</f>
        <v>1570</v>
      </c>
      <c r="I63" s="1"/>
      <c r="J63" s="5">
        <f t="shared" si="37"/>
        <v>1.7669693774077771E-3</v>
      </c>
      <c r="K63" s="1"/>
      <c r="L63" s="1">
        <f t="shared" si="38"/>
        <v>-241.08999999999992</v>
      </c>
      <c r="M63" s="1"/>
      <c r="N63" s="5">
        <f t="shared" si="39"/>
        <v>-0.15356050955414008</v>
      </c>
      <c r="O63" s="14"/>
      <c r="P63" s="1">
        <f>SUM(OSRRefP22_8x_0)</f>
        <v>11053.11</v>
      </c>
      <c r="Q63" s="1"/>
      <c r="R63" s="5">
        <f t="shared" si="40"/>
        <v>2.0803423612059616E-3</v>
      </c>
      <c r="S63" s="1"/>
      <c r="T63" s="1">
        <f>SUM(OSRRefT22_8x_0)</f>
        <v>7850</v>
      </c>
      <c r="U63" s="1"/>
      <c r="V63" s="5">
        <f t="shared" si="41"/>
        <v>1.941990156460086E-3</v>
      </c>
      <c r="W63" s="1"/>
      <c r="X63" s="1">
        <f t="shared" si="42"/>
        <v>3203.1100000000006</v>
      </c>
      <c r="Y63" s="1"/>
      <c r="Z63" s="5">
        <f t="shared" si="43"/>
        <v>0.40803949044585996</v>
      </c>
    </row>
    <row r="64" spans="1:26" s="24" customFormat="1" hidden="1" outlineLevel="2" x14ac:dyDescent="0.3">
      <c r="A64" s="27"/>
      <c r="B64" s="11" t="str">
        <f>CONCATENATE("          ", "6351", " - ", "EQUIPMENT RENTAL")</f>
        <v xml:space="preserve">          6351 - EQUIPMENT RENTAL</v>
      </c>
      <c r="C64" s="11"/>
      <c r="D64" s="6">
        <v>1328.91</v>
      </c>
      <c r="E64" s="2"/>
      <c r="F64" s="7">
        <f t="shared" si="36"/>
        <v>9.5775225101075653E-4</v>
      </c>
      <c r="G64" s="2"/>
      <c r="H64" s="6">
        <v>1570</v>
      </c>
      <c r="I64" s="2"/>
      <c r="J64" s="7">
        <f t="shared" si="37"/>
        <v>1.7669693774077771E-3</v>
      </c>
      <c r="K64" s="2"/>
      <c r="L64" s="6">
        <f t="shared" si="38"/>
        <v>-241.08999999999992</v>
      </c>
      <c r="M64" s="2"/>
      <c r="N64" s="7">
        <f t="shared" si="39"/>
        <v>-0.15356050955414008</v>
      </c>
      <c r="O64" s="11"/>
      <c r="P64" s="6">
        <v>11053.11</v>
      </c>
      <c r="Q64" s="2"/>
      <c r="R64" s="7">
        <f t="shared" si="40"/>
        <v>2.0803423612059616E-3</v>
      </c>
      <c r="S64" s="2"/>
      <c r="T64" s="6">
        <v>7850</v>
      </c>
      <c r="U64" s="2"/>
      <c r="V64" s="7">
        <f t="shared" si="41"/>
        <v>1.941990156460086E-3</v>
      </c>
      <c r="W64" s="2"/>
      <c r="X64" s="6">
        <f t="shared" si="42"/>
        <v>3203.1100000000006</v>
      </c>
      <c r="Y64" s="2"/>
      <c r="Z64" s="7">
        <f t="shared" si="43"/>
        <v>0.40803949044585996</v>
      </c>
    </row>
    <row r="65" spans="1:26" s="29" customFormat="1" outlineLevel="1" collapsed="1" x14ac:dyDescent="0.3">
      <c r="A65" s="28"/>
      <c r="B65" s="14" t="str">
        <f>CONCATENATE("     ","General                                           ")</f>
        <v xml:space="preserve">     General                                           </v>
      </c>
      <c r="C65" s="14"/>
      <c r="D65" s="1">
        <f>SUM(OSRRefD22_9x_0)</f>
        <v>0</v>
      </c>
      <c r="E65" s="1"/>
      <c r="F65" s="5">
        <f t="shared" si="36"/>
        <v>0</v>
      </c>
      <c r="G65" s="1"/>
      <c r="H65" s="1">
        <f>SUM(OSRRefH22_9x_0)</f>
        <v>530</v>
      </c>
      <c r="I65" s="1"/>
      <c r="J65" s="5">
        <f t="shared" si="37"/>
        <v>5.9649284715039606E-4</v>
      </c>
      <c r="K65" s="1"/>
      <c r="L65" s="1">
        <f t="shared" si="38"/>
        <v>-530</v>
      </c>
      <c r="M65" s="1"/>
      <c r="N65" s="5">
        <f t="shared" si="39"/>
        <v>-1</v>
      </c>
      <c r="O65" s="14"/>
      <c r="P65" s="1">
        <f>SUM(OSRRefP22_9x_0)</f>
        <v>25262.97</v>
      </c>
      <c r="Q65" s="1"/>
      <c r="R65" s="5">
        <f t="shared" si="40"/>
        <v>4.7548270722787859E-3</v>
      </c>
      <c r="S65" s="1"/>
      <c r="T65" s="1">
        <f>SUM(OSRRefT22_9x_0)</f>
        <v>10835</v>
      </c>
      <c r="U65" s="1"/>
      <c r="V65" s="5">
        <f t="shared" si="41"/>
        <v>2.6804411904770742E-3</v>
      </c>
      <c r="W65" s="1"/>
      <c r="X65" s="1">
        <f t="shared" si="42"/>
        <v>14427.970000000001</v>
      </c>
      <c r="Y65" s="1"/>
      <c r="Z65" s="5">
        <f t="shared" si="43"/>
        <v>1.331607752653438</v>
      </c>
    </row>
    <row r="66" spans="1:26" s="24" customFormat="1" hidden="1" outlineLevel="2" x14ac:dyDescent="0.3">
      <c r="A66" s="27"/>
      <c r="B66" s="11" t="str">
        <f>CONCATENATE("          ", "6279", " - ", "GENERAL EXPENSE")</f>
        <v xml:space="preserve">          6279 - GENERAL EXPENSE</v>
      </c>
      <c r="C66" s="11"/>
      <c r="D66" s="6"/>
      <c r="E66" s="2"/>
      <c r="F66" s="7">
        <f t="shared" si="36"/>
        <v>0</v>
      </c>
      <c r="G66" s="2"/>
      <c r="H66" s="6">
        <v>530</v>
      </c>
      <c r="I66" s="2"/>
      <c r="J66" s="7">
        <f t="shared" si="37"/>
        <v>5.9649284715039606E-4</v>
      </c>
      <c r="K66" s="2"/>
      <c r="L66" s="6">
        <f t="shared" si="38"/>
        <v>-530</v>
      </c>
      <c r="M66" s="2"/>
      <c r="N66" s="7">
        <f t="shared" si="39"/>
        <v>-1</v>
      </c>
      <c r="O66" s="11"/>
      <c r="P66" s="6">
        <v>25262.97</v>
      </c>
      <c r="Q66" s="2"/>
      <c r="R66" s="7">
        <f t="shared" si="40"/>
        <v>4.7548270722787859E-3</v>
      </c>
      <c r="S66" s="2"/>
      <c r="T66" s="6">
        <v>10835</v>
      </c>
      <c r="U66" s="2"/>
      <c r="V66" s="7">
        <f t="shared" si="41"/>
        <v>2.6804411904770742E-3</v>
      </c>
      <c r="W66" s="2"/>
      <c r="X66" s="6">
        <f t="shared" si="42"/>
        <v>14427.970000000001</v>
      </c>
      <c r="Y66" s="2"/>
      <c r="Z66" s="7">
        <f t="shared" si="43"/>
        <v>1.331607752653438</v>
      </c>
    </row>
    <row r="67" spans="1:26" s="29" customFormat="1" outlineLevel="1" collapsed="1" x14ac:dyDescent="0.3">
      <c r="A67" s="28"/>
      <c r="B67" s="14" t="str">
        <f>CONCATENATE("     ","Insurance                                         ")</f>
        <v xml:space="preserve">     Insurance                                         </v>
      </c>
      <c r="C67" s="14"/>
      <c r="D67" s="1">
        <f>SUM(OSRRefD22_10x_0)</f>
        <v>5761.42</v>
      </c>
      <c r="E67" s="1"/>
      <c r="F67" s="5">
        <f t="shared" si="36"/>
        <v>4.1522849357882724E-3</v>
      </c>
      <c r="G67" s="1"/>
      <c r="H67" s="1">
        <f>SUM(OSRRefH22_10x_0)</f>
        <v>5680</v>
      </c>
      <c r="I67" s="1"/>
      <c r="J67" s="5">
        <f t="shared" si="37"/>
        <v>6.3926025883287736E-3</v>
      </c>
      <c r="K67" s="1"/>
      <c r="L67" s="1">
        <f t="shared" si="38"/>
        <v>81.420000000000073</v>
      </c>
      <c r="M67" s="1"/>
      <c r="N67" s="5">
        <f t="shared" si="39"/>
        <v>1.4334507042253534E-2</v>
      </c>
      <c r="O67" s="14"/>
      <c r="P67" s="1">
        <f>SUM(OSRRefP22_10x_0)</f>
        <v>35690.11</v>
      </c>
      <c r="Q67" s="1"/>
      <c r="R67" s="5">
        <f t="shared" si="40"/>
        <v>6.7173535510910952E-3</v>
      </c>
      <c r="S67" s="1"/>
      <c r="T67" s="1">
        <f>SUM(OSRRefT22_10x_0)</f>
        <v>28400</v>
      </c>
      <c r="U67" s="1"/>
      <c r="V67" s="5">
        <f t="shared" si="41"/>
        <v>7.0257987826071898E-3</v>
      </c>
      <c r="W67" s="1"/>
      <c r="X67" s="1">
        <f t="shared" si="42"/>
        <v>7290.1100000000006</v>
      </c>
      <c r="Y67" s="1"/>
      <c r="Z67" s="5">
        <f t="shared" si="43"/>
        <v>0.25669401408450704</v>
      </c>
    </row>
    <row r="68" spans="1:26" s="24" customFormat="1" hidden="1" outlineLevel="2" x14ac:dyDescent="0.3">
      <c r="A68" s="27"/>
      <c r="B68" s="11" t="str">
        <f>CONCATENATE("          ", "6314", " - ", "LIABILITY INSURANCE")</f>
        <v xml:space="preserve">          6314 - LIABILITY INSURANCE</v>
      </c>
      <c r="C68" s="11"/>
      <c r="D68" s="6">
        <v>5761.42</v>
      </c>
      <c r="E68" s="2"/>
      <c r="F68" s="7">
        <f t="shared" si="36"/>
        <v>4.1522849357882724E-3</v>
      </c>
      <c r="G68" s="2"/>
      <c r="H68" s="6">
        <v>5680</v>
      </c>
      <c r="I68" s="2"/>
      <c r="J68" s="7">
        <f t="shared" si="37"/>
        <v>6.3926025883287736E-3</v>
      </c>
      <c r="K68" s="2"/>
      <c r="L68" s="6">
        <f t="shared" si="38"/>
        <v>81.420000000000073</v>
      </c>
      <c r="M68" s="2"/>
      <c r="N68" s="7">
        <f t="shared" si="39"/>
        <v>1.4334507042253534E-2</v>
      </c>
      <c r="O68" s="11"/>
      <c r="P68" s="6">
        <v>35690.11</v>
      </c>
      <c r="Q68" s="2"/>
      <c r="R68" s="7">
        <f t="shared" si="40"/>
        <v>6.7173535510910952E-3</v>
      </c>
      <c r="S68" s="2"/>
      <c r="T68" s="6">
        <v>28400</v>
      </c>
      <c r="U68" s="2"/>
      <c r="V68" s="7">
        <f t="shared" si="41"/>
        <v>7.0257987826071898E-3</v>
      </c>
      <c r="W68" s="2"/>
      <c r="X68" s="6">
        <f t="shared" si="42"/>
        <v>7290.1100000000006</v>
      </c>
      <c r="Y68" s="2"/>
      <c r="Z68" s="7">
        <f t="shared" si="43"/>
        <v>0.25669401408450704</v>
      </c>
    </row>
    <row r="69" spans="1:26" s="29" customFormat="1" outlineLevel="1" collapsed="1" x14ac:dyDescent="0.3">
      <c r="A69" s="28"/>
      <c r="B69" s="14" t="str">
        <f>CONCATENATE("     ","Interest                                          ")</f>
        <v xml:space="preserve">     Interest                                          </v>
      </c>
      <c r="C69" s="14"/>
      <c r="D69" s="1">
        <f>SUM(OSRRefD22_11x_0)</f>
        <v>7253</v>
      </c>
      <c r="E69" s="1"/>
      <c r="F69" s="5">
        <f t="shared" si="36"/>
        <v>5.2272742898924812E-3</v>
      </c>
      <c r="G69" s="1"/>
      <c r="H69" s="1">
        <f>SUM(OSRRefH22_11x_0)</f>
        <v>7253</v>
      </c>
      <c r="I69" s="1"/>
      <c r="J69" s="5">
        <f t="shared" si="37"/>
        <v>8.1629483403430625E-3</v>
      </c>
      <c r="K69" s="1"/>
      <c r="L69" s="1">
        <f t="shared" si="38"/>
        <v>0</v>
      </c>
      <c r="M69" s="1"/>
      <c r="N69" s="5">
        <f t="shared" si="39"/>
        <v>0</v>
      </c>
      <c r="O69" s="14"/>
      <c r="P69" s="1">
        <f>SUM(OSRRefP22_11x_0)</f>
        <v>35751</v>
      </c>
      <c r="Q69" s="1"/>
      <c r="R69" s="5">
        <f t="shared" si="40"/>
        <v>6.7288138592191994E-3</v>
      </c>
      <c r="S69" s="1"/>
      <c r="T69" s="1">
        <f>SUM(OSRRefT22_11x_0)</f>
        <v>36265</v>
      </c>
      <c r="U69" s="1"/>
      <c r="V69" s="5">
        <f t="shared" si="41"/>
        <v>8.9714997482834413E-3</v>
      </c>
      <c r="W69" s="1"/>
      <c r="X69" s="1">
        <f t="shared" si="42"/>
        <v>-514</v>
      </c>
      <c r="Y69" s="1"/>
      <c r="Z69" s="5">
        <f t="shared" si="43"/>
        <v>-1.4173445470839652E-2</v>
      </c>
    </row>
    <row r="70" spans="1:26" s="24" customFormat="1" hidden="1" outlineLevel="2" x14ac:dyDescent="0.3">
      <c r="A70" s="27"/>
      <c r="B70" s="11" t="str">
        <f>CONCATENATE("          ", "6401", " - ", "INTEREST EXPENSE")</f>
        <v xml:space="preserve">          6401 - INTEREST EXPENSE</v>
      </c>
      <c r="C70" s="11"/>
      <c r="D70" s="6">
        <v>7253</v>
      </c>
      <c r="E70" s="2"/>
      <c r="F70" s="7">
        <f t="shared" si="36"/>
        <v>5.2272742898924812E-3</v>
      </c>
      <c r="G70" s="2"/>
      <c r="H70" s="6">
        <v>7253</v>
      </c>
      <c r="I70" s="2"/>
      <c r="J70" s="7">
        <f t="shared" si="37"/>
        <v>8.1629483403430625E-3</v>
      </c>
      <c r="K70" s="2"/>
      <c r="L70" s="6">
        <f t="shared" si="38"/>
        <v>0</v>
      </c>
      <c r="M70" s="2"/>
      <c r="N70" s="7">
        <f t="shared" si="39"/>
        <v>0</v>
      </c>
      <c r="O70" s="11"/>
      <c r="P70" s="6">
        <v>35751</v>
      </c>
      <c r="Q70" s="2"/>
      <c r="R70" s="7">
        <f t="shared" si="40"/>
        <v>6.7288138592191994E-3</v>
      </c>
      <c r="S70" s="2"/>
      <c r="T70" s="6">
        <v>36265</v>
      </c>
      <c r="U70" s="2"/>
      <c r="V70" s="7">
        <f t="shared" si="41"/>
        <v>8.9714997482834413E-3</v>
      </c>
      <c r="W70" s="2"/>
      <c r="X70" s="6">
        <f t="shared" si="42"/>
        <v>-514</v>
      </c>
      <c r="Y70" s="2"/>
      <c r="Z70" s="7">
        <f t="shared" si="43"/>
        <v>-1.4173445470839652E-2</v>
      </c>
    </row>
    <row r="71" spans="1:26" s="29" customFormat="1" outlineLevel="1" collapsed="1" x14ac:dyDescent="0.3">
      <c r="A71" s="28"/>
      <c r="B71" s="14" t="str">
        <f>CONCATENATE("     ","R/H Commissions                                   ")</f>
        <v xml:space="preserve">     R/H Commissions                                   </v>
      </c>
      <c r="C71" s="14"/>
      <c r="D71" s="1">
        <f>SUM(OSRRefD22_12x_0)</f>
        <v>102145.22</v>
      </c>
      <c r="E71" s="1"/>
      <c r="F71" s="5">
        <f t="shared" si="36"/>
        <v>7.3616583805516514E-2</v>
      </c>
      <c r="G71" s="1"/>
      <c r="H71" s="1">
        <f>SUM(OSRRefH22_12x_0)</f>
        <v>62352</v>
      </c>
      <c r="I71" s="1"/>
      <c r="J71" s="5">
        <f t="shared" si="37"/>
        <v>7.0174569821738669E-2</v>
      </c>
      <c r="K71" s="1"/>
      <c r="L71" s="1">
        <f t="shared" si="38"/>
        <v>39793.22</v>
      </c>
      <c r="M71" s="1"/>
      <c r="N71" s="5">
        <f t="shared" si="39"/>
        <v>0.63820278419296894</v>
      </c>
      <c r="O71" s="14"/>
      <c r="P71" s="1">
        <f>SUM(OSRRefP22_12x_0)</f>
        <v>372916.2</v>
      </c>
      <c r="Q71" s="1"/>
      <c r="R71" s="5">
        <f t="shared" si="40"/>
        <v>7.0187790408306319E-2</v>
      </c>
      <c r="S71" s="1"/>
      <c r="T71" s="1">
        <f>SUM(OSRRefT22_12x_0)</f>
        <v>288144</v>
      </c>
      <c r="U71" s="1"/>
      <c r="V71" s="5">
        <f t="shared" si="41"/>
        <v>7.1283160718857957E-2</v>
      </c>
      <c r="W71" s="1"/>
      <c r="X71" s="1">
        <f t="shared" si="42"/>
        <v>84772.200000000012</v>
      </c>
      <c r="Y71" s="1"/>
      <c r="Z71" s="5">
        <f t="shared" si="43"/>
        <v>0.29420081625853745</v>
      </c>
    </row>
    <row r="72" spans="1:26" s="24" customFormat="1" hidden="1" outlineLevel="2" x14ac:dyDescent="0.3">
      <c r="A72" s="27"/>
      <c r="B72" s="11" t="str">
        <f>CONCATENATE("          ", "6387", " - ", "COMMISSION DUE HOUSING")</f>
        <v xml:space="preserve">          6387 - COMMISSION DUE HOUSING</v>
      </c>
      <c r="C72" s="11"/>
      <c r="D72" s="6">
        <v>102145.22</v>
      </c>
      <c r="E72" s="2"/>
      <c r="F72" s="7">
        <f t="shared" si="36"/>
        <v>7.3616583805516514E-2</v>
      </c>
      <c r="G72" s="2"/>
      <c r="H72" s="6">
        <v>62352</v>
      </c>
      <c r="I72" s="2"/>
      <c r="J72" s="7">
        <f t="shared" si="37"/>
        <v>7.0174569821738669E-2</v>
      </c>
      <c r="K72" s="2"/>
      <c r="L72" s="6">
        <f t="shared" si="38"/>
        <v>39793.22</v>
      </c>
      <c r="M72" s="2"/>
      <c r="N72" s="7">
        <f t="shared" si="39"/>
        <v>0.63820278419296894</v>
      </c>
      <c r="O72" s="11"/>
      <c r="P72" s="6">
        <v>372916.2</v>
      </c>
      <c r="Q72" s="2"/>
      <c r="R72" s="7">
        <f t="shared" si="40"/>
        <v>7.0187790408306319E-2</v>
      </c>
      <c r="S72" s="2"/>
      <c r="T72" s="6">
        <v>288144</v>
      </c>
      <c r="U72" s="2"/>
      <c r="V72" s="7">
        <f t="shared" si="41"/>
        <v>7.1283160718857957E-2</v>
      </c>
      <c r="W72" s="2"/>
      <c r="X72" s="6">
        <f t="shared" si="42"/>
        <v>84772.200000000012</v>
      </c>
      <c r="Y72" s="2"/>
      <c r="Z72" s="7">
        <f t="shared" si="43"/>
        <v>0.29420081625853745</v>
      </c>
    </row>
    <row r="73" spans="1:26" s="29" customFormat="1" outlineLevel="1" collapsed="1" x14ac:dyDescent="0.3">
      <c r="A73" s="28"/>
      <c r="B73" s="14" t="str">
        <f>CONCATENATE("     ","Rent                                              ")</f>
        <v xml:space="preserve">     Rent                                              </v>
      </c>
      <c r="C73" s="14"/>
      <c r="D73" s="1">
        <f>SUM(OSRRefD22_13x_0)</f>
        <v>1850</v>
      </c>
      <c r="E73" s="1"/>
      <c r="F73" s="5">
        <f t="shared" si="36"/>
        <v>1.3333044859094292E-3</v>
      </c>
      <c r="G73" s="1"/>
      <c r="H73" s="1">
        <f>SUM(OSRRefH22_13x_0)</f>
        <v>1850</v>
      </c>
      <c r="I73" s="1"/>
      <c r="J73" s="5">
        <f t="shared" si="37"/>
        <v>2.0820976740155337E-3</v>
      </c>
      <c r="K73" s="1"/>
      <c r="L73" s="1">
        <f t="shared" si="38"/>
        <v>0</v>
      </c>
      <c r="M73" s="1"/>
      <c r="N73" s="5">
        <f t="shared" si="39"/>
        <v>0</v>
      </c>
      <c r="O73" s="14"/>
      <c r="P73" s="1">
        <f>SUM(OSRRefP22_13x_0)</f>
        <v>9250</v>
      </c>
      <c r="Q73" s="1"/>
      <c r="R73" s="5">
        <f t="shared" si="40"/>
        <v>1.7409730692226118E-3</v>
      </c>
      <c r="S73" s="1"/>
      <c r="T73" s="1">
        <f>SUM(OSRRefT22_13x_0)</f>
        <v>9250</v>
      </c>
      <c r="U73" s="1"/>
      <c r="V73" s="5">
        <f t="shared" si="41"/>
        <v>2.2883323499688912E-3</v>
      </c>
      <c r="W73" s="1"/>
      <c r="X73" s="1">
        <f t="shared" si="42"/>
        <v>0</v>
      </c>
      <c r="Y73" s="1"/>
      <c r="Z73" s="5">
        <f t="shared" si="43"/>
        <v>0</v>
      </c>
    </row>
    <row r="74" spans="1:26" s="24" customFormat="1" hidden="1" outlineLevel="2" x14ac:dyDescent="0.3">
      <c r="A74" s="27"/>
      <c r="B74" s="11" t="str">
        <f>CONCATENATE("          ", "6273", " - ", "RENT")</f>
        <v xml:space="preserve">          6273 - RENT</v>
      </c>
      <c r="C74" s="11"/>
      <c r="D74" s="6">
        <v>1850</v>
      </c>
      <c r="E74" s="2"/>
      <c r="F74" s="7">
        <f t="shared" si="36"/>
        <v>1.3333044859094292E-3</v>
      </c>
      <c r="G74" s="2"/>
      <c r="H74" s="6">
        <v>1850</v>
      </c>
      <c r="I74" s="2"/>
      <c r="J74" s="7">
        <f t="shared" si="37"/>
        <v>2.0820976740155337E-3</v>
      </c>
      <c r="K74" s="2"/>
      <c r="L74" s="6">
        <f t="shared" si="38"/>
        <v>0</v>
      </c>
      <c r="M74" s="2"/>
      <c r="N74" s="7">
        <f t="shared" si="39"/>
        <v>0</v>
      </c>
      <c r="O74" s="11"/>
      <c r="P74" s="6">
        <v>9250</v>
      </c>
      <c r="Q74" s="2"/>
      <c r="R74" s="7">
        <f t="shared" si="40"/>
        <v>1.7409730692226118E-3</v>
      </c>
      <c r="S74" s="2"/>
      <c r="T74" s="6">
        <v>9250</v>
      </c>
      <c r="U74" s="2"/>
      <c r="V74" s="7">
        <f t="shared" si="41"/>
        <v>2.2883323499688912E-3</v>
      </c>
      <c r="W74" s="2"/>
      <c r="X74" s="6">
        <f t="shared" si="42"/>
        <v>0</v>
      </c>
      <c r="Y74" s="2"/>
      <c r="Z74" s="7">
        <f t="shared" si="43"/>
        <v>0</v>
      </c>
    </row>
    <row r="75" spans="1:26" s="29" customFormat="1" outlineLevel="1" collapsed="1" x14ac:dyDescent="0.3">
      <c r="A75" s="28"/>
      <c r="B75" s="14" t="str">
        <f>CONCATENATE("     ","Repair and Maintenance                            ")</f>
        <v xml:space="preserve">     Repair and Maintenance                            </v>
      </c>
      <c r="C75" s="14"/>
      <c r="D75" s="1">
        <f>SUM(OSRRefD22_14x_0)</f>
        <v>9529.7400000000016</v>
      </c>
      <c r="E75" s="1"/>
      <c r="F75" s="5">
        <f t="shared" si="36"/>
        <v>6.8681324819192032E-3</v>
      </c>
      <c r="G75" s="1"/>
      <c r="H75" s="1">
        <f>SUM(OSRRefH22_14x_0)</f>
        <v>7938</v>
      </c>
      <c r="I75" s="1"/>
      <c r="J75" s="5">
        <f t="shared" si="37"/>
        <v>8.9338872088298941E-3</v>
      </c>
      <c r="K75" s="1"/>
      <c r="L75" s="1">
        <f t="shared" si="38"/>
        <v>1591.7400000000016</v>
      </c>
      <c r="M75" s="1"/>
      <c r="N75" s="5">
        <f t="shared" si="39"/>
        <v>0.20052154195011357</v>
      </c>
      <c r="O75" s="14"/>
      <c r="P75" s="1">
        <f>SUM(OSRRefP22_14x_0)</f>
        <v>64478.33</v>
      </c>
      <c r="Q75" s="1"/>
      <c r="R75" s="5">
        <f t="shared" si="40"/>
        <v>1.2135679576048478E-2</v>
      </c>
      <c r="S75" s="1"/>
      <c r="T75" s="1">
        <f>SUM(OSRRefT22_14x_0)</f>
        <v>49228</v>
      </c>
      <c r="U75" s="1"/>
      <c r="V75" s="5">
        <f t="shared" si="41"/>
        <v>1.21783810728939E-2</v>
      </c>
      <c r="W75" s="1"/>
      <c r="X75" s="1">
        <f t="shared" si="42"/>
        <v>15250.330000000002</v>
      </c>
      <c r="Y75" s="1"/>
      <c r="Z75" s="5">
        <f t="shared" si="43"/>
        <v>0.3097897537986512</v>
      </c>
    </row>
    <row r="76" spans="1:26" s="24" customFormat="1" hidden="1" outlineLevel="2" x14ac:dyDescent="0.3">
      <c r="A76" s="27"/>
      <c r="B76" s="11" t="str">
        <f>CONCATENATE("          ", "6371", " - ", "COMPUTER SOFTWARE MAINTENANCE")</f>
        <v xml:space="preserve">          6371 - COMPUTER SOFTWARE MAINTENANCE</v>
      </c>
      <c r="C76" s="11"/>
      <c r="D76" s="6">
        <v>3880.32</v>
      </c>
      <c r="E76" s="2"/>
      <c r="F76" s="7">
        <f t="shared" si="36"/>
        <v>2.7965665204130142E-3</v>
      </c>
      <c r="G76" s="2"/>
      <c r="H76" s="6">
        <v>3500</v>
      </c>
      <c r="I76" s="2"/>
      <c r="J76" s="7">
        <f t="shared" si="37"/>
        <v>3.9391037075969552E-3</v>
      </c>
      <c r="K76" s="2"/>
      <c r="L76" s="6">
        <f t="shared" si="38"/>
        <v>380.32000000000016</v>
      </c>
      <c r="M76" s="2"/>
      <c r="N76" s="7">
        <f t="shared" si="39"/>
        <v>0.10866285714285719</v>
      </c>
      <c r="O76" s="11"/>
      <c r="P76" s="6">
        <v>23217.72</v>
      </c>
      <c r="Q76" s="2"/>
      <c r="R76" s="7">
        <f t="shared" si="40"/>
        <v>4.3698838106758075E-3</v>
      </c>
      <c r="S76" s="2"/>
      <c r="T76" s="6">
        <v>17500</v>
      </c>
      <c r="U76" s="2"/>
      <c r="V76" s="7">
        <f t="shared" si="41"/>
        <v>4.3292774188600641E-3</v>
      </c>
      <c r="W76" s="2"/>
      <c r="X76" s="6">
        <f t="shared" si="42"/>
        <v>5717.7200000000012</v>
      </c>
      <c r="Y76" s="2"/>
      <c r="Z76" s="7">
        <f t="shared" si="43"/>
        <v>0.32672685714285721</v>
      </c>
    </row>
    <row r="77" spans="1:26" s="24" customFormat="1" hidden="1" outlineLevel="2" x14ac:dyDescent="0.3">
      <c r="A77" s="27"/>
      <c r="B77" s="11" t="str">
        <f>CONCATENATE("          ", "6373", " - ", "MAINTENANCE CONTRACTS")</f>
        <v xml:space="preserve">          6373 - MAINTENANCE CONTRACTS</v>
      </c>
      <c r="C77" s="11"/>
      <c r="D77" s="6">
        <v>2873.05</v>
      </c>
      <c r="E77" s="2"/>
      <c r="F77" s="7">
        <f t="shared" si="36"/>
        <v>2.0706218666173438E-3</v>
      </c>
      <c r="G77" s="2"/>
      <c r="H77" s="6">
        <v>2200</v>
      </c>
      <c r="I77" s="2"/>
      <c r="J77" s="7">
        <f t="shared" si="37"/>
        <v>2.4760080447752291E-3</v>
      </c>
      <c r="K77" s="2"/>
      <c r="L77" s="6">
        <f t="shared" si="38"/>
        <v>673.05000000000018</v>
      </c>
      <c r="M77" s="2"/>
      <c r="N77" s="7">
        <f t="shared" si="39"/>
        <v>0.30593181818181825</v>
      </c>
      <c r="O77" s="11"/>
      <c r="P77" s="6">
        <v>6996.92</v>
      </c>
      <c r="Q77" s="2"/>
      <c r="R77" s="7">
        <f t="shared" si="40"/>
        <v>1.3169134364870354E-3</v>
      </c>
      <c r="S77" s="2"/>
      <c r="T77" s="6">
        <v>9560</v>
      </c>
      <c r="U77" s="2"/>
      <c r="V77" s="7">
        <f t="shared" si="41"/>
        <v>2.3650224071029837E-3</v>
      </c>
      <c r="W77" s="2"/>
      <c r="X77" s="6">
        <f t="shared" si="42"/>
        <v>-2563.08</v>
      </c>
      <c r="Y77" s="2"/>
      <c r="Z77" s="7">
        <f t="shared" si="43"/>
        <v>-0.26810460251046025</v>
      </c>
    </row>
    <row r="78" spans="1:26" s="24" customFormat="1" hidden="1" outlineLevel="2" x14ac:dyDescent="0.3">
      <c r="A78" s="27"/>
      <c r="B78" s="11" t="str">
        <f>CONCATENATE("          ", "6375", " - ", "OUTSIDE REPAIRS &amp; MAINTENANCE")</f>
        <v xml:space="preserve">          6375 - OUTSIDE REPAIRS &amp; MAINTENANCE</v>
      </c>
      <c r="C78" s="11"/>
      <c r="D78" s="6">
        <v>2776.37</v>
      </c>
      <c r="E78" s="2"/>
      <c r="F78" s="7">
        <f t="shared" si="36"/>
        <v>2.0009440948888443E-3</v>
      </c>
      <c r="G78" s="2"/>
      <c r="H78" s="6">
        <v>2238</v>
      </c>
      <c r="I78" s="2"/>
      <c r="J78" s="7">
        <f t="shared" si="37"/>
        <v>2.5187754564577102E-3</v>
      </c>
      <c r="K78" s="2"/>
      <c r="L78" s="6">
        <f t="shared" si="38"/>
        <v>538.36999999999989</v>
      </c>
      <c r="M78" s="2"/>
      <c r="N78" s="7">
        <f t="shared" si="39"/>
        <v>0.24055853440571934</v>
      </c>
      <c r="O78" s="11"/>
      <c r="P78" s="6">
        <v>34263.69</v>
      </c>
      <c r="Q78" s="2"/>
      <c r="R78" s="7">
        <f t="shared" si="40"/>
        <v>6.4488823288856344E-3</v>
      </c>
      <c r="S78" s="2"/>
      <c r="T78" s="6">
        <v>22168</v>
      </c>
      <c r="U78" s="2"/>
      <c r="V78" s="7">
        <f t="shared" si="41"/>
        <v>5.4840812469308517E-3</v>
      </c>
      <c r="W78" s="2"/>
      <c r="X78" s="6">
        <f t="shared" si="42"/>
        <v>12095.690000000002</v>
      </c>
      <c r="Y78" s="2"/>
      <c r="Z78" s="7">
        <f t="shared" si="43"/>
        <v>0.54563740526885607</v>
      </c>
    </row>
    <row r="79" spans="1:26" s="29" customFormat="1" outlineLevel="1" collapsed="1" x14ac:dyDescent="0.3">
      <c r="A79" s="28"/>
      <c r="B79" s="14" t="str">
        <f>CONCATENATE("     ","Royalty &amp; Commissions                             ")</f>
        <v xml:space="preserve">     Royalty &amp; Commissions                             </v>
      </c>
      <c r="C79" s="14"/>
      <c r="D79" s="1">
        <f>SUM(OSRRefD22_15x_0)</f>
        <v>366.22</v>
      </c>
      <c r="E79" s="1"/>
      <c r="F79" s="5">
        <f t="shared" ref="F79:F86" si="44">IF(D$12=0,0,D79/D$12)</f>
        <v>2.6393663179986551E-4</v>
      </c>
      <c r="G79" s="1"/>
      <c r="H79" s="1">
        <f>SUM(OSRRefH22_15x_0)</f>
        <v>0</v>
      </c>
      <c r="I79" s="1"/>
      <c r="J79" s="5">
        <f t="shared" ref="J79:J86" si="45">IF(H$12=0,0,H79/H$12)</f>
        <v>0</v>
      </c>
      <c r="K79" s="1"/>
      <c r="L79" s="1">
        <f t="shared" ref="L79:L86" si="46">+D79-H79</f>
        <v>366.22</v>
      </c>
      <c r="M79" s="1"/>
      <c r="N79" s="5">
        <f t="shared" ref="N79:N86" si="47">IF(H79=0,0,L79/H79)</f>
        <v>0</v>
      </c>
      <c r="O79" s="14"/>
      <c r="P79" s="1">
        <f>SUM(OSRRefP22_15x_0)</f>
        <v>1432.44</v>
      </c>
      <c r="Q79" s="1"/>
      <c r="R79" s="5">
        <f t="shared" ref="R79:R86" si="48">IF(P$12=0,0,P79/P$12)</f>
        <v>2.6960426630024195E-4</v>
      </c>
      <c r="S79" s="1"/>
      <c r="T79" s="1">
        <f>SUM(OSRRefT22_15x_0)</f>
        <v>0</v>
      </c>
      <c r="U79" s="1"/>
      <c r="V79" s="5">
        <f t="shared" ref="V79:V86" si="49">IF(T$12=0,0,T79/T$12)</f>
        <v>0</v>
      </c>
      <c r="W79" s="1"/>
      <c r="X79" s="1">
        <f t="shared" ref="X79:X86" si="50">+P79-T79</f>
        <v>1432.44</v>
      </c>
      <c r="Y79" s="1"/>
      <c r="Z79" s="5">
        <f t="shared" ref="Z79:Z86" si="51">IF(T79=0,0,X79/T79)</f>
        <v>0</v>
      </c>
    </row>
    <row r="80" spans="1:26" s="24" customFormat="1" hidden="1" outlineLevel="2" x14ac:dyDescent="0.3">
      <c r="A80" s="27"/>
      <c r="B80" s="11" t="str">
        <f>CONCATENATE("          ", "6254", " - ", "ROYALTY &amp; COMMISSIONS")</f>
        <v xml:space="preserve">          6254 - ROYALTY &amp; COMMISSIONS</v>
      </c>
      <c r="C80" s="11"/>
      <c r="D80" s="6">
        <v>366.22</v>
      </c>
      <c r="E80" s="2"/>
      <c r="F80" s="7">
        <f t="shared" si="44"/>
        <v>2.6393663179986551E-4</v>
      </c>
      <c r="G80" s="2"/>
      <c r="H80" s="6"/>
      <c r="I80" s="2"/>
      <c r="J80" s="7">
        <f t="shared" si="45"/>
        <v>0</v>
      </c>
      <c r="K80" s="2"/>
      <c r="L80" s="6">
        <f t="shared" si="46"/>
        <v>366.22</v>
      </c>
      <c r="M80" s="2"/>
      <c r="N80" s="7">
        <f t="shared" si="47"/>
        <v>0</v>
      </c>
      <c r="O80" s="11"/>
      <c r="P80" s="6">
        <v>1432.44</v>
      </c>
      <c r="Q80" s="2"/>
      <c r="R80" s="7">
        <f t="shared" si="48"/>
        <v>2.6960426630024195E-4</v>
      </c>
      <c r="S80" s="2"/>
      <c r="T80" s="6"/>
      <c r="U80" s="2"/>
      <c r="V80" s="7">
        <f t="shared" si="49"/>
        <v>0</v>
      </c>
      <c r="W80" s="2"/>
      <c r="X80" s="6">
        <f t="shared" si="50"/>
        <v>1432.44</v>
      </c>
      <c r="Y80" s="2"/>
      <c r="Z80" s="7">
        <f t="shared" si="51"/>
        <v>0</v>
      </c>
    </row>
    <row r="81" spans="1:26" s="29" customFormat="1" outlineLevel="1" collapsed="1" x14ac:dyDescent="0.3">
      <c r="A81" s="28"/>
      <c r="B81" s="14" t="str">
        <f>CONCATENATE("     ","Services                                          ")</f>
        <v xml:space="preserve">     Services                                          </v>
      </c>
      <c r="C81" s="14"/>
      <c r="D81" s="1">
        <f>SUM(OSRRefD22_16x_0)</f>
        <v>23606.67</v>
      </c>
      <c r="E81" s="1"/>
      <c r="F81" s="5">
        <f t="shared" si="44"/>
        <v>1.7013448112639752E-2</v>
      </c>
      <c r="G81" s="1"/>
      <c r="H81" s="1">
        <f>SUM(OSRRefH22_16x_0)</f>
        <v>32267</v>
      </c>
      <c r="I81" s="1"/>
      <c r="J81" s="5">
        <f t="shared" si="45"/>
        <v>3.631515980943742E-2</v>
      </c>
      <c r="K81" s="1"/>
      <c r="L81" s="1">
        <f t="shared" si="46"/>
        <v>-8660.3300000000017</v>
      </c>
      <c r="M81" s="1"/>
      <c r="N81" s="5">
        <f t="shared" si="47"/>
        <v>-0.26839588434003786</v>
      </c>
      <c r="O81" s="14"/>
      <c r="P81" s="1">
        <f>SUM(OSRRefP22_16x_0)</f>
        <v>121645.99</v>
      </c>
      <c r="Q81" s="1"/>
      <c r="R81" s="5">
        <f t="shared" si="48"/>
        <v>2.2895393791234935E-2</v>
      </c>
      <c r="S81" s="1"/>
      <c r="T81" s="1">
        <f>SUM(OSRRefT22_16x_0)</f>
        <v>155766</v>
      </c>
      <c r="U81" s="1"/>
      <c r="V81" s="5">
        <f t="shared" si="49"/>
        <v>3.8534527224351814E-2</v>
      </c>
      <c r="W81" s="1"/>
      <c r="X81" s="1">
        <f t="shared" si="50"/>
        <v>-34120.009999999995</v>
      </c>
      <c r="Y81" s="1"/>
      <c r="Z81" s="5">
        <f t="shared" si="51"/>
        <v>-0.21904658269455463</v>
      </c>
    </row>
    <row r="82" spans="1:26" s="24" customFormat="1" hidden="1" outlineLevel="2" x14ac:dyDescent="0.3">
      <c r="A82" s="27"/>
      <c r="B82" s="11" t="str">
        <f>CONCATENATE("          ", "6282", " - ", "JANITORIAL/EXTERMINATOR EXPENS")</f>
        <v xml:space="preserve">          6282 - JANITORIAL/EXTERMINATOR EXPENS</v>
      </c>
      <c r="C82" s="11"/>
      <c r="D82" s="6">
        <v>2727.38</v>
      </c>
      <c r="E82" s="2"/>
      <c r="F82" s="7">
        <f t="shared" si="44"/>
        <v>1.9656367506917078E-3</v>
      </c>
      <c r="G82" s="2"/>
      <c r="H82" s="6">
        <v>2698</v>
      </c>
      <c r="I82" s="2"/>
      <c r="J82" s="7">
        <f t="shared" si="45"/>
        <v>3.0364862294561673E-3</v>
      </c>
      <c r="K82" s="2"/>
      <c r="L82" s="6">
        <f t="shared" si="46"/>
        <v>29.380000000000109</v>
      </c>
      <c r="M82" s="2"/>
      <c r="N82" s="7">
        <f t="shared" si="47"/>
        <v>1.0889547813195E-2</v>
      </c>
      <c r="O82" s="11"/>
      <c r="P82" s="6">
        <v>14564.68</v>
      </c>
      <c r="Q82" s="2"/>
      <c r="R82" s="7">
        <f t="shared" si="48"/>
        <v>2.7412665558751558E-3</v>
      </c>
      <c r="S82" s="2"/>
      <c r="T82" s="6">
        <v>13390</v>
      </c>
      <c r="U82" s="2"/>
      <c r="V82" s="7">
        <f t="shared" si="49"/>
        <v>3.3125156936306432E-3</v>
      </c>
      <c r="W82" s="2"/>
      <c r="X82" s="6">
        <f t="shared" si="50"/>
        <v>1174.6800000000003</v>
      </c>
      <c r="Y82" s="2"/>
      <c r="Z82" s="7">
        <f t="shared" si="51"/>
        <v>8.7728155339805852E-2</v>
      </c>
    </row>
    <row r="83" spans="1:26" s="24" customFormat="1" hidden="1" outlineLevel="2" x14ac:dyDescent="0.3">
      <c r="A83" s="27"/>
      <c r="B83" s="11" t="str">
        <f>CONCATENATE("          ", "6283", " - ", "PLANT SERVICE")</f>
        <v xml:space="preserve">          6283 - PLANT SERVICE</v>
      </c>
      <c r="C83" s="11"/>
      <c r="D83" s="6"/>
      <c r="E83" s="2"/>
      <c r="F83" s="7">
        <f t="shared" si="44"/>
        <v>0</v>
      </c>
      <c r="G83" s="2"/>
      <c r="H83" s="6">
        <v>100</v>
      </c>
      <c r="I83" s="2"/>
      <c r="J83" s="7">
        <f t="shared" si="45"/>
        <v>1.1254582021705587E-4</v>
      </c>
      <c r="K83" s="2"/>
      <c r="L83" s="6">
        <f t="shared" si="46"/>
        <v>-100</v>
      </c>
      <c r="M83" s="2"/>
      <c r="N83" s="7">
        <f t="shared" si="47"/>
        <v>-1</v>
      </c>
      <c r="O83" s="11"/>
      <c r="P83" s="6"/>
      <c r="Q83" s="2"/>
      <c r="R83" s="7">
        <f t="shared" si="48"/>
        <v>0</v>
      </c>
      <c r="S83" s="2"/>
      <c r="T83" s="6">
        <v>500</v>
      </c>
      <c r="U83" s="2"/>
      <c r="V83" s="7">
        <f t="shared" si="49"/>
        <v>1.2369364053885898E-4</v>
      </c>
      <c r="W83" s="2"/>
      <c r="X83" s="6">
        <f t="shared" si="50"/>
        <v>-500</v>
      </c>
      <c r="Y83" s="2"/>
      <c r="Z83" s="7">
        <f t="shared" si="51"/>
        <v>-1</v>
      </c>
    </row>
    <row r="84" spans="1:26" s="24" customFormat="1" hidden="1" outlineLevel="2" x14ac:dyDescent="0.3">
      <c r="A84" s="27"/>
      <c r="B84" s="11" t="str">
        <f>CONCATENATE("          ", "6284", " - ", "TRASH REMOVAL EXPENSE")</f>
        <v xml:space="preserve">          6284 - TRASH REMOVAL EXPENSE</v>
      </c>
      <c r="C84" s="11"/>
      <c r="D84" s="6"/>
      <c r="E84" s="2"/>
      <c r="F84" s="7">
        <f t="shared" si="44"/>
        <v>0</v>
      </c>
      <c r="G84" s="2"/>
      <c r="H84" s="6">
        <v>1600</v>
      </c>
      <c r="I84" s="2"/>
      <c r="J84" s="7">
        <f t="shared" si="45"/>
        <v>1.8007331234728939E-3</v>
      </c>
      <c r="K84" s="2"/>
      <c r="L84" s="6">
        <f t="shared" si="46"/>
        <v>-1600</v>
      </c>
      <c r="M84" s="2"/>
      <c r="N84" s="7">
        <f t="shared" si="47"/>
        <v>-1</v>
      </c>
      <c r="O84" s="11"/>
      <c r="P84" s="6"/>
      <c r="Q84" s="2"/>
      <c r="R84" s="7">
        <f t="shared" si="48"/>
        <v>0</v>
      </c>
      <c r="S84" s="2"/>
      <c r="T84" s="6">
        <v>8000</v>
      </c>
      <c r="U84" s="2"/>
      <c r="V84" s="7">
        <f t="shared" si="49"/>
        <v>1.9790982486217437E-3</v>
      </c>
      <c r="W84" s="2"/>
      <c r="X84" s="6">
        <f t="shared" si="50"/>
        <v>-8000</v>
      </c>
      <c r="Y84" s="2"/>
      <c r="Z84" s="7">
        <f t="shared" si="51"/>
        <v>-1</v>
      </c>
    </row>
    <row r="85" spans="1:26" s="24" customFormat="1" hidden="1" outlineLevel="2" x14ac:dyDescent="0.3">
      <c r="A85" s="27"/>
      <c r="B85" s="11" t="str">
        <f>CONCATENATE("          ", "6285", " - ", "JANITORIAL SERVICES")</f>
        <v xml:space="preserve">          6285 - JANITORIAL SERVICES</v>
      </c>
      <c r="C85" s="11"/>
      <c r="D85" s="6">
        <v>18157.419999999998</v>
      </c>
      <c r="E85" s="2"/>
      <c r="F85" s="7">
        <f t="shared" si="44"/>
        <v>1.3086145696508966E-2</v>
      </c>
      <c r="G85" s="2"/>
      <c r="H85" s="6">
        <v>22559</v>
      </c>
      <c r="I85" s="2"/>
      <c r="J85" s="7">
        <f t="shared" si="45"/>
        <v>2.5389211582765633E-2</v>
      </c>
      <c r="K85" s="2"/>
      <c r="L85" s="6">
        <f t="shared" si="46"/>
        <v>-4401.5800000000017</v>
      </c>
      <c r="M85" s="2"/>
      <c r="N85" s="7">
        <f t="shared" si="47"/>
        <v>-0.19511414513054665</v>
      </c>
      <c r="O85" s="11"/>
      <c r="P85" s="6">
        <v>92064.08</v>
      </c>
      <c r="Q85" s="2"/>
      <c r="R85" s="7">
        <f t="shared" si="48"/>
        <v>1.7327684748406062E-2</v>
      </c>
      <c r="S85" s="2"/>
      <c r="T85" s="6">
        <v>108487</v>
      </c>
      <c r="U85" s="2"/>
      <c r="V85" s="7">
        <f t="shared" si="49"/>
        <v>2.6838303962278386E-2</v>
      </c>
      <c r="W85" s="2"/>
      <c r="X85" s="6">
        <f t="shared" si="50"/>
        <v>-16422.919999999998</v>
      </c>
      <c r="Y85" s="2"/>
      <c r="Z85" s="7">
        <f t="shared" si="51"/>
        <v>-0.15138145584263552</v>
      </c>
    </row>
    <row r="86" spans="1:26" s="24" customFormat="1" hidden="1" outlineLevel="2" x14ac:dyDescent="0.3">
      <c r="A86" s="27"/>
      <c r="B86" s="11" t="str">
        <f>CONCATENATE("          ", "6286", " - ", "LAUNDRY EXPENSE")</f>
        <v xml:space="preserve">          6286 - LAUNDRY EXPENSE</v>
      </c>
      <c r="C86" s="11"/>
      <c r="D86" s="6">
        <v>2721.87</v>
      </c>
      <c r="E86" s="2"/>
      <c r="F86" s="7">
        <f t="shared" si="44"/>
        <v>1.9616656654390797E-3</v>
      </c>
      <c r="G86" s="2"/>
      <c r="H86" s="6">
        <v>5310</v>
      </c>
      <c r="I86" s="2"/>
      <c r="J86" s="7">
        <f t="shared" si="45"/>
        <v>5.9761830535256669E-3</v>
      </c>
      <c r="K86" s="2"/>
      <c r="L86" s="6">
        <f t="shared" si="46"/>
        <v>-2588.13</v>
      </c>
      <c r="M86" s="2"/>
      <c r="N86" s="7">
        <f t="shared" si="47"/>
        <v>-0.48740677966101698</v>
      </c>
      <c r="O86" s="11"/>
      <c r="P86" s="6">
        <v>15017.23</v>
      </c>
      <c r="Q86" s="2"/>
      <c r="R86" s="7">
        <f t="shared" si="48"/>
        <v>2.8264424869537171E-3</v>
      </c>
      <c r="S86" s="2"/>
      <c r="T86" s="6">
        <v>25389</v>
      </c>
      <c r="U86" s="2"/>
      <c r="V86" s="7">
        <f t="shared" si="49"/>
        <v>6.2809156792821815E-3</v>
      </c>
      <c r="W86" s="2"/>
      <c r="X86" s="6">
        <f t="shared" si="50"/>
        <v>-10371.77</v>
      </c>
      <c r="Y86" s="2"/>
      <c r="Z86" s="7">
        <f t="shared" si="51"/>
        <v>-0.40851431722399467</v>
      </c>
    </row>
    <row r="87" spans="1:26" s="29" customFormat="1" outlineLevel="1" collapsed="1" x14ac:dyDescent="0.3">
      <c r="A87" s="28"/>
      <c r="B87" s="14" t="str">
        <f>CONCATENATE("     ","Subscriptions &amp; Dues                              ")</f>
        <v xml:space="preserve">     Subscriptions &amp; Dues                              </v>
      </c>
      <c r="C87" s="14"/>
      <c r="D87" s="1">
        <f>SUM(OSRRefD22_17x_0)</f>
        <v>569.5</v>
      </c>
      <c r="E87" s="1"/>
      <c r="F87" s="5">
        <f t="shared" ref="F87:F89" si="52">IF(D$12=0,0,D87/D$12)</f>
        <v>4.104415701218486E-4</v>
      </c>
      <c r="G87" s="1"/>
      <c r="H87" s="1">
        <f>SUM(OSRRefH22_17x_0)</f>
        <v>1405</v>
      </c>
      <c r="I87" s="1"/>
      <c r="J87" s="5">
        <f t="shared" ref="J87:J89" si="53">IF(H$12=0,0,H87/H$12)</f>
        <v>1.581268774049635E-3</v>
      </c>
      <c r="K87" s="1"/>
      <c r="L87" s="1">
        <f t="shared" ref="L87:L89" si="54">+D87-H87</f>
        <v>-835.5</v>
      </c>
      <c r="M87" s="1"/>
      <c r="N87" s="5">
        <f t="shared" ref="N87:N89" si="55">IF(H87=0,0,L87/H87)</f>
        <v>-0.5946619217081851</v>
      </c>
      <c r="O87" s="14"/>
      <c r="P87" s="1">
        <f>SUM(OSRRefP22_17x_0)</f>
        <v>2516.5</v>
      </c>
      <c r="Q87" s="1"/>
      <c r="R87" s="5">
        <f t="shared" ref="R87:R89" si="56">IF(P$12=0,0,P87/P$12)</f>
        <v>4.7363878148094085E-4</v>
      </c>
      <c r="S87" s="1"/>
      <c r="T87" s="1">
        <f>SUM(OSRRefT22_17x_0)</f>
        <v>3615</v>
      </c>
      <c r="U87" s="1"/>
      <c r="V87" s="5">
        <f t="shared" ref="V87:V89" si="57">IF(T$12=0,0,T87/T$12)</f>
        <v>8.9430502109595037E-4</v>
      </c>
      <c r="W87" s="1"/>
      <c r="X87" s="1">
        <f t="shared" ref="X87:X89" si="58">+P87-T87</f>
        <v>-1098.5</v>
      </c>
      <c r="Y87" s="1"/>
      <c r="Z87" s="5">
        <f t="shared" ref="Z87:Z89" si="59">IF(T87=0,0,X87/T87)</f>
        <v>-0.30387275242047024</v>
      </c>
    </row>
    <row r="88" spans="1:26" s="24" customFormat="1" hidden="1" outlineLevel="2" x14ac:dyDescent="0.3">
      <c r="A88" s="27"/>
      <c r="B88" s="11" t="str">
        <f>CONCATENATE("          ", "6258", " - ", "MEMBERSHIP DUES")</f>
        <v xml:space="preserve">          6258 - MEMBERSHIP DUES</v>
      </c>
      <c r="C88" s="11"/>
      <c r="D88" s="6"/>
      <c r="E88" s="2"/>
      <c r="F88" s="7">
        <f t="shared" si="52"/>
        <v>0</v>
      </c>
      <c r="G88" s="2"/>
      <c r="H88" s="6">
        <v>795</v>
      </c>
      <c r="I88" s="2"/>
      <c r="J88" s="7">
        <f t="shared" si="53"/>
        <v>8.9473927072559415E-4</v>
      </c>
      <c r="K88" s="2"/>
      <c r="L88" s="6">
        <f t="shared" si="54"/>
        <v>-795</v>
      </c>
      <c r="M88" s="2"/>
      <c r="N88" s="7">
        <f t="shared" si="55"/>
        <v>-1</v>
      </c>
      <c r="O88" s="11"/>
      <c r="P88" s="6"/>
      <c r="Q88" s="2"/>
      <c r="R88" s="7">
        <f t="shared" si="56"/>
        <v>0</v>
      </c>
      <c r="S88" s="2"/>
      <c r="T88" s="6">
        <v>795</v>
      </c>
      <c r="U88" s="2"/>
      <c r="V88" s="7">
        <f t="shared" si="57"/>
        <v>1.9667288845678577E-4</v>
      </c>
      <c r="W88" s="2"/>
      <c r="X88" s="6">
        <f t="shared" si="58"/>
        <v>-795</v>
      </c>
      <c r="Y88" s="2"/>
      <c r="Z88" s="7">
        <f t="shared" si="59"/>
        <v>-1</v>
      </c>
    </row>
    <row r="89" spans="1:26" s="24" customFormat="1" hidden="1" outlineLevel="2" x14ac:dyDescent="0.3">
      <c r="A89" s="27"/>
      <c r="B89" s="11" t="str">
        <f>CONCATENATE("          ", "6275", " - ", "SUBSCRIPTIONS")</f>
        <v xml:space="preserve">          6275 - SUBSCRIPTIONS</v>
      </c>
      <c r="C89" s="11"/>
      <c r="D89" s="6">
        <v>569.5</v>
      </c>
      <c r="E89" s="2"/>
      <c r="F89" s="7">
        <f t="shared" si="52"/>
        <v>4.104415701218486E-4</v>
      </c>
      <c r="G89" s="2"/>
      <c r="H89" s="6">
        <v>610</v>
      </c>
      <c r="I89" s="2"/>
      <c r="J89" s="7">
        <f t="shared" si="53"/>
        <v>6.8652950332404082E-4</v>
      </c>
      <c r="K89" s="2"/>
      <c r="L89" s="6">
        <f t="shared" si="54"/>
        <v>-40.5</v>
      </c>
      <c r="M89" s="2"/>
      <c r="N89" s="7">
        <f t="shared" si="55"/>
        <v>-6.6393442622950813E-2</v>
      </c>
      <c r="O89" s="11"/>
      <c r="P89" s="6">
        <v>2516.5</v>
      </c>
      <c r="Q89" s="2"/>
      <c r="R89" s="7">
        <f t="shared" si="56"/>
        <v>4.7363878148094085E-4</v>
      </c>
      <c r="S89" s="2"/>
      <c r="T89" s="6">
        <v>2820</v>
      </c>
      <c r="U89" s="2"/>
      <c r="V89" s="7">
        <f t="shared" si="57"/>
        <v>6.9763213263916463E-4</v>
      </c>
      <c r="W89" s="2"/>
      <c r="X89" s="6">
        <f t="shared" si="58"/>
        <v>-303.5</v>
      </c>
      <c r="Y89" s="2"/>
      <c r="Z89" s="7">
        <f t="shared" si="59"/>
        <v>-0.10762411347517731</v>
      </c>
    </row>
    <row r="90" spans="1:26" s="29" customFormat="1" outlineLevel="1" collapsed="1" x14ac:dyDescent="0.3">
      <c r="A90" s="28"/>
      <c r="B90" s="14" t="str">
        <f>CONCATENATE("     ","Supplies                                          ")</f>
        <v xml:space="preserve">     Supplies                                          </v>
      </c>
      <c r="C90" s="14"/>
      <c r="D90" s="1">
        <f>SUM(OSRRefD22_18x_0)</f>
        <v>21671.710000000003</v>
      </c>
      <c r="E90" s="1"/>
      <c r="F90" s="5">
        <f t="shared" ref="F90:F100" si="60">IF(D$12=0,0,D90/D$12)</f>
        <v>1.5618912519096346E-2</v>
      </c>
      <c r="G90" s="1"/>
      <c r="H90" s="1">
        <f>SUM(OSRRefH22_18x_0)</f>
        <v>30825</v>
      </c>
      <c r="I90" s="1"/>
      <c r="J90" s="5">
        <f t="shared" ref="J90:J100" si="61">IF(H$12=0,0,H90/H$12)</f>
        <v>3.4692249081907468E-2</v>
      </c>
      <c r="K90" s="1"/>
      <c r="L90" s="1">
        <f t="shared" ref="L90:L100" si="62">+D90-H90</f>
        <v>-9153.2899999999972</v>
      </c>
      <c r="M90" s="1"/>
      <c r="N90" s="5">
        <f t="shared" ref="N90:N100" si="63">IF(H90=0,0,L90/H90)</f>
        <v>-0.29694371451743706</v>
      </c>
      <c r="O90" s="14"/>
      <c r="P90" s="1">
        <f>SUM(OSRRefP22_18x_0)</f>
        <v>196723.60000000003</v>
      </c>
      <c r="Q90" s="1"/>
      <c r="R90" s="5">
        <f t="shared" ref="R90:R100" si="64">IF(P$12=0,0,P90/P$12)</f>
        <v>3.7025998884380698E-2</v>
      </c>
      <c r="S90" s="1"/>
      <c r="T90" s="1">
        <f>SUM(OSRRefT22_18x_0)</f>
        <v>175723</v>
      </c>
      <c r="U90" s="1"/>
      <c r="V90" s="5">
        <f t="shared" ref="V90:V100" si="65">IF(T$12=0,0,T90/T$12)</f>
        <v>4.3471635192819831E-2</v>
      </c>
      <c r="W90" s="1"/>
      <c r="X90" s="1">
        <f t="shared" ref="X90:X100" si="66">+P90-T90</f>
        <v>21000.600000000035</v>
      </c>
      <c r="Y90" s="1"/>
      <c r="Z90" s="5">
        <f t="shared" ref="Z90:Z100" si="67">IF(T90=0,0,X90/T90)</f>
        <v>0.11950968285312699</v>
      </c>
    </row>
    <row r="91" spans="1:26" s="24" customFormat="1" hidden="1" outlineLevel="2" x14ac:dyDescent="0.3">
      <c r="A91" s="27"/>
      <c r="B91" s="11" t="str">
        <f>CONCATENATE("          ", "6234", " - ", "EXPENDABLE SUPPLIES &amp; EQUIPMEN")</f>
        <v xml:space="preserve">          6234 - EXPENDABLE SUPPLIES &amp; EQUIPMEN</v>
      </c>
      <c r="C91" s="11"/>
      <c r="D91" s="6"/>
      <c r="E91" s="2"/>
      <c r="F91" s="7">
        <f t="shared" si="60"/>
        <v>0</v>
      </c>
      <c r="G91" s="2"/>
      <c r="H91" s="6">
        <v>342</v>
      </c>
      <c r="I91" s="2"/>
      <c r="J91" s="7">
        <f t="shared" si="61"/>
        <v>3.8490670514233104E-4</v>
      </c>
      <c r="K91" s="2"/>
      <c r="L91" s="6">
        <f t="shared" si="62"/>
        <v>-342</v>
      </c>
      <c r="M91" s="2"/>
      <c r="N91" s="7">
        <f t="shared" si="63"/>
        <v>-1</v>
      </c>
      <c r="O91" s="11"/>
      <c r="P91" s="6">
        <v>21.98</v>
      </c>
      <c r="Q91" s="2"/>
      <c r="R91" s="7">
        <f t="shared" si="64"/>
        <v>4.136928439082488E-6</v>
      </c>
      <c r="S91" s="2"/>
      <c r="T91" s="6">
        <v>1710</v>
      </c>
      <c r="U91" s="2"/>
      <c r="V91" s="7">
        <f t="shared" si="65"/>
        <v>4.2303225064289771E-4</v>
      </c>
      <c r="W91" s="2"/>
      <c r="X91" s="6">
        <f t="shared" si="66"/>
        <v>-1688.02</v>
      </c>
      <c r="Y91" s="2"/>
      <c r="Z91" s="7">
        <f t="shared" si="67"/>
        <v>-0.98714619883040933</v>
      </c>
    </row>
    <row r="92" spans="1:26" s="24" customFormat="1" hidden="1" outlineLevel="2" x14ac:dyDescent="0.3">
      <c r="A92" s="27"/>
      <c r="B92" s="11" t="str">
        <f>CONCATENATE("          ", "6235", " - ", "COVID-19 EXPENSES")</f>
        <v xml:space="preserve">          6235 - COVID-19 EXPENSES</v>
      </c>
      <c r="C92" s="11"/>
      <c r="D92" s="6"/>
      <c r="E92" s="2"/>
      <c r="F92" s="7">
        <f t="shared" si="60"/>
        <v>0</v>
      </c>
      <c r="G92" s="2"/>
      <c r="H92" s="6">
        <v>250</v>
      </c>
      <c r="I92" s="2"/>
      <c r="J92" s="7">
        <f t="shared" si="61"/>
        <v>2.8136455054263967E-4</v>
      </c>
      <c r="K92" s="2"/>
      <c r="L92" s="6">
        <f t="shared" si="62"/>
        <v>-250</v>
      </c>
      <c r="M92" s="2"/>
      <c r="N92" s="7">
        <f t="shared" si="63"/>
        <v>-1</v>
      </c>
      <c r="O92" s="11"/>
      <c r="P92" s="6">
        <v>193.5</v>
      </c>
      <c r="Q92" s="2"/>
      <c r="R92" s="7">
        <f t="shared" si="64"/>
        <v>3.6419274475089234E-5</v>
      </c>
      <c r="S92" s="2"/>
      <c r="T92" s="6">
        <v>1500</v>
      </c>
      <c r="U92" s="2"/>
      <c r="V92" s="7">
        <f t="shared" si="65"/>
        <v>3.7108092161657692E-4</v>
      </c>
      <c r="W92" s="2"/>
      <c r="X92" s="6">
        <f t="shared" si="66"/>
        <v>-1306.5</v>
      </c>
      <c r="Y92" s="2"/>
      <c r="Z92" s="7">
        <f t="shared" si="67"/>
        <v>-0.871</v>
      </c>
    </row>
    <row r="93" spans="1:26" s="24" customFormat="1" hidden="1" outlineLevel="2" x14ac:dyDescent="0.3">
      <c r="A93" s="27"/>
      <c r="B93" s="11" t="str">
        <f>CONCATENATE("          ", "6237", " - ", "JANITORIAL SUPPLIES")</f>
        <v xml:space="preserve">          6237 - JANITORIAL SUPPLIES</v>
      </c>
      <c r="C93" s="11"/>
      <c r="D93" s="6">
        <v>4642.7700000000004</v>
      </c>
      <c r="E93" s="2"/>
      <c r="F93" s="7">
        <f t="shared" si="60"/>
        <v>3.3460681448895789E-3</v>
      </c>
      <c r="G93" s="2"/>
      <c r="H93" s="6">
        <v>9975</v>
      </c>
      <c r="I93" s="2"/>
      <c r="J93" s="7">
        <f t="shared" si="61"/>
        <v>1.1226445566651323E-2</v>
      </c>
      <c r="K93" s="2"/>
      <c r="L93" s="6">
        <f t="shared" si="62"/>
        <v>-5332.23</v>
      </c>
      <c r="M93" s="2"/>
      <c r="N93" s="7">
        <f t="shared" si="63"/>
        <v>-0.53455939849624057</v>
      </c>
      <c r="O93" s="11"/>
      <c r="P93" s="6">
        <v>32093.98</v>
      </c>
      <c r="Q93" s="2"/>
      <c r="R93" s="7">
        <f t="shared" si="64"/>
        <v>6.0405140393696346E-3</v>
      </c>
      <c r="S93" s="2"/>
      <c r="T93" s="6">
        <v>54353</v>
      </c>
      <c r="U93" s="2"/>
      <c r="V93" s="7">
        <f t="shared" si="65"/>
        <v>1.3446240888417204E-2</v>
      </c>
      <c r="W93" s="2"/>
      <c r="X93" s="6">
        <f t="shared" si="66"/>
        <v>-22259.02</v>
      </c>
      <c r="Y93" s="2"/>
      <c r="Z93" s="7">
        <f t="shared" si="67"/>
        <v>-0.40952698103140583</v>
      </c>
    </row>
    <row r="94" spans="1:26" s="24" customFormat="1" hidden="1" outlineLevel="2" x14ac:dyDescent="0.3">
      <c r="A94" s="27"/>
      <c r="B94" s="11" t="str">
        <f>CONCATENATE("          ", "6239", " - ", "KITCHEN SUPPLIES")</f>
        <v xml:space="preserve">          6239 - KITCHEN SUPPLIES</v>
      </c>
      <c r="C94" s="11"/>
      <c r="D94" s="6">
        <v>1163.5</v>
      </c>
      <c r="E94" s="2"/>
      <c r="F94" s="7">
        <f t="shared" si="60"/>
        <v>8.3854041586790319E-4</v>
      </c>
      <c r="G94" s="2"/>
      <c r="H94" s="6">
        <v>3700</v>
      </c>
      <c r="I94" s="2"/>
      <c r="J94" s="7">
        <f t="shared" si="61"/>
        <v>4.1641953480310674E-3</v>
      </c>
      <c r="K94" s="2"/>
      <c r="L94" s="6">
        <f t="shared" si="62"/>
        <v>-2536.5</v>
      </c>
      <c r="M94" s="2"/>
      <c r="N94" s="7">
        <f t="shared" si="63"/>
        <v>-0.68554054054054059</v>
      </c>
      <c r="O94" s="11"/>
      <c r="P94" s="6">
        <v>26277.119999999999</v>
      </c>
      <c r="Q94" s="2"/>
      <c r="R94" s="7">
        <f t="shared" si="64"/>
        <v>4.9457035953222568E-3</v>
      </c>
      <c r="S94" s="2"/>
      <c r="T94" s="6">
        <v>29749</v>
      </c>
      <c r="U94" s="2"/>
      <c r="V94" s="7">
        <f t="shared" si="65"/>
        <v>7.3595242247810316E-3</v>
      </c>
      <c r="W94" s="2"/>
      <c r="X94" s="6">
        <f t="shared" si="66"/>
        <v>-3471.880000000001</v>
      </c>
      <c r="Y94" s="2"/>
      <c r="Z94" s="7">
        <f t="shared" si="67"/>
        <v>-0.11670577162257559</v>
      </c>
    </row>
    <row r="95" spans="1:26" s="24" customFormat="1" hidden="1" outlineLevel="2" x14ac:dyDescent="0.3">
      <c r="A95" s="27"/>
      <c r="B95" s="11" t="str">
        <f>CONCATENATE("          ", "6241", " - ", "OFFICE EXPENSE")</f>
        <v xml:space="preserve">          6241 - OFFICE EXPENSE</v>
      </c>
      <c r="C95" s="11"/>
      <c r="D95" s="6">
        <v>816.89</v>
      </c>
      <c r="E95" s="2"/>
      <c r="F95" s="7">
        <f t="shared" si="60"/>
        <v>5.8873681161867762E-4</v>
      </c>
      <c r="G95" s="2"/>
      <c r="H95" s="6">
        <v>1445</v>
      </c>
      <c r="I95" s="2"/>
      <c r="J95" s="7">
        <f t="shared" si="61"/>
        <v>1.6262871021364574E-3</v>
      </c>
      <c r="K95" s="2"/>
      <c r="L95" s="6">
        <f t="shared" si="62"/>
        <v>-628.11</v>
      </c>
      <c r="M95" s="2"/>
      <c r="N95" s="7">
        <f t="shared" si="63"/>
        <v>-0.43467820069204155</v>
      </c>
      <c r="O95" s="11"/>
      <c r="P95" s="6">
        <v>17609.150000000001</v>
      </c>
      <c r="Q95" s="2"/>
      <c r="R95" s="7">
        <f t="shared" si="64"/>
        <v>3.314276315881228E-3</v>
      </c>
      <c r="S95" s="2"/>
      <c r="T95" s="6">
        <v>10152</v>
      </c>
      <c r="U95" s="2"/>
      <c r="V95" s="7">
        <f t="shared" si="65"/>
        <v>2.5114756775009928E-3</v>
      </c>
      <c r="W95" s="2"/>
      <c r="X95" s="6">
        <f t="shared" si="66"/>
        <v>7457.1500000000015</v>
      </c>
      <c r="Y95" s="2"/>
      <c r="Z95" s="7">
        <f t="shared" si="67"/>
        <v>0.73454984239558718</v>
      </c>
    </row>
    <row r="96" spans="1:26" s="24" customFormat="1" hidden="1" outlineLevel="2" x14ac:dyDescent="0.3">
      <c r="A96" s="27"/>
      <c r="B96" s="11" t="str">
        <f>CONCATENATE("          ", "6243", " - ", "PAPER SUPPLIES")</f>
        <v xml:space="preserve">          6243 - PAPER SUPPLIES</v>
      </c>
      <c r="C96" s="11"/>
      <c r="D96" s="6">
        <v>14679.37</v>
      </c>
      <c r="E96" s="2"/>
      <c r="F96" s="7">
        <f t="shared" si="60"/>
        <v>1.0579497227742865E-2</v>
      </c>
      <c r="G96" s="2"/>
      <c r="H96" s="6">
        <v>13900</v>
      </c>
      <c r="I96" s="2"/>
      <c r="J96" s="7">
        <f t="shared" si="61"/>
        <v>1.5643869010170765E-2</v>
      </c>
      <c r="K96" s="2"/>
      <c r="L96" s="6">
        <f t="shared" si="62"/>
        <v>779.3700000000008</v>
      </c>
      <c r="M96" s="2"/>
      <c r="N96" s="7">
        <f t="shared" si="63"/>
        <v>5.6069784172661931E-2</v>
      </c>
      <c r="O96" s="11"/>
      <c r="P96" s="6">
        <v>112292.05</v>
      </c>
      <c r="Q96" s="2"/>
      <c r="R96" s="7">
        <f t="shared" si="64"/>
        <v>2.1134857831113407E-2</v>
      </c>
      <c r="S96" s="2"/>
      <c r="T96" s="6">
        <v>68633</v>
      </c>
      <c r="U96" s="2"/>
      <c r="V96" s="7">
        <f t="shared" si="65"/>
        <v>1.6978931262207016E-2</v>
      </c>
      <c r="W96" s="2"/>
      <c r="X96" s="6">
        <f t="shared" si="66"/>
        <v>43659.05</v>
      </c>
      <c r="Y96" s="2"/>
      <c r="Z96" s="7">
        <f t="shared" si="67"/>
        <v>0.63612329345941465</v>
      </c>
    </row>
    <row r="97" spans="1:26" s="24" customFormat="1" hidden="1" outlineLevel="2" x14ac:dyDescent="0.3">
      <c r="A97" s="27"/>
      <c r="B97" s="11" t="str">
        <f>CONCATENATE("          ", "6244", " - ", "SAFETY SUPPLY EXPENSE")</f>
        <v xml:space="preserve">          6244 - SAFETY SUPPLY EXPENSE</v>
      </c>
      <c r="C97" s="11"/>
      <c r="D97" s="6"/>
      <c r="E97" s="2"/>
      <c r="F97" s="7">
        <f t="shared" si="60"/>
        <v>0</v>
      </c>
      <c r="G97" s="2"/>
      <c r="H97" s="6">
        <v>525</v>
      </c>
      <c r="I97" s="2"/>
      <c r="J97" s="7">
        <f t="shared" si="61"/>
        <v>5.9086555613954326E-4</v>
      </c>
      <c r="K97" s="2"/>
      <c r="L97" s="6">
        <f t="shared" si="62"/>
        <v>-525</v>
      </c>
      <c r="M97" s="2"/>
      <c r="N97" s="7">
        <f t="shared" si="63"/>
        <v>-1</v>
      </c>
      <c r="O97" s="11"/>
      <c r="P97" s="6"/>
      <c r="Q97" s="2"/>
      <c r="R97" s="7">
        <f t="shared" si="64"/>
        <v>0</v>
      </c>
      <c r="S97" s="2"/>
      <c r="T97" s="6">
        <v>2675</v>
      </c>
      <c r="U97" s="2"/>
      <c r="V97" s="7">
        <f t="shared" si="65"/>
        <v>6.6176097688289549E-4</v>
      </c>
      <c r="W97" s="2"/>
      <c r="X97" s="6">
        <f t="shared" si="66"/>
        <v>-2675</v>
      </c>
      <c r="Y97" s="2"/>
      <c r="Z97" s="7">
        <f t="shared" si="67"/>
        <v>-1</v>
      </c>
    </row>
    <row r="98" spans="1:26" s="24" customFormat="1" hidden="1" outlineLevel="2" x14ac:dyDescent="0.3">
      <c r="A98" s="27"/>
      <c r="B98" s="11" t="str">
        <f>CONCATENATE("          ", "6245", " - ", "PRINTING")</f>
        <v xml:space="preserve">          6245 - PRINTING</v>
      </c>
      <c r="C98" s="11"/>
      <c r="D98" s="6"/>
      <c r="E98" s="2"/>
      <c r="F98" s="7">
        <f t="shared" si="60"/>
        <v>0</v>
      </c>
      <c r="G98" s="2"/>
      <c r="H98" s="6">
        <v>100</v>
      </c>
      <c r="I98" s="2"/>
      <c r="J98" s="7">
        <f t="shared" si="61"/>
        <v>1.1254582021705587E-4</v>
      </c>
      <c r="K98" s="2"/>
      <c r="L98" s="6">
        <f t="shared" si="62"/>
        <v>-100</v>
      </c>
      <c r="M98" s="2"/>
      <c r="N98" s="7">
        <f t="shared" si="63"/>
        <v>-1</v>
      </c>
      <c r="O98" s="11"/>
      <c r="P98" s="6">
        <v>1071</v>
      </c>
      <c r="Q98" s="2"/>
      <c r="R98" s="7">
        <f t="shared" si="64"/>
        <v>2.0157644942026134E-4</v>
      </c>
      <c r="S98" s="2"/>
      <c r="T98" s="6">
        <v>1000</v>
      </c>
      <c r="U98" s="2"/>
      <c r="V98" s="7">
        <f t="shared" si="65"/>
        <v>2.4738728107771797E-4</v>
      </c>
      <c r="W98" s="2"/>
      <c r="X98" s="6">
        <f t="shared" si="66"/>
        <v>71</v>
      </c>
      <c r="Y98" s="2"/>
      <c r="Z98" s="7">
        <f t="shared" si="67"/>
        <v>7.0999999999999994E-2</v>
      </c>
    </row>
    <row r="99" spans="1:26" s="24" customFormat="1" hidden="1" outlineLevel="2" x14ac:dyDescent="0.3">
      <c r="A99" s="27"/>
      <c r="B99" s="11" t="str">
        <f>CONCATENATE("          ", "6247", " - ", "STORE SUPPLIES")</f>
        <v xml:space="preserve">          6247 - STORE SUPPLIES</v>
      </c>
      <c r="C99" s="11"/>
      <c r="D99" s="6">
        <v>116.23</v>
      </c>
      <c r="E99" s="2"/>
      <c r="F99" s="7">
        <f t="shared" si="60"/>
        <v>8.3767556971488081E-5</v>
      </c>
      <c r="G99" s="2"/>
      <c r="H99" s="6"/>
      <c r="I99" s="2"/>
      <c r="J99" s="7">
        <f t="shared" si="61"/>
        <v>0</v>
      </c>
      <c r="K99" s="2"/>
      <c r="L99" s="6">
        <f t="shared" si="62"/>
        <v>116.23</v>
      </c>
      <c r="M99" s="2"/>
      <c r="N99" s="7">
        <f t="shared" si="63"/>
        <v>0</v>
      </c>
      <c r="O99" s="11"/>
      <c r="P99" s="6">
        <v>1300.6400000000001</v>
      </c>
      <c r="Q99" s="2"/>
      <c r="R99" s="7">
        <f t="shared" si="64"/>
        <v>2.4479775273012952E-4</v>
      </c>
      <c r="S99" s="2"/>
      <c r="T99" s="6">
        <v>411</v>
      </c>
      <c r="U99" s="2"/>
      <c r="V99" s="7">
        <f t="shared" si="65"/>
        <v>1.0167617252294208E-4</v>
      </c>
      <c r="W99" s="2"/>
      <c r="X99" s="6">
        <f t="shared" si="66"/>
        <v>889.6400000000001</v>
      </c>
      <c r="Y99" s="2"/>
      <c r="Z99" s="7">
        <f t="shared" si="67"/>
        <v>2.1645742092457425</v>
      </c>
    </row>
    <row r="100" spans="1:26" s="24" customFormat="1" hidden="1" outlineLevel="2" x14ac:dyDescent="0.3">
      <c r="A100" s="27"/>
      <c r="B100" s="11" t="str">
        <f>CONCATENATE("          ", "6248", " - ", "UNIFORMS")</f>
        <v xml:space="preserve">          6248 - UNIFORMS</v>
      </c>
      <c r="C100" s="11"/>
      <c r="D100" s="6">
        <v>252.95</v>
      </c>
      <c r="E100" s="2"/>
      <c r="F100" s="7">
        <f t="shared" si="60"/>
        <v>1.8230236200583247E-4</v>
      </c>
      <c r="G100" s="2"/>
      <c r="H100" s="6">
        <v>588</v>
      </c>
      <c r="I100" s="2"/>
      <c r="J100" s="7">
        <f t="shared" si="61"/>
        <v>6.6176942287628855E-4</v>
      </c>
      <c r="K100" s="2"/>
      <c r="L100" s="6">
        <f t="shared" si="62"/>
        <v>-335.05</v>
      </c>
      <c r="M100" s="2"/>
      <c r="N100" s="7">
        <f t="shared" si="63"/>
        <v>-0.5698129251700681</v>
      </c>
      <c r="O100" s="11"/>
      <c r="P100" s="6">
        <v>5864.18</v>
      </c>
      <c r="Q100" s="2"/>
      <c r="R100" s="7">
        <f t="shared" si="64"/>
        <v>1.1037166976296062E-3</v>
      </c>
      <c r="S100" s="2"/>
      <c r="T100" s="6">
        <v>5540</v>
      </c>
      <c r="U100" s="2"/>
      <c r="V100" s="7">
        <f t="shared" si="65"/>
        <v>1.3705255371705574E-3</v>
      </c>
      <c r="W100" s="2"/>
      <c r="X100" s="6">
        <f t="shared" si="66"/>
        <v>324.18000000000029</v>
      </c>
      <c r="Y100" s="2"/>
      <c r="Z100" s="7">
        <f t="shared" si="67"/>
        <v>5.8516245487364671E-2</v>
      </c>
    </row>
    <row r="101" spans="1:26" s="29" customFormat="1" outlineLevel="1" collapsed="1" x14ac:dyDescent="0.3">
      <c r="A101" s="28"/>
      <c r="B101" s="14" t="str">
        <f>CONCATENATE("     ","Telephone/Data Lines                              ")</f>
        <v xml:space="preserve">     Telephone/Data Lines                              </v>
      </c>
      <c r="C101" s="14"/>
      <c r="D101" s="1">
        <f>SUM(OSRRefD22_19x_0)</f>
        <v>1356.1</v>
      </c>
      <c r="E101" s="1"/>
      <c r="F101" s="5">
        <f t="shared" ref="F101:F103" si="68">IF(D$12=0,0,D101/D$12)</f>
        <v>9.7734822342798755E-4</v>
      </c>
      <c r="G101" s="1"/>
      <c r="H101" s="1">
        <f>SUM(OSRRefH22_19x_0)</f>
        <v>961</v>
      </c>
      <c r="I101" s="1"/>
      <c r="J101" s="5">
        <f t="shared" ref="J101:J103" si="69">IF(H$12=0,0,H101/H$12)</f>
        <v>1.0815653322859069E-3</v>
      </c>
      <c r="K101" s="1"/>
      <c r="L101" s="1">
        <f t="shared" ref="L101:L103" si="70">+D101-H101</f>
        <v>395.09999999999991</v>
      </c>
      <c r="M101" s="1"/>
      <c r="N101" s="5">
        <f t="shared" ref="N101:N103" si="71">IF(H101=0,0,L101/H101)</f>
        <v>0.41113423517169606</v>
      </c>
      <c r="O101" s="14"/>
      <c r="P101" s="1">
        <f>SUM(OSRRefP22_19x_0)</f>
        <v>7469.34</v>
      </c>
      <c r="Q101" s="1"/>
      <c r="R101" s="5">
        <f t="shared" ref="R101:R103" si="72">IF(P$12=0,0,P101/P$12)</f>
        <v>1.4058291659315918E-3</v>
      </c>
      <c r="S101" s="1"/>
      <c r="T101" s="1">
        <f>SUM(OSRRefT22_19x_0)</f>
        <v>5105</v>
      </c>
      <c r="U101" s="1"/>
      <c r="V101" s="5">
        <f t="shared" ref="V101:V103" si="73">IF(T$12=0,0,T101/T$12)</f>
        <v>1.2629120699017501E-3</v>
      </c>
      <c r="W101" s="1"/>
      <c r="X101" s="1">
        <f t="shared" ref="X101:X103" si="74">+P101-T101</f>
        <v>2364.34</v>
      </c>
      <c r="Y101" s="1"/>
      <c r="Z101" s="5">
        <f t="shared" ref="Z101:Z103" si="75">IF(T101=0,0,X101/T101)</f>
        <v>0.46314201762977475</v>
      </c>
    </row>
    <row r="102" spans="1:26" s="24" customFormat="1" hidden="1" outlineLevel="2" x14ac:dyDescent="0.3">
      <c r="A102" s="27"/>
      <c r="B102" s="11" t="str">
        <f>CONCATENATE("          ", "6303", " - ", "DATA PHONE LINES")</f>
        <v xml:space="preserve">          6303 - DATA PHONE LINES</v>
      </c>
      <c r="C102" s="11"/>
      <c r="D102" s="6"/>
      <c r="E102" s="2"/>
      <c r="F102" s="7">
        <f t="shared" si="68"/>
        <v>0</v>
      </c>
      <c r="G102" s="2"/>
      <c r="H102" s="6">
        <v>193</v>
      </c>
      <c r="I102" s="2"/>
      <c r="J102" s="7">
        <f t="shared" si="69"/>
        <v>2.1721343301891782E-4</v>
      </c>
      <c r="K102" s="2"/>
      <c r="L102" s="6">
        <f t="shared" si="70"/>
        <v>-193</v>
      </c>
      <c r="M102" s="2"/>
      <c r="N102" s="7">
        <f t="shared" si="71"/>
        <v>-1</v>
      </c>
      <c r="O102" s="11"/>
      <c r="P102" s="6"/>
      <c r="Q102" s="2"/>
      <c r="R102" s="7">
        <f t="shared" si="72"/>
        <v>0</v>
      </c>
      <c r="S102" s="2"/>
      <c r="T102" s="6">
        <v>965</v>
      </c>
      <c r="U102" s="2"/>
      <c r="V102" s="7">
        <f t="shared" si="73"/>
        <v>2.3872872623999784E-4</v>
      </c>
      <c r="W102" s="2"/>
      <c r="X102" s="6">
        <f t="shared" si="74"/>
        <v>-965</v>
      </c>
      <c r="Y102" s="2"/>
      <c r="Z102" s="7">
        <f t="shared" si="75"/>
        <v>-1</v>
      </c>
    </row>
    <row r="103" spans="1:26" s="24" customFormat="1" hidden="1" outlineLevel="2" x14ac:dyDescent="0.3">
      <c r="A103" s="27"/>
      <c r="B103" s="11" t="str">
        <f>CONCATENATE("          ", "6309", " - ", "TELEPHONE")</f>
        <v xml:space="preserve">          6309 - TELEPHONE</v>
      </c>
      <c r="C103" s="11"/>
      <c r="D103" s="6">
        <v>1356.1</v>
      </c>
      <c r="E103" s="2"/>
      <c r="F103" s="7">
        <f t="shared" si="68"/>
        <v>9.7734822342798755E-4</v>
      </c>
      <c r="G103" s="2"/>
      <c r="H103" s="6">
        <v>768</v>
      </c>
      <c r="I103" s="2"/>
      <c r="J103" s="7">
        <f t="shared" si="69"/>
        <v>8.6435189926698907E-4</v>
      </c>
      <c r="K103" s="2"/>
      <c r="L103" s="6">
        <f t="shared" si="70"/>
        <v>588.09999999999991</v>
      </c>
      <c r="M103" s="2"/>
      <c r="N103" s="7">
        <f t="shared" si="71"/>
        <v>0.76575520833333321</v>
      </c>
      <c r="O103" s="11"/>
      <c r="P103" s="6">
        <v>7469.34</v>
      </c>
      <c r="Q103" s="2"/>
      <c r="R103" s="7">
        <f t="shared" si="72"/>
        <v>1.4058291659315918E-3</v>
      </c>
      <c r="S103" s="2"/>
      <c r="T103" s="6">
        <v>4140</v>
      </c>
      <c r="U103" s="2"/>
      <c r="V103" s="7">
        <f t="shared" si="73"/>
        <v>1.0241833436617524E-3</v>
      </c>
      <c r="W103" s="2"/>
      <c r="X103" s="6">
        <f t="shared" si="74"/>
        <v>3329.34</v>
      </c>
      <c r="Y103" s="2"/>
      <c r="Z103" s="7">
        <f t="shared" si="75"/>
        <v>0.80418840579710149</v>
      </c>
    </row>
    <row r="104" spans="1:26" s="29" customFormat="1" outlineLevel="1" collapsed="1" x14ac:dyDescent="0.3">
      <c r="A104" s="28"/>
      <c r="B104" s="14" t="str">
        <f>CONCATENATE("     ","Training                                          ")</f>
        <v xml:space="preserve">     Training                                          </v>
      </c>
      <c r="C104" s="14"/>
      <c r="D104" s="1">
        <f>SUM(OSRRefD22_20x_0)</f>
        <v>245</v>
      </c>
      <c r="E104" s="1"/>
      <c r="F104" s="5">
        <f t="shared" ref="F104:F108" si="76">IF(D$12=0,0,D104/D$12)</f>
        <v>1.7657275624205954E-4</v>
      </c>
      <c r="G104" s="1"/>
      <c r="H104" s="1">
        <f>SUM(OSRRefH22_20x_0)</f>
        <v>640</v>
      </c>
      <c r="I104" s="1"/>
      <c r="J104" s="5">
        <f t="shared" ref="J104:J108" si="77">IF(H$12=0,0,H104/H$12)</f>
        <v>7.2029324938915754E-4</v>
      </c>
      <c r="K104" s="1"/>
      <c r="L104" s="1">
        <f t="shared" ref="L104:L108" si="78">+D104-H104</f>
        <v>-395</v>
      </c>
      <c r="M104" s="1"/>
      <c r="N104" s="5">
        <f t="shared" ref="N104:N108" si="79">IF(H104=0,0,L104/H104)</f>
        <v>-0.6171875</v>
      </c>
      <c r="O104" s="14"/>
      <c r="P104" s="1">
        <f>SUM(OSRRefP22_20x_0)</f>
        <v>245</v>
      </c>
      <c r="Q104" s="1"/>
      <c r="R104" s="5">
        <f t="shared" ref="R104:R108" si="80">IF(P$12=0,0,P104/P$12)</f>
        <v>4.6112259671301614E-5</v>
      </c>
      <c r="S104" s="1"/>
      <c r="T104" s="1">
        <f>SUM(OSRRefT22_20x_0)</f>
        <v>4000</v>
      </c>
      <c r="U104" s="1"/>
      <c r="V104" s="5">
        <f t="shared" ref="V104:V108" si="81">IF(T$12=0,0,T104/T$12)</f>
        <v>9.8954912431087187E-4</v>
      </c>
      <c r="W104" s="1"/>
      <c r="X104" s="1">
        <f t="shared" ref="X104:X108" si="82">+P104-T104</f>
        <v>-3755</v>
      </c>
      <c r="Y104" s="1"/>
      <c r="Z104" s="5">
        <f t="shared" ref="Z104:Z108" si="83">IF(T104=0,0,X104/T104)</f>
        <v>-0.93874999999999997</v>
      </c>
    </row>
    <row r="105" spans="1:26" s="24" customFormat="1" hidden="1" outlineLevel="2" x14ac:dyDescent="0.3">
      <c r="A105" s="27"/>
      <c r="B105" s="11" t="str">
        <f>CONCATENATE("          ", "6376", " - ", "TRAINING")</f>
        <v xml:space="preserve">          6376 - TRAINING</v>
      </c>
      <c r="C105" s="11"/>
      <c r="D105" s="6">
        <v>245</v>
      </c>
      <c r="E105" s="2"/>
      <c r="F105" s="7">
        <f t="shared" si="76"/>
        <v>1.7657275624205954E-4</v>
      </c>
      <c r="G105" s="2"/>
      <c r="H105" s="6">
        <v>640</v>
      </c>
      <c r="I105" s="2"/>
      <c r="J105" s="7">
        <f t="shared" si="77"/>
        <v>7.2029324938915754E-4</v>
      </c>
      <c r="K105" s="2"/>
      <c r="L105" s="6">
        <f t="shared" si="78"/>
        <v>-395</v>
      </c>
      <c r="M105" s="2"/>
      <c r="N105" s="7">
        <f t="shared" si="79"/>
        <v>-0.6171875</v>
      </c>
      <c r="O105" s="11"/>
      <c r="P105" s="6">
        <v>245</v>
      </c>
      <c r="Q105" s="2"/>
      <c r="R105" s="7">
        <f t="shared" si="80"/>
        <v>4.6112259671301614E-5</v>
      </c>
      <c r="S105" s="2"/>
      <c r="T105" s="6">
        <v>4000</v>
      </c>
      <c r="U105" s="2"/>
      <c r="V105" s="7">
        <f t="shared" si="81"/>
        <v>9.8954912431087187E-4</v>
      </c>
      <c r="W105" s="2"/>
      <c r="X105" s="6">
        <f t="shared" si="82"/>
        <v>-3755</v>
      </c>
      <c r="Y105" s="2"/>
      <c r="Z105" s="7">
        <f t="shared" si="83"/>
        <v>-0.93874999999999997</v>
      </c>
    </row>
    <row r="106" spans="1:26" s="29" customFormat="1" outlineLevel="1" collapsed="1" x14ac:dyDescent="0.3">
      <c r="A106" s="28"/>
      <c r="B106" s="14" t="str">
        <f>CONCATENATE("     ","Travel                                            ")</f>
        <v xml:space="preserve">     Travel                                            </v>
      </c>
      <c r="C106" s="14"/>
      <c r="D106" s="1">
        <f>SUM(OSRRefD22_21x_0)</f>
        <v>18.59</v>
      </c>
      <c r="E106" s="1"/>
      <c r="F106" s="5">
        <f t="shared" si="76"/>
        <v>1.3397908320570967E-5</v>
      </c>
      <c r="G106" s="1"/>
      <c r="H106" s="1">
        <f>SUM(OSRRefH22_21x_0)</f>
        <v>0</v>
      </c>
      <c r="I106" s="1"/>
      <c r="J106" s="5">
        <f t="shared" si="77"/>
        <v>0</v>
      </c>
      <c r="K106" s="1"/>
      <c r="L106" s="1">
        <f t="shared" si="78"/>
        <v>18.59</v>
      </c>
      <c r="M106" s="1"/>
      <c r="N106" s="5">
        <f t="shared" si="79"/>
        <v>0</v>
      </c>
      <c r="O106" s="14"/>
      <c r="P106" s="1">
        <f>SUM(OSRRefP22_21x_0)</f>
        <v>717.61</v>
      </c>
      <c r="Q106" s="1"/>
      <c r="R106" s="5">
        <f t="shared" si="80"/>
        <v>1.3506374964376632E-4</v>
      </c>
      <c r="S106" s="1"/>
      <c r="T106" s="1">
        <f>SUM(OSRRefT22_21x_0)</f>
        <v>0</v>
      </c>
      <c r="U106" s="1"/>
      <c r="V106" s="5">
        <f t="shared" si="81"/>
        <v>0</v>
      </c>
      <c r="W106" s="1"/>
      <c r="X106" s="1">
        <f t="shared" si="82"/>
        <v>717.61</v>
      </c>
      <c r="Y106" s="1"/>
      <c r="Z106" s="5">
        <f t="shared" si="83"/>
        <v>0</v>
      </c>
    </row>
    <row r="107" spans="1:26" s="24" customFormat="1" hidden="1" outlineLevel="2" x14ac:dyDescent="0.3">
      <c r="A107" s="27"/>
      <c r="B107" s="11" t="str">
        <f>CONCATENATE("          ", "6292", " - ", "TRAVEL/CONFERENCE")</f>
        <v xml:space="preserve">          6292 - TRAVEL/CONFERENCE</v>
      </c>
      <c r="C107" s="11"/>
      <c r="D107" s="6">
        <v>18.59</v>
      </c>
      <c r="E107" s="2"/>
      <c r="F107" s="7">
        <f t="shared" si="76"/>
        <v>1.3397908320570967E-5</v>
      </c>
      <c r="G107" s="2"/>
      <c r="H107" s="6"/>
      <c r="I107" s="2"/>
      <c r="J107" s="7">
        <f t="shared" si="77"/>
        <v>0</v>
      </c>
      <c r="K107" s="2"/>
      <c r="L107" s="6">
        <f t="shared" si="78"/>
        <v>18.59</v>
      </c>
      <c r="M107" s="2"/>
      <c r="N107" s="7">
        <f t="shared" si="79"/>
        <v>0</v>
      </c>
      <c r="O107" s="11"/>
      <c r="P107" s="6">
        <v>613.59</v>
      </c>
      <c r="Q107" s="2"/>
      <c r="R107" s="7">
        <f t="shared" si="80"/>
        <v>1.1548580168046513E-4</v>
      </c>
      <c r="S107" s="2"/>
      <c r="T107" s="6"/>
      <c r="U107" s="2"/>
      <c r="V107" s="7">
        <f t="shared" si="81"/>
        <v>0</v>
      </c>
      <c r="W107" s="2"/>
      <c r="X107" s="6">
        <f t="shared" si="82"/>
        <v>613.59</v>
      </c>
      <c r="Y107" s="2"/>
      <c r="Z107" s="7">
        <f t="shared" si="83"/>
        <v>0</v>
      </c>
    </row>
    <row r="108" spans="1:26" s="24" customFormat="1" hidden="1" outlineLevel="2" x14ac:dyDescent="0.3">
      <c r="A108" s="27"/>
      <c r="B108" s="11" t="str">
        <f>CONCATENATE("          ", "6298", " - ", "VEHICLE MILEAGE")</f>
        <v xml:space="preserve">          6298 - VEHICLE MILEAGE</v>
      </c>
      <c r="C108" s="11"/>
      <c r="D108" s="6"/>
      <c r="E108" s="2"/>
      <c r="F108" s="7">
        <f t="shared" si="76"/>
        <v>0</v>
      </c>
      <c r="G108" s="2"/>
      <c r="H108" s="6"/>
      <c r="I108" s="2"/>
      <c r="J108" s="7">
        <f t="shared" si="77"/>
        <v>0</v>
      </c>
      <c r="K108" s="2"/>
      <c r="L108" s="6">
        <f t="shared" si="78"/>
        <v>0</v>
      </c>
      <c r="M108" s="2"/>
      <c r="N108" s="7">
        <f t="shared" si="79"/>
        <v>0</v>
      </c>
      <c r="O108" s="11"/>
      <c r="P108" s="6">
        <v>104.02</v>
      </c>
      <c r="Q108" s="2"/>
      <c r="R108" s="7">
        <f t="shared" si="80"/>
        <v>1.9577947963301199E-5</v>
      </c>
      <c r="S108" s="2"/>
      <c r="T108" s="6"/>
      <c r="U108" s="2"/>
      <c r="V108" s="7">
        <f t="shared" si="81"/>
        <v>0</v>
      </c>
      <c r="W108" s="2"/>
      <c r="X108" s="6">
        <f t="shared" si="82"/>
        <v>104.02</v>
      </c>
      <c r="Y108" s="2"/>
      <c r="Z108" s="7">
        <f t="shared" si="83"/>
        <v>0</v>
      </c>
    </row>
    <row r="109" spans="1:26" s="29" customFormat="1" outlineLevel="1" collapsed="1" x14ac:dyDescent="0.3">
      <c r="A109" s="28"/>
      <c r="B109" s="14" t="str">
        <f>CONCATENATE("     ","Utilities                                         ")</f>
        <v xml:space="preserve">     Utilities                                         </v>
      </c>
      <c r="C109" s="14"/>
      <c r="D109" s="1">
        <f>SUM(OSRRefD22_22x_0)</f>
        <v>8150</v>
      </c>
      <c r="E109" s="1"/>
      <c r="F109" s="5">
        <f t="shared" ref="F109:F110" si="84">IF(D$12=0,0,D109/D$12)</f>
        <v>5.8737467892766744E-3</v>
      </c>
      <c r="G109" s="1"/>
      <c r="H109" s="1">
        <f>SUM(OSRRefH22_22x_0)</f>
        <v>8667</v>
      </c>
      <c r="I109" s="1"/>
      <c r="J109" s="5">
        <f t="shared" ref="J109:J110" si="85">IF(H$12=0,0,H109/H$12)</f>
        <v>9.7543462382122317E-3</v>
      </c>
      <c r="K109" s="1"/>
      <c r="L109" s="1">
        <f t="shared" ref="L109:L110" si="86">+D109-H109</f>
        <v>-517</v>
      </c>
      <c r="M109" s="1"/>
      <c r="N109" s="5">
        <f t="shared" ref="N109:N110" si="87">IF(H109=0,0,L109/H109)</f>
        <v>-5.9651551863389871E-2</v>
      </c>
      <c r="O109" s="14"/>
      <c r="P109" s="1">
        <f>SUM(OSRRefP22_22x_0)</f>
        <v>38350</v>
      </c>
      <c r="Q109" s="1"/>
      <c r="R109" s="5">
        <f t="shared" ref="R109:R110" si="88">IF(P$12=0,0,P109/P$12)</f>
        <v>7.2179802383445582E-3</v>
      </c>
      <c r="S109" s="1"/>
      <c r="T109" s="1">
        <f>SUM(OSRRefT22_22x_0)</f>
        <v>43335</v>
      </c>
      <c r="U109" s="1"/>
      <c r="V109" s="5">
        <f t="shared" ref="V109:V110" si="89">IF(T$12=0,0,T109/T$12)</f>
        <v>1.0720527825502908E-2</v>
      </c>
      <c r="W109" s="1"/>
      <c r="X109" s="1">
        <f t="shared" ref="X109:X110" si="90">+P109-T109</f>
        <v>-4985</v>
      </c>
      <c r="Y109" s="1"/>
      <c r="Z109" s="5">
        <f t="shared" ref="Z109:Z110" si="91">IF(T109=0,0,X109/T109)</f>
        <v>-0.11503403715241721</v>
      </c>
    </row>
    <row r="110" spans="1:26" s="24" customFormat="1" hidden="1" outlineLevel="2" x14ac:dyDescent="0.3">
      <c r="A110" s="27"/>
      <c r="B110" s="11" t="str">
        <f>CONCATENATE("          ", "6274", " - ", "UTILITIES")</f>
        <v xml:space="preserve">          6274 - UTILITIES</v>
      </c>
      <c r="C110" s="11"/>
      <c r="D110" s="6">
        <v>8150</v>
      </c>
      <c r="E110" s="2"/>
      <c r="F110" s="7">
        <f t="shared" si="84"/>
        <v>5.8737467892766744E-3</v>
      </c>
      <c r="G110" s="2"/>
      <c r="H110" s="6">
        <v>8667</v>
      </c>
      <c r="I110" s="2"/>
      <c r="J110" s="7">
        <f t="shared" si="85"/>
        <v>9.7543462382122317E-3</v>
      </c>
      <c r="K110" s="2"/>
      <c r="L110" s="6">
        <f t="shared" si="86"/>
        <v>-517</v>
      </c>
      <c r="M110" s="2"/>
      <c r="N110" s="7">
        <f t="shared" si="87"/>
        <v>-5.9651551863389871E-2</v>
      </c>
      <c r="O110" s="11"/>
      <c r="P110" s="6">
        <v>38350</v>
      </c>
      <c r="Q110" s="2"/>
      <c r="R110" s="7">
        <f t="shared" si="88"/>
        <v>7.2179802383445582E-3</v>
      </c>
      <c r="S110" s="2"/>
      <c r="T110" s="6">
        <v>43335</v>
      </c>
      <c r="U110" s="2"/>
      <c r="V110" s="7">
        <f t="shared" si="89"/>
        <v>1.0720527825502908E-2</v>
      </c>
      <c r="W110" s="2"/>
      <c r="X110" s="6">
        <f t="shared" si="90"/>
        <v>-4985</v>
      </c>
      <c r="Y110" s="2"/>
      <c r="Z110" s="7">
        <f t="shared" si="91"/>
        <v>-0.11503403715241721</v>
      </c>
    </row>
    <row r="111" spans="1:26" s="63" customFormat="1" x14ac:dyDescent="0.3">
      <c r="A111" s="36"/>
      <c r="B111" s="36"/>
      <c r="C111" s="36"/>
      <c r="D111" s="1"/>
      <c r="E111" s="1"/>
      <c r="F111" s="5"/>
      <c r="G111" s="1"/>
      <c r="H111" s="1"/>
      <c r="I111" s="1"/>
      <c r="J111" s="5"/>
      <c r="K111" s="1"/>
      <c r="L111" s="1"/>
      <c r="M111" s="1"/>
      <c r="N111" s="5"/>
      <c r="O111" s="36"/>
      <c r="P111" s="1"/>
      <c r="Q111" s="1"/>
      <c r="R111" s="5"/>
      <c r="S111" s="1"/>
      <c r="T111" s="1"/>
      <c r="U111" s="1"/>
      <c r="V111" s="5"/>
      <c r="W111" s="1"/>
      <c r="X111" s="1"/>
      <c r="Y111" s="1"/>
      <c r="Z111" s="5"/>
    </row>
    <row r="112" spans="1:26" s="23" customFormat="1" collapsed="1" x14ac:dyDescent="0.3">
      <c r="A112" s="10"/>
      <c r="B112" s="25" t="s">
        <v>293</v>
      </c>
      <c r="C112" s="10"/>
      <c r="D112" s="4">
        <f>SUM(OSRRefD25x_0)</f>
        <v>6011.63</v>
      </c>
      <c r="E112" s="4"/>
      <c r="F112" s="12">
        <f t="shared" ref="F112:F115" si="92">IF(D$12=0,0,D112/D$12)</f>
        <v>4.3326125657447033E-3</v>
      </c>
      <c r="G112" s="4"/>
      <c r="H112" s="4">
        <f>SUM(OSRRefH25x_0)</f>
        <v>250</v>
      </c>
      <c r="I112" s="4"/>
      <c r="J112" s="12">
        <f t="shared" ref="J112:J115" si="93">IF(H$12=0,0,H112/H$12)</f>
        <v>2.8136455054263967E-4</v>
      </c>
      <c r="K112" s="4"/>
      <c r="L112" s="4">
        <f t="shared" ref="L112:L115" si="94">+D112-H112</f>
        <v>5761.63</v>
      </c>
      <c r="M112" s="4"/>
      <c r="N112" s="12">
        <f t="shared" ref="N112:N115" si="95">IF(H112=0,0,L112/H112)</f>
        <v>23.046520000000001</v>
      </c>
      <c r="O112" s="10"/>
      <c r="P112" s="4">
        <f>SUM(OSRRefP25x_0)</f>
        <v>30018.35</v>
      </c>
      <c r="Q112" s="4"/>
      <c r="R112" s="12">
        <f t="shared" ref="R112:R115" si="96">IF(P$12=0,0,P112/P$12)</f>
        <v>5.649852857567415E-3</v>
      </c>
      <c r="S112" s="4"/>
      <c r="T112" s="4">
        <f>SUM(OSRRefT25x_0)</f>
        <v>750</v>
      </c>
      <c r="U112" s="4"/>
      <c r="V112" s="12">
        <f t="shared" ref="V112:V115" si="97">IF(T$12=0,0,T112/T$12)</f>
        <v>1.8554046080828846E-4</v>
      </c>
      <c r="W112" s="4"/>
      <c r="X112" s="4">
        <f t="shared" ref="X112:X115" si="98">+P112-T112</f>
        <v>29268.35</v>
      </c>
      <c r="Y112" s="4"/>
      <c r="Z112" s="12">
        <f t="shared" ref="Z112:Z115" si="99">IF(T112=0,0,X112/T112)</f>
        <v>39.024466666666662</v>
      </c>
    </row>
    <row r="113" spans="1:26" s="24" customFormat="1" hidden="1" outlineLevel="1" x14ac:dyDescent="0.3">
      <c r="A113" s="44"/>
      <c r="B113" s="11" t="str">
        <f>CONCATENATE("          ", "9150", " - ", "MISC. INCOME")</f>
        <v xml:space="preserve">          9150 - MISC. INCOME</v>
      </c>
      <c r="C113" s="11"/>
      <c r="D113" s="2">
        <f>--6011.63</f>
        <v>6011.63</v>
      </c>
      <c r="E113" s="2"/>
      <c r="F113" s="19">
        <f t="shared" si="92"/>
        <v>4.3326125657447033E-3</v>
      </c>
      <c r="G113" s="2"/>
      <c r="H113" s="2">
        <v>250</v>
      </c>
      <c r="I113" s="2"/>
      <c r="J113" s="19">
        <f t="shared" si="93"/>
        <v>2.8136455054263967E-4</v>
      </c>
      <c r="K113" s="2"/>
      <c r="L113" s="2">
        <f t="shared" si="94"/>
        <v>5761.63</v>
      </c>
      <c r="M113" s="2"/>
      <c r="N113" s="19">
        <f t="shared" si="95"/>
        <v>23.046520000000001</v>
      </c>
      <c r="O113" s="11"/>
      <c r="P113" s="2">
        <f>--30018.35</f>
        <v>30018.35</v>
      </c>
      <c r="Q113" s="2"/>
      <c r="R113" s="19">
        <f t="shared" si="96"/>
        <v>5.649852857567415E-3</v>
      </c>
      <c r="S113" s="2"/>
      <c r="T113" s="2">
        <v>750</v>
      </c>
      <c r="U113" s="2"/>
      <c r="V113" s="19">
        <f t="shared" si="97"/>
        <v>1.8554046080828846E-4</v>
      </c>
      <c r="W113" s="2"/>
      <c r="X113" s="2">
        <f t="shared" si="98"/>
        <v>29268.35</v>
      </c>
      <c r="Y113" s="2"/>
      <c r="Z113" s="19">
        <f t="shared" si="99"/>
        <v>39.024466666666662</v>
      </c>
    </row>
    <row r="114" spans="1:26" s="24" customFormat="1" hidden="1" outlineLevel="1" x14ac:dyDescent="0.3">
      <c r="A114" s="44"/>
      <c r="B114" s="11" t="str">
        <f>CONCATENATE("          ", "9160", " - ", "MISC. INCOME")</f>
        <v xml:space="preserve">          9160 - MISC. INCOME</v>
      </c>
      <c r="C114" s="11"/>
      <c r="D114" s="2">
        <f t="shared" ref="D114:D115" si="100">0</f>
        <v>0</v>
      </c>
      <c r="E114" s="2"/>
      <c r="F114" s="19">
        <f t="shared" si="92"/>
        <v>0</v>
      </c>
      <c r="G114" s="2"/>
      <c r="H114" s="2"/>
      <c r="I114" s="2"/>
      <c r="J114" s="19">
        <f t="shared" si="93"/>
        <v>0</v>
      </c>
      <c r="K114" s="2"/>
      <c r="L114" s="2">
        <f t="shared" si="94"/>
        <v>0</v>
      </c>
      <c r="M114" s="2"/>
      <c r="N114" s="19">
        <f t="shared" si="95"/>
        <v>0</v>
      </c>
      <c r="O114" s="11"/>
      <c r="P114" s="2">
        <f t="shared" ref="P114:P115" si="101">0</f>
        <v>0</v>
      </c>
      <c r="Q114" s="2"/>
      <c r="R114" s="19">
        <f t="shared" si="96"/>
        <v>0</v>
      </c>
      <c r="S114" s="2"/>
      <c r="T114" s="2"/>
      <c r="U114" s="2"/>
      <c r="V114" s="19">
        <f t="shared" si="97"/>
        <v>0</v>
      </c>
      <c r="W114" s="2"/>
      <c r="X114" s="2">
        <f t="shared" si="98"/>
        <v>0</v>
      </c>
      <c r="Y114" s="2"/>
      <c r="Z114" s="19">
        <f t="shared" si="99"/>
        <v>0</v>
      </c>
    </row>
    <row r="115" spans="1:26" s="24" customFormat="1" hidden="1" outlineLevel="1" x14ac:dyDescent="0.3">
      <c r="A115" s="44"/>
      <c r="B115" s="11" t="str">
        <f>CONCATENATE("          ", "9165", " - ", "OTHER INCOME")</f>
        <v xml:space="preserve">          9165 - OTHER INCOME</v>
      </c>
      <c r="C115" s="11"/>
      <c r="D115" s="2">
        <f t="shared" si="100"/>
        <v>0</v>
      </c>
      <c r="E115" s="2"/>
      <c r="F115" s="19">
        <f t="shared" si="92"/>
        <v>0</v>
      </c>
      <c r="G115" s="2"/>
      <c r="H115" s="2"/>
      <c r="I115" s="2"/>
      <c r="J115" s="19">
        <f t="shared" si="93"/>
        <v>0</v>
      </c>
      <c r="K115" s="2"/>
      <c r="L115" s="2">
        <f t="shared" si="94"/>
        <v>0</v>
      </c>
      <c r="M115" s="2"/>
      <c r="N115" s="19">
        <f t="shared" si="95"/>
        <v>0</v>
      </c>
      <c r="O115" s="11"/>
      <c r="P115" s="2">
        <f t="shared" si="101"/>
        <v>0</v>
      </c>
      <c r="Q115" s="2"/>
      <c r="R115" s="19">
        <f t="shared" si="96"/>
        <v>0</v>
      </c>
      <c r="S115" s="2"/>
      <c r="T115" s="2"/>
      <c r="U115" s="2"/>
      <c r="V115" s="19">
        <f t="shared" si="97"/>
        <v>0</v>
      </c>
      <c r="W115" s="2"/>
      <c r="X115" s="2">
        <f t="shared" si="98"/>
        <v>0</v>
      </c>
      <c r="Y115" s="2"/>
      <c r="Z115" s="19">
        <f t="shared" si="99"/>
        <v>0</v>
      </c>
    </row>
    <row r="116" spans="1:26" x14ac:dyDescent="0.3">
      <c r="A116" s="9"/>
      <c r="B116" s="10"/>
      <c r="C116" s="10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O116" s="10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x14ac:dyDescent="0.3">
      <c r="A117" s="10"/>
      <c r="B117" s="26" t="s">
        <v>277</v>
      </c>
      <c r="C117" s="26"/>
      <c r="D117" s="20">
        <f>+D25-D27+D112</f>
        <v>420777.39</v>
      </c>
      <c r="E117" s="13"/>
      <c r="F117" s="22">
        <f>IF(D$12=0,0,D117/D$12)</f>
        <v>0.30325642251689805</v>
      </c>
      <c r="G117" s="13"/>
      <c r="H117" s="20">
        <f>+H25-H27+H112</f>
        <v>-22435.288947034394</v>
      </c>
      <c r="I117" s="13"/>
      <c r="J117" s="22">
        <f>IF(H$12=0,0,H117/H$12)</f>
        <v>-2.5249979963506336E-2</v>
      </c>
      <c r="K117" s="15"/>
      <c r="L117" s="20">
        <f>+D117-H117</f>
        <v>443212.67894703441</v>
      </c>
      <c r="M117" s="15"/>
      <c r="N117" s="22">
        <f>IF(H117=0,0,L117/H117)</f>
        <v>-19.755158045585162</v>
      </c>
      <c r="O117" s="25"/>
      <c r="P117" s="20">
        <f>+P25-P27+P112</f>
        <v>736043.43000000052</v>
      </c>
      <c r="Q117" s="13"/>
      <c r="R117" s="22">
        <f>IF(P$12=0,0,P117/P$12)</f>
        <v>0.1385331664225124</v>
      </c>
      <c r="S117" s="13"/>
      <c r="T117" s="20">
        <f>+T25-T27+T112</f>
        <v>-484665.18946354603</v>
      </c>
      <c r="U117" s="13"/>
      <c r="V117" s="22">
        <f>IF(T$12=0,0,T117/T$12)</f>
        <v>-0.11990000345440369</v>
      </c>
      <c r="W117" s="15"/>
      <c r="X117" s="20">
        <f>+P117-T117</f>
        <v>1220708.6194635467</v>
      </c>
      <c r="Y117" s="15"/>
      <c r="Z117" s="22">
        <f>IF(T117=0,0,X117/T117)</f>
        <v>-2.5186637002230214</v>
      </c>
    </row>
    <row r="118" spans="1:26" x14ac:dyDescent="0.3">
      <c r="A118" s="9"/>
      <c r="B118" s="10"/>
      <c r="C118" s="9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x14ac:dyDescent="0.3">
      <c r="A119" s="52"/>
      <c r="B119" s="10" t="s">
        <v>128</v>
      </c>
      <c r="C119" s="10"/>
      <c r="D119" s="4">
        <v>179089.22</v>
      </c>
      <c r="E119" s="4"/>
      <c r="F119" s="12">
        <f>IF(D$12=0,0,D119/D$12)</f>
        <v>0.12907051913730846</v>
      </c>
      <c r="G119" s="4"/>
      <c r="H119" s="4">
        <v>142684</v>
      </c>
      <c r="I119" s="4"/>
      <c r="J119" s="12">
        <f>IF(H$12=0,0,H119/H$12)</f>
        <v>0.160584878118504</v>
      </c>
      <c r="K119" s="4"/>
      <c r="L119" s="4">
        <f>+D119-H119</f>
        <v>36405.22</v>
      </c>
      <c r="M119" s="4"/>
      <c r="N119" s="12">
        <f>IF(H119=0,0,L119/H119)</f>
        <v>0.25514577668133781</v>
      </c>
      <c r="O119" s="10"/>
      <c r="P119" s="4">
        <v>632855.06000000006</v>
      </c>
      <c r="Q119" s="4"/>
      <c r="R119" s="12">
        <f>IF(P$12=0,0,P119/P$12)</f>
        <v>0.11911174228986599</v>
      </c>
      <c r="S119" s="4"/>
      <c r="T119" s="4">
        <v>505330</v>
      </c>
      <c r="U119" s="4"/>
      <c r="V119" s="12">
        <f>IF(T$12=0,0,T119/T$12)</f>
        <v>0.12501221474700322</v>
      </c>
      <c r="W119" s="4"/>
      <c r="X119" s="4">
        <f>+P119-T119</f>
        <v>127525.06000000006</v>
      </c>
      <c r="Y119" s="4"/>
      <c r="Z119" s="12">
        <f>IF(T119=0,0,X119/T119)</f>
        <v>0.25235996279658846</v>
      </c>
    </row>
    <row r="120" spans="1:26" x14ac:dyDescent="0.3">
      <c r="A120" s="9"/>
      <c r="B120" s="10"/>
      <c r="C120" s="10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O120" s="10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ht="15" thickBot="1" x14ac:dyDescent="0.35">
      <c r="A121" s="10"/>
      <c r="B121" s="26" t="s">
        <v>126</v>
      </c>
      <c r="C121" s="26"/>
      <c r="D121" s="33">
        <f>+D117-D119</f>
        <v>241688.17</v>
      </c>
      <c r="E121" s="13"/>
      <c r="F121" s="34">
        <f>IF(D$12=0,0,D121/D$12)</f>
        <v>0.17418590337958959</v>
      </c>
      <c r="G121" s="13"/>
      <c r="H121" s="33">
        <f>+H117-H119</f>
        <v>-165119.28894703439</v>
      </c>
      <c r="I121" s="13"/>
      <c r="J121" s="34">
        <f>IF(H$12=0,0,H121/H$12)</f>
        <v>-0.18583485808201033</v>
      </c>
      <c r="K121" s="15"/>
      <c r="L121" s="33">
        <f>D121-H121</f>
        <v>406807.45894703444</v>
      </c>
      <c r="M121" s="15"/>
      <c r="N121" s="34">
        <f>IF(H121=0,0,L121/H121)</f>
        <v>-2.4637185730464646</v>
      </c>
      <c r="O121" s="25"/>
      <c r="P121" s="33">
        <f>+P117-P119</f>
        <v>103188.37000000046</v>
      </c>
      <c r="Q121" s="13"/>
      <c r="R121" s="34">
        <f>IF(P$12=0,0,P121/P$12)</f>
        <v>1.9421424132646411E-2</v>
      </c>
      <c r="S121" s="13"/>
      <c r="T121" s="33">
        <f>+T117-T119</f>
        <v>-989995.18946354603</v>
      </c>
      <c r="U121" s="13"/>
      <c r="V121" s="34">
        <f>IF(T$12=0,0,T121/T$12)</f>
        <v>-0.24491221820140691</v>
      </c>
      <c r="W121" s="15"/>
      <c r="X121" s="33">
        <f>P121-T121</f>
        <v>1093183.5594635466</v>
      </c>
      <c r="Y121" s="15"/>
      <c r="Z121" s="34">
        <f>IF(T121=0,0,X121/T121)</f>
        <v>-1.1042311832403102</v>
      </c>
    </row>
    <row r="122" spans="1:26" ht="15" thickTop="1" x14ac:dyDescent="0.3">
      <c r="A122" s="9"/>
      <c r="B122" s="9"/>
      <c r="C122" s="9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x14ac:dyDescent="0.3">
      <c r="A123" s="9"/>
      <c r="B123" s="9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ht="15" thickBot="1" x14ac:dyDescent="0.35">
      <c r="A124" s="10"/>
      <c r="B124" s="26" t="s">
        <v>294</v>
      </c>
      <c r="C124" s="26"/>
      <c r="D124" s="35">
        <f>SUM(D121:D123)</f>
        <v>241688.17</v>
      </c>
      <c r="E124" s="13"/>
      <c r="F124" s="32">
        <f>IF(D$12=0,0,D124/D$12)</f>
        <v>0.17418590337958959</v>
      </c>
      <c r="G124" s="13"/>
      <c r="H124" s="35">
        <f>SUM(H121:H123)</f>
        <v>-165119.28894703439</v>
      </c>
      <c r="I124" s="13"/>
      <c r="J124" s="32">
        <f>IF(H$12=0,0,H124/H$12)</f>
        <v>-0.18583485808201033</v>
      </c>
      <c r="K124" s="15"/>
      <c r="L124" s="35">
        <f>+D124-H124</f>
        <v>406807.45894703444</v>
      </c>
      <c r="M124" s="15"/>
      <c r="N124" s="32">
        <f>IF(H124=0,0,L124/H124)</f>
        <v>-2.4637185730464646</v>
      </c>
      <c r="O124" s="25"/>
      <c r="P124" s="35">
        <f>SUM(P121:P123)</f>
        <v>103188.37000000046</v>
      </c>
      <c r="Q124" s="13"/>
      <c r="R124" s="32">
        <f>IF(P$12=0,0,P124/P$12)</f>
        <v>1.9421424132646411E-2</v>
      </c>
      <c r="S124" s="13"/>
      <c r="T124" s="35">
        <f>SUM(T121:T123)</f>
        <v>-989995.18946354603</v>
      </c>
      <c r="U124" s="13"/>
      <c r="V124" s="32">
        <f>IF(T$12=0,0,T124/T$12)</f>
        <v>-0.24491221820140691</v>
      </c>
      <c r="W124" s="15"/>
      <c r="X124" s="35">
        <f>+P124-T124</f>
        <v>1093183.5594635466</v>
      </c>
      <c r="Y124" s="15"/>
      <c r="Z124" s="32">
        <f>IF(T124=0,0,X124/T124)</f>
        <v>-1.1042311832403102</v>
      </c>
    </row>
    <row r="125" spans="1:26" ht="15" thickTop="1" x14ac:dyDescent="0.3">
      <c r="A125" s="9"/>
      <c r="C125" s="9"/>
      <c r="D125" s="17"/>
      <c r="E125" s="17"/>
      <c r="G125" s="17"/>
      <c r="H125" s="17"/>
      <c r="I125" s="17"/>
      <c r="J125" s="42"/>
      <c r="K125" s="17"/>
      <c r="L125" s="17"/>
      <c r="M125" s="17"/>
      <c r="P125" s="17"/>
      <c r="Q125" s="17"/>
      <c r="R125" s="42"/>
      <c r="S125" s="17"/>
      <c r="T125" s="17"/>
      <c r="U125" s="17"/>
      <c r="V125" s="42"/>
      <c r="W125" s="17"/>
      <c r="X125" s="17"/>
    </row>
    <row r="126" spans="1:26" x14ac:dyDescent="0.3">
      <c r="A126" s="9"/>
      <c r="B126" s="60">
        <v>44543.753083715281</v>
      </c>
      <c r="D126" s="17"/>
      <c r="E126" s="17"/>
      <c r="G126" s="17"/>
      <c r="H126" s="17"/>
      <c r="I126" s="17"/>
      <c r="J126" s="42"/>
      <c r="K126" s="17"/>
      <c r="L126" s="17"/>
      <c r="M126" s="17"/>
      <c r="P126" s="17"/>
      <c r="Q126" s="17"/>
      <c r="R126" s="42"/>
      <c r="S126" s="17"/>
      <c r="T126" s="17"/>
      <c r="U126" s="17"/>
      <c r="V126" s="42"/>
      <c r="W126" s="17"/>
      <c r="X126" s="17"/>
    </row>
    <row r="127" spans="1:26" x14ac:dyDescent="0.3">
      <c r="A127" s="9"/>
      <c r="B127" s="58" t="s">
        <v>56</v>
      </c>
      <c r="D127" s="17"/>
      <c r="E127" s="17"/>
      <c r="G127" s="17"/>
      <c r="H127" s="17"/>
      <c r="I127" s="17"/>
      <c r="J127" s="42"/>
      <c r="K127" s="17"/>
      <c r="L127" s="17"/>
      <c r="M127" s="17"/>
      <c r="P127" s="17"/>
      <c r="Q127" s="17"/>
      <c r="R127" s="42"/>
      <c r="S127" s="17"/>
      <c r="T127" s="17"/>
      <c r="U127" s="17"/>
      <c r="V127" s="42"/>
      <c r="W127" s="17"/>
      <c r="X127" s="17"/>
    </row>
    <row r="128" spans="1:26" x14ac:dyDescent="0.3">
      <c r="A128" s="9"/>
      <c r="B128" s="55"/>
      <c r="D128" s="17"/>
      <c r="E128" s="17"/>
      <c r="G128" s="17"/>
      <c r="H128" s="17"/>
      <c r="I128" s="17"/>
      <c r="J128" s="42"/>
      <c r="K128" s="17"/>
      <c r="L128" s="17"/>
      <c r="M128" s="17"/>
      <c r="P128" s="17"/>
      <c r="Q128" s="17"/>
      <c r="R128" s="42"/>
      <c r="S128" s="17"/>
      <c r="T128" s="17"/>
      <c r="U128" s="17"/>
      <c r="V128" s="42"/>
      <c r="W128" s="17"/>
      <c r="X128" s="17"/>
    </row>
    <row r="129" spans="4:24" x14ac:dyDescent="0.3">
      <c r="D129" s="17"/>
      <c r="E129" s="17"/>
      <c r="G129" s="17"/>
      <c r="H129" s="17"/>
      <c r="I129" s="17"/>
      <c r="J129" s="42"/>
      <c r="K129" s="17"/>
      <c r="L129" s="17"/>
      <c r="M129" s="17"/>
      <c r="P129" s="17"/>
      <c r="Q129" s="17"/>
      <c r="R129" s="42"/>
      <c r="S129" s="17"/>
      <c r="T129" s="17"/>
      <c r="U129" s="17"/>
      <c r="V129" s="42"/>
      <c r="W129" s="17"/>
      <c r="X129" s="17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5" tint="0.39997558519241921"/>
    <outlinePr summaryBelow="0" summaryRight="0"/>
  </sheetPr>
  <dimension ref="A2:Z12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55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117637.06</v>
      </c>
      <c r="E12" s="4"/>
      <c r="F12" s="12"/>
      <c r="G12" s="4"/>
      <c r="H12" s="4">
        <f>SUM(OSRRefH13x_0)</f>
        <v>107003</v>
      </c>
      <c r="I12" s="4"/>
      <c r="J12" s="12"/>
      <c r="K12" s="4"/>
      <c r="L12" s="4">
        <f t="shared" ref="L12:L18" si="0">+D12-H12</f>
        <v>10634.059999999998</v>
      </c>
      <c r="M12" s="4"/>
      <c r="N12" s="12">
        <f t="shared" ref="N12:N18" si="1">IF(H12=0,0,L12/H12)</f>
        <v>9.9380951935927012E-2</v>
      </c>
      <c r="O12" s="10"/>
      <c r="P12" s="4">
        <f>SUM(OSRRefP13x_0)</f>
        <v>548931.67999999993</v>
      </c>
      <c r="Q12" s="4"/>
      <c r="R12" s="12"/>
      <c r="S12" s="4"/>
      <c r="T12" s="4">
        <f>SUM(OSRRefT13x_0)</f>
        <v>544090</v>
      </c>
      <c r="U12" s="4"/>
      <c r="V12" s="12"/>
      <c r="W12" s="4"/>
      <c r="X12" s="4">
        <f t="shared" ref="X12:X18" si="2">+P12-T12</f>
        <v>4841.6799999999348</v>
      </c>
      <c r="Y12" s="4"/>
      <c r="Z12" s="12">
        <f t="shared" ref="Z12:Z18" si="3">IF(T12=0,0,X12/T12)</f>
        <v>8.8986748515869334E-3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--2305.85</f>
        <v>2305.85</v>
      </c>
      <c r="E13" s="2"/>
      <c r="F13" s="19"/>
      <c r="G13" s="2"/>
      <c r="H13" s="2">
        <v>29503</v>
      </c>
      <c r="I13" s="2"/>
      <c r="J13" s="19"/>
      <c r="K13" s="2"/>
      <c r="L13" s="2">
        <f t="shared" si="0"/>
        <v>-27197.15</v>
      </c>
      <c r="M13" s="2"/>
      <c r="N13" s="19">
        <f t="shared" si="1"/>
        <v>-0.92184354133477953</v>
      </c>
      <c r="O13" s="11"/>
      <c r="P13" s="2">
        <f>--10622.35</f>
        <v>10622.35</v>
      </c>
      <c r="Q13" s="2"/>
      <c r="R13" s="19"/>
      <c r="S13" s="2"/>
      <c r="T13" s="2">
        <v>151719</v>
      </c>
      <c r="U13" s="2"/>
      <c r="V13" s="19"/>
      <c r="W13" s="2"/>
      <c r="X13" s="2">
        <f t="shared" si="2"/>
        <v>-141096.65</v>
      </c>
      <c r="Y13" s="2"/>
      <c r="Z13" s="19">
        <f t="shared" si="3"/>
        <v>-0.92998668591277289</v>
      </c>
    </row>
    <row r="14" spans="1:26" s="24" customFormat="1" hidden="1" outlineLevel="1" x14ac:dyDescent="0.3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--23100.6</f>
        <v>23100.6</v>
      </c>
      <c r="E14" s="2"/>
      <c r="F14" s="19"/>
      <c r="G14" s="2"/>
      <c r="H14" s="2"/>
      <c r="I14" s="2"/>
      <c r="J14" s="19"/>
      <c r="K14" s="2"/>
      <c r="L14" s="2">
        <f t="shared" si="0"/>
        <v>23100.6</v>
      </c>
      <c r="M14" s="2"/>
      <c r="N14" s="19">
        <f t="shared" si="1"/>
        <v>0</v>
      </c>
      <c r="O14" s="11"/>
      <c r="P14" s="2">
        <f>--127351.17</f>
        <v>127351.17</v>
      </c>
      <c r="Q14" s="2"/>
      <c r="R14" s="19"/>
      <c r="S14" s="2"/>
      <c r="T14" s="2"/>
      <c r="U14" s="2"/>
      <c r="V14" s="19"/>
      <c r="W14" s="2"/>
      <c r="X14" s="2">
        <f t="shared" si="2"/>
        <v>127351.17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--1549.19</f>
        <v>1549.19</v>
      </c>
      <c r="E15" s="2"/>
      <c r="F15" s="19"/>
      <c r="G15" s="2"/>
      <c r="H15" s="2"/>
      <c r="I15" s="2"/>
      <c r="J15" s="19"/>
      <c r="K15" s="2"/>
      <c r="L15" s="2">
        <f t="shared" si="0"/>
        <v>1549.19</v>
      </c>
      <c r="M15" s="2"/>
      <c r="N15" s="19">
        <f t="shared" si="1"/>
        <v>0</v>
      </c>
      <c r="O15" s="11"/>
      <c r="P15" s="2">
        <f>--6357.65</f>
        <v>6357.65</v>
      </c>
      <c r="Q15" s="2"/>
      <c r="R15" s="19"/>
      <c r="S15" s="2"/>
      <c r="T15" s="2"/>
      <c r="U15" s="2"/>
      <c r="V15" s="19"/>
      <c r="W15" s="2"/>
      <c r="X15" s="2">
        <f t="shared" si="2"/>
        <v>6357.65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>--12930.99</f>
        <v>12930.99</v>
      </c>
      <c r="E16" s="2"/>
      <c r="F16" s="19"/>
      <c r="G16" s="2"/>
      <c r="H16" s="2">
        <v>77500</v>
      </c>
      <c r="I16" s="2"/>
      <c r="J16" s="19"/>
      <c r="K16" s="2"/>
      <c r="L16" s="2">
        <f t="shared" si="0"/>
        <v>-64569.01</v>
      </c>
      <c r="M16" s="2"/>
      <c r="N16" s="19">
        <f t="shared" si="1"/>
        <v>-0.83314851612903229</v>
      </c>
      <c r="O16" s="11"/>
      <c r="P16" s="2">
        <f>--52678.96</f>
        <v>52678.96</v>
      </c>
      <c r="Q16" s="2"/>
      <c r="R16" s="19"/>
      <c r="S16" s="2"/>
      <c r="T16" s="2">
        <v>392371</v>
      </c>
      <c r="U16" s="2"/>
      <c r="V16" s="19"/>
      <c r="W16" s="2"/>
      <c r="X16" s="2">
        <f t="shared" si="2"/>
        <v>-339692.04</v>
      </c>
      <c r="Y16" s="2"/>
      <c r="Z16" s="19">
        <f t="shared" si="3"/>
        <v>-0.86574196360077571</v>
      </c>
    </row>
    <row r="17" spans="1:26" s="24" customFormat="1" hidden="1" outlineLevel="1" x14ac:dyDescent="0.3">
      <c r="A17" s="44"/>
      <c r="B17" s="11" t="str">
        <f>CONCATENATE("          ", "4151", " - ", "NON-TAXABLE SALES-FOOD")</f>
        <v xml:space="preserve">          4151 - NON-TAXABLE SALES-FOOD</v>
      </c>
      <c r="C17" s="11"/>
      <c r="D17" s="2">
        <f>--77750.43</f>
        <v>77750.429999999993</v>
      </c>
      <c r="E17" s="2"/>
      <c r="F17" s="19"/>
      <c r="G17" s="2"/>
      <c r="H17" s="2"/>
      <c r="I17" s="2"/>
      <c r="J17" s="19"/>
      <c r="K17" s="2"/>
      <c r="L17" s="2">
        <f t="shared" si="0"/>
        <v>77750.429999999993</v>
      </c>
      <c r="M17" s="2"/>
      <c r="N17" s="19">
        <f t="shared" si="1"/>
        <v>0</v>
      </c>
      <c r="O17" s="11"/>
      <c r="P17" s="2">
        <f>--351921.55</f>
        <v>351921.55</v>
      </c>
      <c r="Q17" s="2"/>
      <c r="R17" s="19"/>
      <c r="S17" s="2"/>
      <c r="T17" s="2"/>
      <c r="U17" s="2"/>
      <c r="V17" s="19"/>
      <c r="W17" s="2"/>
      <c r="X17" s="2">
        <f t="shared" si="2"/>
        <v>351921.55</v>
      </c>
      <c r="Y17" s="2"/>
      <c r="Z17" s="19">
        <f t="shared" si="3"/>
        <v>0</v>
      </c>
    </row>
    <row r="18" spans="1:26" s="24" customFormat="1" hidden="1" outlineLevel="1" x14ac:dyDescent="0.3">
      <c r="A18" s="44"/>
      <c r="B18" s="11" t="str">
        <f>CONCATENATE("          ", "4153", " - ", "NON-TAXABLE SALES-FOOD")</f>
        <v xml:space="preserve">          4153 - NON-TAXABLE SALES-FOOD</v>
      </c>
      <c r="C18" s="11"/>
      <c r="D18" s="2">
        <f>0</f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0</f>
        <v>0</v>
      </c>
      <c r="Q18" s="2"/>
      <c r="R18" s="19"/>
      <c r="S18" s="2"/>
      <c r="T18" s="2"/>
      <c r="U18" s="2"/>
      <c r="V18" s="19"/>
      <c r="W18" s="2"/>
      <c r="X18" s="2">
        <f t="shared" si="2"/>
        <v>0</v>
      </c>
      <c r="Y18" s="2"/>
      <c r="Z18" s="19">
        <f t="shared" si="3"/>
        <v>0</v>
      </c>
    </row>
    <row r="19" spans="1:26" x14ac:dyDescent="0.3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3">
      <c r="A20" s="10"/>
      <c r="B20" s="25" t="s">
        <v>257</v>
      </c>
      <c r="C20" s="10"/>
      <c r="D20" s="4">
        <f>SUM(OSRRefD16x_0)</f>
        <v>58189.270000000004</v>
      </c>
      <c r="E20" s="4"/>
      <c r="F20" s="12">
        <f t="shared" ref="F20:F23" si="4">IF(D$12=0,0,D20/D$12)</f>
        <v>0.4946508353744985</v>
      </c>
      <c r="G20" s="4"/>
      <c r="H20" s="4">
        <f>SUM(OSRRefH16x_0)</f>
        <v>40506</v>
      </c>
      <c r="I20" s="4"/>
      <c r="J20" s="12">
        <f t="shared" ref="J20:J23" si="5">IF(H$12=0,0,H20/H$12)</f>
        <v>0.3785501341083895</v>
      </c>
      <c r="K20" s="4"/>
      <c r="L20" s="4">
        <f t="shared" ref="L20:L23" si="6">+D20-H20</f>
        <v>17683.270000000004</v>
      </c>
      <c r="M20" s="4"/>
      <c r="N20" s="12">
        <f t="shared" ref="N20:N23" si="7">IF(H20=0,0,L20/H20)</f>
        <v>0.43655927516911086</v>
      </c>
      <c r="O20" s="10"/>
      <c r="P20" s="4">
        <f>SUM(OSRRefP16x_0)</f>
        <v>229677.18</v>
      </c>
      <c r="Q20" s="4"/>
      <c r="R20" s="12">
        <f t="shared" ref="R20:R23" si="8">IF(P$12=0,0,P20/P$12)</f>
        <v>0.41840758762547647</v>
      </c>
      <c r="S20" s="4"/>
      <c r="T20" s="4">
        <f>SUM(OSRRefT16x_0)</f>
        <v>206863</v>
      </c>
      <c r="U20" s="4"/>
      <c r="V20" s="12">
        <f t="shared" ref="V20:V23" si="9">IF(T$12=0,0,T20/T$12)</f>
        <v>0.38019996691723795</v>
      </c>
      <c r="W20" s="4"/>
      <c r="X20" s="4">
        <f t="shared" ref="X20:X23" si="10">+P20-T20</f>
        <v>22814.179999999993</v>
      </c>
      <c r="Y20" s="4"/>
      <c r="Z20" s="12">
        <f t="shared" ref="Z20:Z23" si="11">IF(T20=0,0,X20/T20)</f>
        <v>0.11028642144801146</v>
      </c>
    </row>
    <row r="21" spans="1:26" s="24" customFormat="1" hidden="1" outlineLevel="1" x14ac:dyDescent="0.3">
      <c r="A21" s="44"/>
      <c r="B21" s="11" t="str">
        <f>CONCATENATE("          ", "5000", " - ", "PURCHASES @ COST")</f>
        <v xml:space="preserve">          5000 - PURCHASES @ COST</v>
      </c>
      <c r="C21" s="11"/>
      <c r="D21" s="2"/>
      <c r="E21" s="2"/>
      <c r="F21" s="19">
        <f t="shared" si="4"/>
        <v>0</v>
      </c>
      <c r="G21" s="2"/>
      <c r="H21" s="2">
        <v>40506</v>
      </c>
      <c r="I21" s="2"/>
      <c r="J21" s="19">
        <f t="shared" si="5"/>
        <v>0.3785501341083895</v>
      </c>
      <c r="K21" s="2"/>
      <c r="L21" s="2">
        <f t="shared" si="6"/>
        <v>-40506</v>
      </c>
      <c r="M21" s="2"/>
      <c r="N21" s="19">
        <f t="shared" si="7"/>
        <v>-1</v>
      </c>
      <c r="O21" s="11"/>
      <c r="P21" s="2"/>
      <c r="Q21" s="2"/>
      <c r="R21" s="19">
        <f t="shared" si="8"/>
        <v>0</v>
      </c>
      <c r="S21" s="2"/>
      <c r="T21" s="2">
        <v>206863</v>
      </c>
      <c r="U21" s="2"/>
      <c r="V21" s="19">
        <f t="shared" si="9"/>
        <v>0.38019996691723795</v>
      </c>
      <c r="W21" s="2"/>
      <c r="X21" s="2">
        <f t="shared" si="10"/>
        <v>-206863</v>
      </c>
      <c r="Y21" s="2"/>
      <c r="Z21" s="19">
        <f t="shared" si="11"/>
        <v>-1</v>
      </c>
    </row>
    <row r="22" spans="1:26" s="24" customFormat="1" hidden="1" outlineLevel="1" x14ac:dyDescent="0.3">
      <c r="A22" s="44"/>
      <c r="B22" s="11" t="str">
        <f>CONCATENATE("          ", "5053", " - ", "PURCHASES @ COST-FOOD")</f>
        <v xml:space="preserve">          5053 - PURCHASES @ COST-FOOD</v>
      </c>
      <c r="C22" s="11"/>
      <c r="D22" s="2">
        <v>42622.29</v>
      </c>
      <c r="E22" s="2"/>
      <c r="F22" s="19">
        <f t="shared" si="4"/>
        <v>0.36232025859877831</v>
      </c>
      <c r="G22" s="2"/>
      <c r="H22" s="2"/>
      <c r="I22" s="2"/>
      <c r="J22" s="19">
        <f t="shared" si="5"/>
        <v>0</v>
      </c>
      <c r="K22" s="2"/>
      <c r="L22" s="2">
        <f t="shared" si="6"/>
        <v>42622.29</v>
      </c>
      <c r="M22" s="2"/>
      <c r="N22" s="19">
        <f t="shared" si="7"/>
        <v>0</v>
      </c>
      <c r="O22" s="11"/>
      <c r="P22" s="2">
        <v>233066.22</v>
      </c>
      <c r="Q22" s="2"/>
      <c r="R22" s="19">
        <f t="shared" si="8"/>
        <v>0.42458147068502228</v>
      </c>
      <c r="S22" s="2"/>
      <c r="T22" s="2"/>
      <c r="U22" s="2"/>
      <c r="V22" s="19">
        <f t="shared" si="9"/>
        <v>0</v>
      </c>
      <c r="W22" s="2"/>
      <c r="X22" s="2">
        <f t="shared" si="10"/>
        <v>233066.22</v>
      </c>
      <c r="Y22" s="2"/>
      <c r="Z22" s="19">
        <f t="shared" si="11"/>
        <v>0</v>
      </c>
    </row>
    <row r="23" spans="1:26" s="24" customFormat="1" hidden="1" outlineLevel="1" x14ac:dyDescent="0.3">
      <c r="A23" s="44"/>
      <c r="B23" s="11" t="str">
        <f>CONCATENATE("          ", "5059", " - ", "PURCHASES @ COST-FOOD")</f>
        <v xml:space="preserve">          5059 - PURCHASES @ COST-FOOD</v>
      </c>
      <c r="C23" s="11"/>
      <c r="D23" s="2">
        <v>15566.98</v>
      </c>
      <c r="E23" s="2"/>
      <c r="F23" s="19">
        <f t="shared" si="4"/>
        <v>0.13233057677572016</v>
      </c>
      <c r="G23" s="2"/>
      <c r="H23" s="2"/>
      <c r="I23" s="2"/>
      <c r="J23" s="19">
        <f t="shared" si="5"/>
        <v>0</v>
      </c>
      <c r="K23" s="2"/>
      <c r="L23" s="2">
        <f t="shared" si="6"/>
        <v>15566.98</v>
      </c>
      <c r="M23" s="2"/>
      <c r="N23" s="19">
        <f t="shared" si="7"/>
        <v>0</v>
      </c>
      <c r="O23" s="11"/>
      <c r="P23" s="2">
        <v>-3389.04</v>
      </c>
      <c r="Q23" s="2"/>
      <c r="R23" s="19">
        <f t="shared" si="8"/>
        <v>-6.1738830595457718E-3</v>
      </c>
      <c r="S23" s="2"/>
      <c r="T23" s="2"/>
      <c r="U23" s="2"/>
      <c r="V23" s="19">
        <f t="shared" si="9"/>
        <v>0</v>
      </c>
      <c r="W23" s="2"/>
      <c r="X23" s="2">
        <f t="shared" si="10"/>
        <v>-3389.04</v>
      </c>
      <c r="Y23" s="2"/>
      <c r="Z23" s="19">
        <f t="shared" si="11"/>
        <v>0</v>
      </c>
    </row>
    <row r="24" spans="1:26" x14ac:dyDescent="0.3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3">
      <c r="A25" s="10"/>
      <c r="B25" s="26" t="s">
        <v>108</v>
      </c>
      <c r="C25" s="26"/>
      <c r="D25" s="20">
        <f>D12-D20</f>
        <v>59447.789999999994</v>
      </c>
      <c r="E25" s="13"/>
      <c r="F25" s="22">
        <f>IF(D$12=0,0,D25/D$12)</f>
        <v>0.5053491646255015</v>
      </c>
      <c r="G25" s="13"/>
      <c r="H25" s="20">
        <f>H12-H20</f>
        <v>66497</v>
      </c>
      <c r="I25" s="13"/>
      <c r="J25" s="22">
        <f>IF(H$12=0,0,H25/H$12)</f>
        <v>0.62144986589161055</v>
      </c>
      <c r="K25" s="15"/>
      <c r="L25" s="20">
        <f>+D25-H25</f>
        <v>-7049.2100000000064</v>
      </c>
      <c r="M25" s="15"/>
      <c r="N25" s="22">
        <f>IF(H25=0,0,L25/H25)</f>
        <v>-0.10600794020782903</v>
      </c>
      <c r="O25" s="25"/>
      <c r="P25" s="20">
        <f>P12-P20</f>
        <v>319254.49999999994</v>
      </c>
      <c r="Q25" s="13"/>
      <c r="R25" s="22">
        <f>IF(P$12=0,0,P25/P$12)</f>
        <v>0.58159241237452353</v>
      </c>
      <c r="S25" s="13"/>
      <c r="T25" s="20">
        <f>T12-T20</f>
        <v>337227</v>
      </c>
      <c r="U25" s="13"/>
      <c r="V25" s="22">
        <f>IF(T$12=0,0,T25/T$12)</f>
        <v>0.61980003308276199</v>
      </c>
      <c r="W25" s="15"/>
      <c r="X25" s="20">
        <f>+P25-T25</f>
        <v>-17972.500000000058</v>
      </c>
      <c r="Y25" s="15"/>
      <c r="Z25" s="22">
        <f>IF(T25=0,0,X25/T25)</f>
        <v>-5.3294961554086882E-2</v>
      </c>
    </row>
    <row r="26" spans="1:26" x14ac:dyDescent="0.3">
      <c r="A26" s="9"/>
      <c r="B26" s="10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6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3">
      <c r="A27" s="10"/>
      <c r="B27" s="25" t="s">
        <v>295</v>
      </c>
      <c r="C27" s="10"/>
      <c r="D27" s="21">
        <f>SUM(OSRRefD22x_0)</f>
        <v>181675.08000000002</v>
      </c>
      <c r="E27" s="21"/>
      <c r="F27" s="30">
        <f t="shared" ref="F27:F37" si="12">IF(D$12=0,0,D27/D$12)</f>
        <v>1.5443694359583622</v>
      </c>
      <c r="G27" s="21"/>
      <c r="H27" s="21">
        <f>SUM(OSRRefH22x_0)</f>
        <v>188748.065009276</v>
      </c>
      <c r="I27" s="21"/>
      <c r="J27" s="30">
        <f t="shared" ref="J27:J37" si="13">IF(H$12=0,0,H27/H$12)</f>
        <v>1.7639511509890002</v>
      </c>
      <c r="K27" s="4"/>
      <c r="L27" s="21">
        <f t="shared" ref="L27:L37" si="14">+D27-H27</f>
        <v>-7072.985009275988</v>
      </c>
      <c r="M27" s="4"/>
      <c r="N27" s="30">
        <f t="shared" ref="N27:N37" si="15">IF(H27=0,0,L27/H27)</f>
        <v>-3.7473152421077204E-2</v>
      </c>
      <c r="O27" s="10"/>
      <c r="P27" s="21">
        <f>SUM(OSRRefP22x_0)</f>
        <v>991185.82999999973</v>
      </c>
      <c r="Q27" s="21"/>
      <c r="R27" s="30">
        <f t="shared" ref="R27:R37" si="16">IF(P$12=0,0,P27/P$12)</f>
        <v>1.8056633750852198</v>
      </c>
      <c r="S27" s="21"/>
      <c r="T27" s="21">
        <f>SUM(OSRRefT22x_0)</f>
        <v>1038594.0835683747</v>
      </c>
      <c r="U27" s="21"/>
      <c r="V27" s="30">
        <f t="shared" ref="V27:V37" si="17">IF(T$12=0,0,T27/T$12)</f>
        <v>1.9088644958892367</v>
      </c>
      <c r="W27" s="4"/>
      <c r="X27" s="21">
        <f t="shared" ref="X27:X37" si="18">+P27-T27</f>
        <v>-47408.253568375017</v>
      </c>
      <c r="Y27" s="4"/>
      <c r="Z27" s="30">
        <f t="shared" ref="Z27:Z37" si="19">IF(T27=0,0,X27/T27)</f>
        <v>-4.5646566178666227E-2</v>
      </c>
    </row>
    <row r="28" spans="1:26" s="29" customFormat="1" outlineLevel="1" collapsed="1" x14ac:dyDescent="0.3">
      <c r="A28" s="28"/>
      <c r="B28" s="14" t="str">
        <f>CONCATENATE("     ","*Benefits                                         ")</f>
        <v xml:space="preserve">     *Benefits                                         </v>
      </c>
      <c r="C28" s="14"/>
      <c r="D28" s="1">
        <f>SUM(OSRRefD22_0x_0)</f>
        <v>29406.38</v>
      </c>
      <c r="E28" s="1"/>
      <c r="F28" s="5">
        <f t="shared" si="12"/>
        <v>0.2499754754156556</v>
      </c>
      <c r="G28" s="1"/>
      <c r="H28" s="1">
        <f>SUM(OSRRefH22_0x_0)</f>
        <v>28890.489038506807</v>
      </c>
      <c r="I28" s="1"/>
      <c r="J28" s="5">
        <f t="shared" si="13"/>
        <v>0.2699970004439764</v>
      </c>
      <c r="K28" s="1"/>
      <c r="L28" s="1">
        <f t="shared" si="14"/>
        <v>515.89096149319448</v>
      </c>
      <c r="M28" s="1"/>
      <c r="N28" s="5">
        <f t="shared" si="15"/>
        <v>1.785677496859216E-2</v>
      </c>
      <c r="O28" s="14"/>
      <c r="P28" s="1">
        <f>SUM(OSRRefP22_0x_0)</f>
        <v>148227.77000000002</v>
      </c>
      <c r="Q28" s="1"/>
      <c r="R28" s="5">
        <f t="shared" si="16"/>
        <v>0.27002954174552296</v>
      </c>
      <c r="S28" s="1"/>
      <c r="T28" s="1">
        <f>SUM(OSRRefT22_0x_0)</f>
        <v>162515.39206914441</v>
      </c>
      <c r="U28" s="1"/>
      <c r="V28" s="5">
        <f t="shared" si="17"/>
        <v>0.29869211356419784</v>
      </c>
      <c r="W28" s="1"/>
      <c r="X28" s="1">
        <f t="shared" si="18"/>
        <v>-14287.622069144389</v>
      </c>
      <c r="Y28" s="1"/>
      <c r="Z28" s="5">
        <f t="shared" si="19"/>
        <v>-8.7915500724174631E-2</v>
      </c>
    </row>
    <row r="29" spans="1:26" s="24" customFormat="1" hidden="1" outlineLevel="2" x14ac:dyDescent="0.3">
      <c r="A29" s="27"/>
      <c r="B29" s="11" t="str">
        <f>CONCATENATE("          ", "6111", " - ", "F.I.C.A.")</f>
        <v xml:space="preserve">          6111 - F.I.C.A.</v>
      </c>
      <c r="C29" s="11"/>
      <c r="D29" s="6">
        <v>4199.12</v>
      </c>
      <c r="E29" s="2"/>
      <c r="F29" s="7">
        <f t="shared" si="12"/>
        <v>3.5695553765114497E-2</v>
      </c>
      <c r="G29" s="2"/>
      <c r="H29" s="6">
        <v>3617.0329135836901</v>
      </c>
      <c r="I29" s="2"/>
      <c r="J29" s="7">
        <f t="shared" si="13"/>
        <v>3.3803098170926887E-2</v>
      </c>
      <c r="K29" s="2"/>
      <c r="L29" s="6">
        <f t="shared" si="14"/>
        <v>582.08708641630983</v>
      </c>
      <c r="M29" s="2"/>
      <c r="N29" s="7">
        <f t="shared" si="15"/>
        <v>0.16092944142982338</v>
      </c>
      <c r="O29" s="11"/>
      <c r="P29" s="6">
        <v>22670.46</v>
      </c>
      <c r="Q29" s="2"/>
      <c r="R29" s="7">
        <f t="shared" si="16"/>
        <v>4.1299237821362397E-2</v>
      </c>
      <c r="S29" s="2"/>
      <c r="T29" s="6">
        <v>21390.8801031443</v>
      </c>
      <c r="U29" s="2"/>
      <c r="V29" s="7">
        <f t="shared" si="17"/>
        <v>3.9314966463534155E-2</v>
      </c>
      <c r="W29" s="2"/>
      <c r="X29" s="6">
        <f t="shared" si="18"/>
        <v>1279.5798968556992</v>
      </c>
      <c r="Y29" s="2"/>
      <c r="Z29" s="7">
        <f t="shared" si="19"/>
        <v>5.9818945769679222E-2</v>
      </c>
    </row>
    <row r="30" spans="1:26" s="24" customFormat="1" hidden="1" outlineLevel="2" x14ac:dyDescent="0.3">
      <c r="A30" s="27"/>
      <c r="B30" s="11" t="str">
        <f>CONCATENATE("          ", "6112", " - ", "COMPENSATION INSURANCE")</f>
        <v xml:space="preserve">          6112 - COMPENSATION INSURANCE</v>
      </c>
      <c r="C30" s="11"/>
      <c r="D30" s="6">
        <v>2024.87</v>
      </c>
      <c r="E30" s="2"/>
      <c r="F30" s="7">
        <f t="shared" si="12"/>
        <v>1.7212857920794689E-2</v>
      </c>
      <c r="G30" s="2"/>
      <c r="H30" s="6">
        <v>2745.3600831415401</v>
      </c>
      <c r="I30" s="2"/>
      <c r="J30" s="7">
        <f t="shared" si="13"/>
        <v>2.56568515195045E-2</v>
      </c>
      <c r="K30" s="2"/>
      <c r="L30" s="6">
        <f t="shared" si="14"/>
        <v>-720.49008314154025</v>
      </c>
      <c r="M30" s="2"/>
      <c r="N30" s="7">
        <f t="shared" si="15"/>
        <v>-0.26243919242720137</v>
      </c>
      <c r="O30" s="11"/>
      <c r="P30" s="6">
        <v>10222.48</v>
      </c>
      <c r="Q30" s="2"/>
      <c r="R30" s="7">
        <f t="shared" si="16"/>
        <v>1.8622499615981357E-2</v>
      </c>
      <c r="S30" s="2"/>
      <c r="T30" s="6">
        <v>15352.3135478985</v>
      </c>
      <c r="U30" s="2"/>
      <c r="V30" s="7">
        <f t="shared" si="17"/>
        <v>2.8216496439740668E-2</v>
      </c>
      <c r="W30" s="2"/>
      <c r="X30" s="6">
        <f t="shared" si="18"/>
        <v>-5129.8335478985009</v>
      </c>
      <c r="Y30" s="2"/>
      <c r="Z30" s="7">
        <f t="shared" si="19"/>
        <v>-0.33414074900787166</v>
      </c>
    </row>
    <row r="31" spans="1:26" s="24" customFormat="1" hidden="1" outlineLevel="2" x14ac:dyDescent="0.3">
      <c r="A31" s="27"/>
      <c r="B31" s="11" t="str">
        <f>CONCATENATE("          ", "6113", " - ", "GROUP INSURANCE")</f>
        <v xml:space="preserve">          6113 - GROUP INSURANCE</v>
      </c>
      <c r="C31" s="11"/>
      <c r="D31" s="6">
        <v>12571.1</v>
      </c>
      <c r="E31" s="2"/>
      <c r="F31" s="7">
        <f t="shared" si="12"/>
        <v>0.10686343232311314</v>
      </c>
      <c r="G31" s="2"/>
      <c r="H31" s="6">
        <v>13534.3807692308</v>
      </c>
      <c r="I31" s="2"/>
      <c r="J31" s="7">
        <f t="shared" si="13"/>
        <v>0.12648599356308515</v>
      </c>
      <c r="K31" s="2"/>
      <c r="L31" s="6">
        <f t="shared" si="14"/>
        <v>-963.28076923079971</v>
      </c>
      <c r="M31" s="2"/>
      <c r="N31" s="7">
        <f t="shared" si="15"/>
        <v>-7.1172873414403426E-2</v>
      </c>
      <c r="O31" s="11"/>
      <c r="P31" s="6">
        <v>62291.98</v>
      </c>
      <c r="Q31" s="2"/>
      <c r="R31" s="7">
        <f t="shared" si="16"/>
        <v>0.11347856622157426</v>
      </c>
      <c r="S31" s="2"/>
      <c r="T31" s="6">
        <v>77338.042307692303</v>
      </c>
      <c r="U31" s="2"/>
      <c r="V31" s="7">
        <f t="shared" si="17"/>
        <v>0.14214200280779338</v>
      </c>
      <c r="W31" s="2"/>
      <c r="X31" s="6">
        <f t="shared" si="18"/>
        <v>-15046.0623076923</v>
      </c>
      <c r="Y31" s="2"/>
      <c r="Z31" s="7">
        <f t="shared" si="19"/>
        <v>-0.19454930405182713</v>
      </c>
    </row>
    <row r="32" spans="1:26" s="24" customFormat="1" hidden="1" outlineLevel="2" x14ac:dyDescent="0.3">
      <c r="A32" s="27"/>
      <c r="B32" s="11" t="str">
        <f>CONCATENATE("          ", "6114", " - ", "STATE UNEMPLOYMENT INSURANCE")</f>
        <v xml:space="preserve">          6114 - STATE UNEMPLOYMENT INSURANCE</v>
      </c>
      <c r="C32" s="11"/>
      <c r="D32" s="6">
        <v>182.23</v>
      </c>
      <c r="E32" s="2"/>
      <c r="F32" s="7">
        <f t="shared" si="12"/>
        <v>1.5490866568749677E-3</v>
      </c>
      <c r="G32" s="2"/>
      <c r="H32" s="6">
        <v>152.11757716615401</v>
      </c>
      <c r="I32" s="2"/>
      <c r="J32" s="7">
        <f t="shared" si="13"/>
        <v>1.4216197411862658E-3</v>
      </c>
      <c r="K32" s="2"/>
      <c r="L32" s="6">
        <f t="shared" si="14"/>
        <v>30.112422833845983</v>
      </c>
      <c r="M32" s="2"/>
      <c r="N32" s="7">
        <f t="shared" si="15"/>
        <v>0.19795492010075194</v>
      </c>
      <c r="O32" s="11"/>
      <c r="P32" s="6">
        <v>928.69</v>
      </c>
      <c r="Q32" s="2"/>
      <c r="R32" s="7">
        <f t="shared" si="16"/>
        <v>1.691813451174835E-3</v>
      </c>
      <c r="S32" s="2"/>
      <c r="T32" s="6">
        <v>850.65589579384596</v>
      </c>
      <c r="U32" s="2"/>
      <c r="V32" s="7">
        <f t="shared" si="17"/>
        <v>1.563447032281141E-3</v>
      </c>
      <c r="W32" s="2"/>
      <c r="X32" s="6">
        <f t="shared" si="18"/>
        <v>78.034104206154097</v>
      </c>
      <c r="Y32" s="2"/>
      <c r="Z32" s="7">
        <f t="shared" si="19"/>
        <v>9.1734042627579032E-2</v>
      </c>
    </row>
    <row r="33" spans="1:26" s="24" customFormat="1" hidden="1" outlineLevel="2" x14ac:dyDescent="0.3">
      <c r="A33" s="27"/>
      <c r="B33" s="11" t="str">
        <f>CONCATENATE("          ", "6115", " - ", "P.E.R.S.")</f>
        <v xml:space="preserve">          6115 - P.E.R.S.</v>
      </c>
      <c r="C33" s="11"/>
      <c r="D33" s="6">
        <v>3325.3</v>
      </c>
      <c r="E33" s="2"/>
      <c r="F33" s="7">
        <f t="shared" si="12"/>
        <v>2.8267452450783794E-2</v>
      </c>
      <c r="G33" s="2"/>
      <c r="H33" s="6">
        <v>2746.7421584615399</v>
      </c>
      <c r="I33" s="2"/>
      <c r="J33" s="7">
        <f t="shared" si="13"/>
        <v>2.5669767749142921E-2</v>
      </c>
      <c r="K33" s="2"/>
      <c r="L33" s="6">
        <f t="shared" si="14"/>
        <v>578.55784153846025</v>
      </c>
      <c r="M33" s="2"/>
      <c r="N33" s="7">
        <f t="shared" si="15"/>
        <v>0.21063420159630583</v>
      </c>
      <c r="O33" s="11"/>
      <c r="P33" s="6">
        <v>17348.12</v>
      </c>
      <c r="Q33" s="2"/>
      <c r="R33" s="7">
        <f t="shared" si="16"/>
        <v>3.1603422852184447E-2</v>
      </c>
      <c r="S33" s="2"/>
      <c r="T33" s="6">
        <v>15107.081871538499</v>
      </c>
      <c r="U33" s="2"/>
      <c r="V33" s="7">
        <f t="shared" si="17"/>
        <v>2.7765777484494294E-2</v>
      </c>
      <c r="W33" s="2"/>
      <c r="X33" s="6">
        <f t="shared" si="18"/>
        <v>2241.0381284614996</v>
      </c>
      <c r="Y33" s="2"/>
      <c r="Z33" s="7">
        <f t="shared" si="19"/>
        <v>0.14834354824564627</v>
      </c>
    </row>
    <row r="34" spans="1:26" s="24" customFormat="1" hidden="1" outlineLevel="2" x14ac:dyDescent="0.3">
      <c r="A34" s="27"/>
      <c r="B34" s="11" t="str">
        <f>CONCATENATE("          ", "6116", " - ", "EDUCATIONAL BENEFITS")</f>
        <v xml:space="preserve">          6116 - EDUCATIONAL BENEFITS</v>
      </c>
      <c r="C34" s="11"/>
      <c r="D34" s="6"/>
      <c r="E34" s="2"/>
      <c r="F34" s="7">
        <f t="shared" si="12"/>
        <v>0</v>
      </c>
      <c r="G34" s="2"/>
      <c r="H34" s="6">
        <v>0</v>
      </c>
      <c r="I34" s="2"/>
      <c r="J34" s="7">
        <f t="shared" si="13"/>
        <v>0</v>
      </c>
      <c r="K34" s="2"/>
      <c r="L34" s="6">
        <f t="shared" si="14"/>
        <v>0</v>
      </c>
      <c r="M34" s="2"/>
      <c r="N34" s="7">
        <f t="shared" si="15"/>
        <v>0</v>
      </c>
      <c r="O34" s="11"/>
      <c r="P34" s="6"/>
      <c r="Q34" s="2"/>
      <c r="R34" s="7">
        <f t="shared" si="16"/>
        <v>0</v>
      </c>
      <c r="S34" s="2"/>
      <c r="T34" s="6">
        <v>0</v>
      </c>
      <c r="U34" s="2"/>
      <c r="V34" s="7">
        <f t="shared" si="17"/>
        <v>0</v>
      </c>
      <c r="W34" s="2"/>
      <c r="X34" s="6">
        <f t="shared" si="18"/>
        <v>0</v>
      </c>
      <c r="Y34" s="2"/>
      <c r="Z34" s="7">
        <f t="shared" si="19"/>
        <v>0</v>
      </c>
    </row>
    <row r="35" spans="1:26" s="24" customFormat="1" hidden="1" outlineLevel="2" x14ac:dyDescent="0.3">
      <c r="A35" s="27"/>
      <c r="B35" s="11" t="str">
        <f>CONCATENATE("          ", "6118", " - ", "VACATION")</f>
        <v xml:space="preserve">          6118 - VACATION</v>
      </c>
      <c r="C35" s="11"/>
      <c r="D35" s="6">
        <v>3350.12</v>
      </c>
      <c r="E35" s="2"/>
      <c r="F35" s="7">
        <f t="shared" si="12"/>
        <v>2.8478440382648122E-2</v>
      </c>
      <c r="G35" s="2"/>
      <c r="H35" s="6">
        <v>2423.0940144615402</v>
      </c>
      <c r="I35" s="2"/>
      <c r="J35" s="7">
        <f t="shared" si="13"/>
        <v>2.2645103543466445E-2</v>
      </c>
      <c r="K35" s="2"/>
      <c r="L35" s="6">
        <f t="shared" si="14"/>
        <v>927.02598553845974</v>
      </c>
      <c r="M35" s="2"/>
      <c r="N35" s="7">
        <f t="shared" si="15"/>
        <v>0.38257945420432371</v>
      </c>
      <c r="O35" s="11"/>
      <c r="P35" s="6">
        <v>16749.27</v>
      </c>
      <c r="Q35" s="2"/>
      <c r="R35" s="7">
        <f t="shared" si="16"/>
        <v>3.05124856339135E-2</v>
      </c>
      <c r="S35" s="2"/>
      <c r="T35" s="6">
        <v>13716.1750635385</v>
      </c>
      <c r="U35" s="2"/>
      <c r="V35" s="7">
        <f t="shared" si="17"/>
        <v>2.5209386431543496E-2</v>
      </c>
      <c r="W35" s="2"/>
      <c r="X35" s="6">
        <f t="shared" si="18"/>
        <v>3033.0949364615008</v>
      </c>
      <c r="Y35" s="2"/>
      <c r="Z35" s="7">
        <f t="shared" si="19"/>
        <v>0.22113270809180113</v>
      </c>
    </row>
    <row r="36" spans="1:26" s="24" customFormat="1" hidden="1" outlineLevel="2" x14ac:dyDescent="0.3">
      <c r="A36" s="27"/>
      <c r="B36" s="11" t="str">
        <f>CONCATENATE("          ", "6119", " - ", "SICK LEAVE")</f>
        <v xml:space="preserve">          6119 - SICK LEAVE</v>
      </c>
      <c r="C36" s="11"/>
      <c r="D36" s="6">
        <v>2220.08</v>
      </c>
      <c r="E36" s="2"/>
      <c r="F36" s="7">
        <f t="shared" si="12"/>
        <v>1.887228395541337E-2</v>
      </c>
      <c r="G36" s="2"/>
      <c r="H36" s="6">
        <v>1550.7615224615399</v>
      </c>
      <c r="I36" s="2"/>
      <c r="J36" s="7">
        <f t="shared" si="13"/>
        <v>1.4492692003603076E-2</v>
      </c>
      <c r="K36" s="2"/>
      <c r="L36" s="6">
        <f t="shared" si="14"/>
        <v>669.31847753846</v>
      </c>
      <c r="M36" s="2"/>
      <c r="N36" s="7">
        <f t="shared" si="15"/>
        <v>0.43160632234158336</v>
      </c>
      <c r="O36" s="11"/>
      <c r="P36" s="6">
        <v>10854.05</v>
      </c>
      <c r="Q36" s="2"/>
      <c r="R36" s="7">
        <f t="shared" si="16"/>
        <v>1.9773043523376169E-2</v>
      </c>
      <c r="S36" s="2"/>
      <c r="T36" s="6">
        <v>8587.2432795384593</v>
      </c>
      <c r="U36" s="2"/>
      <c r="V36" s="7">
        <f t="shared" si="17"/>
        <v>1.5782762556816814E-2</v>
      </c>
      <c r="W36" s="2"/>
      <c r="X36" s="6">
        <f t="shared" si="18"/>
        <v>2266.80672046154</v>
      </c>
      <c r="Y36" s="2"/>
      <c r="Z36" s="7">
        <f t="shared" si="19"/>
        <v>0.26397373949598579</v>
      </c>
    </row>
    <row r="37" spans="1:26" s="24" customFormat="1" hidden="1" outlineLevel="2" x14ac:dyDescent="0.3">
      <c r="A37" s="27"/>
      <c r="B37" s="11" t="str">
        <f>CONCATENATE("          ", "6156", " - ", "EMPLOYEE MEALS")</f>
        <v xml:space="preserve">          6156 - EMPLOYEE MEALS</v>
      </c>
      <c r="C37" s="11"/>
      <c r="D37" s="6">
        <v>1533.56</v>
      </c>
      <c r="E37" s="2"/>
      <c r="F37" s="7">
        <f t="shared" si="12"/>
        <v>1.3036367960912999E-2</v>
      </c>
      <c r="G37" s="2"/>
      <c r="H37" s="6">
        <v>2121</v>
      </c>
      <c r="I37" s="2"/>
      <c r="J37" s="7">
        <f t="shared" si="13"/>
        <v>1.9821874153061129E-2</v>
      </c>
      <c r="K37" s="2"/>
      <c r="L37" s="6">
        <f t="shared" si="14"/>
        <v>-587.44000000000005</v>
      </c>
      <c r="M37" s="2"/>
      <c r="N37" s="7">
        <f t="shared" si="15"/>
        <v>-0.27696369636963697</v>
      </c>
      <c r="O37" s="11"/>
      <c r="P37" s="6">
        <v>7162.72</v>
      </c>
      <c r="Q37" s="2"/>
      <c r="R37" s="7">
        <f t="shared" si="16"/>
        <v>1.3048472625955931E-2</v>
      </c>
      <c r="S37" s="2"/>
      <c r="T37" s="6">
        <v>10173</v>
      </c>
      <c r="U37" s="2"/>
      <c r="V37" s="7">
        <f t="shared" si="17"/>
        <v>1.8697274347993897E-2</v>
      </c>
      <c r="W37" s="2"/>
      <c r="X37" s="6">
        <f t="shared" si="18"/>
        <v>-3010.2799999999997</v>
      </c>
      <c r="Y37" s="2"/>
      <c r="Z37" s="7">
        <f t="shared" si="19"/>
        <v>-0.29590877813820898</v>
      </c>
    </row>
    <row r="38" spans="1:26" s="29" customFormat="1" outlineLevel="1" collapsed="1" x14ac:dyDescent="0.3">
      <c r="A38" s="28"/>
      <c r="B38" s="14" t="str">
        <f>CONCATENATE("     ","*Payroll                                          ")</f>
        <v xml:space="preserve">     *Payroll                                          </v>
      </c>
      <c r="C38" s="14"/>
      <c r="D38" s="1">
        <f>SUM(OSRRefD22_1x_0)</f>
        <v>65477.14</v>
      </c>
      <c r="E38" s="1"/>
      <c r="F38" s="5">
        <f t="shared" ref="F38:F48" si="20">IF(D$12=0,0,D38/D$12)</f>
        <v>0.55660299568860361</v>
      </c>
      <c r="G38" s="1"/>
      <c r="H38" s="1">
        <f>SUM(OSRRefH22_1x_0)</f>
        <v>68527.075970769205</v>
      </c>
      <c r="I38" s="1"/>
      <c r="J38" s="5">
        <f t="shared" ref="J38:J48" si="21">IF(H$12=0,0,H38/H$12)</f>
        <v>0.64042200658644344</v>
      </c>
      <c r="K38" s="1"/>
      <c r="L38" s="1">
        <f t="shared" ref="L38:L48" si="22">+D38-H38</f>
        <v>-3049.9359707692056</v>
      </c>
      <c r="M38" s="1"/>
      <c r="N38" s="5">
        <f t="shared" ref="N38:N48" si="23">IF(H38=0,0,L38/H38)</f>
        <v>-4.450702043773444E-2</v>
      </c>
      <c r="O38" s="14"/>
      <c r="P38" s="1">
        <f>SUM(OSRRefP22_1x_0)</f>
        <v>340368.12</v>
      </c>
      <c r="Q38" s="1"/>
      <c r="R38" s="5">
        <f t="shared" ref="R38:R48" si="24">IF(P$12=0,0,P38/P$12)</f>
        <v>0.62005552312083723</v>
      </c>
      <c r="S38" s="1"/>
      <c r="T38" s="1">
        <f>SUM(OSRRefT22_1x_0)</f>
        <v>383128.94149923034</v>
      </c>
      <c r="U38" s="1"/>
      <c r="V38" s="5">
        <f t="shared" ref="V38:V48" si="25">IF(T$12=0,0,T38/T$12)</f>
        <v>0.70416464463458317</v>
      </c>
      <c r="W38" s="1"/>
      <c r="X38" s="1">
        <f t="shared" ref="X38:X48" si="26">+P38-T38</f>
        <v>-42760.82149923034</v>
      </c>
      <c r="Y38" s="1"/>
      <c r="Z38" s="5">
        <f t="shared" ref="Z38:Z48" si="27">IF(T38=0,0,X38/T38)</f>
        <v>-0.1116094788660497</v>
      </c>
    </row>
    <row r="39" spans="1:26" s="24" customFormat="1" hidden="1" outlineLevel="2" x14ac:dyDescent="0.3">
      <c r="A39" s="27"/>
      <c r="B39" s="11" t="str">
        <f>CONCATENATE("          ", "6001", " - ", "ADMINISTRATIVE SALARIES")</f>
        <v xml:space="preserve">          6001 - ADMINISTRATIVE SALARIES</v>
      </c>
      <c r="C39" s="11"/>
      <c r="D39" s="6">
        <v>9209.65</v>
      </c>
      <c r="E39" s="2"/>
      <c r="F39" s="7">
        <f t="shared" si="20"/>
        <v>7.828867875480737E-2</v>
      </c>
      <c r="G39" s="2"/>
      <c r="H39" s="6">
        <v>10268.307692307701</v>
      </c>
      <c r="I39" s="2"/>
      <c r="J39" s="7">
        <f t="shared" si="21"/>
        <v>9.5962801905626019E-2</v>
      </c>
      <c r="K39" s="2"/>
      <c r="L39" s="6">
        <f t="shared" si="22"/>
        <v>-1058.6576923077009</v>
      </c>
      <c r="M39" s="2"/>
      <c r="N39" s="7">
        <f t="shared" si="23"/>
        <v>-0.10309952954572771</v>
      </c>
      <c r="O39" s="11"/>
      <c r="P39" s="6">
        <v>52933.31</v>
      </c>
      <c r="Q39" s="2"/>
      <c r="R39" s="7">
        <f t="shared" si="24"/>
        <v>9.6429686841903534E-2</v>
      </c>
      <c r="S39" s="2"/>
      <c r="T39" s="6">
        <v>56475.692307692298</v>
      </c>
      <c r="U39" s="2"/>
      <c r="V39" s="7">
        <f t="shared" si="25"/>
        <v>0.10379843832397637</v>
      </c>
      <c r="W39" s="2"/>
      <c r="X39" s="6">
        <f t="shared" si="26"/>
        <v>-3542.3823076922999</v>
      </c>
      <c r="Y39" s="2"/>
      <c r="Z39" s="7">
        <f t="shared" si="27"/>
        <v>-6.2724017412528615E-2</v>
      </c>
    </row>
    <row r="40" spans="1:26" s="24" customFormat="1" hidden="1" outlineLevel="2" x14ac:dyDescent="0.3">
      <c r="A40" s="27"/>
      <c r="B40" s="11" t="str">
        <f>CONCATENATE("          ", "6002", " - ", "STAFF SALARIES")</f>
        <v xml:space="preserve">          6002 - STAFF SALARIES</v>
      </c>
      <c r="C40" s="11"/>
      <c r="D40" s="6">
        <v>21413.4</v>
      </c>
      <c r="E40" s="2"/>
      <c r="F40" s="7">
        <f t="shared" si="20"/>
        <v>0.18202937067621378</v>
      </c>
      <c r="G40" s="2"/>
      <c r="H40" s="6">
        <v>18954.873038461501</v>
      </c>
      <c r="I40" s="2"/>
      <c r="J40" s="7">
        <f t="shared" si="21"/>
        <v>0.1771433795170369</v>
      </c>
      <c r="K40" s="2"/>
      <c r="L40" s="6">
        <f t="shared" si="22"/>
        <v>2458.5269615385005</v>
      </c>
      <c r="M40" s="2"/>
      <c r="N40" s="7">
        <f t="shared" si="23"/>
        <v>0.12970421677580649</v>
      </c>
      <c r="O40" s="11"/>
      <c r="P40" s="6">
        <v>110936.4</v>
      </c>
      <c r="Q40" s="2"/>
      <c r="R40" s="7">
        <f t="shared" si="24"/>
        <v>0.20209509496700939</v>
      </c>
      <c r="S40" s="2"/>
      <c r="T40" s="6">
        <v>104251.80171153801</v>
      </c>
      <c r="U40" s="2"/>
      <c r="V40" s="7">
        <f t="shared" si="25"/>
        <v>0.19160764158785865</v>
      </c>
      <c r="W40" s="2"/>
      <c r="X40" s="6">
        <f t="shared" si="26"/>
        <v>6684.598288461988</v>
      </c>
      <c r="Y40" s="2"/>
      <c r="Z40" s="7">
        <f t="shared" si="27"/>
        <v>6.411973873562489E-2</v>
      </c>
    </row>
    <row r="41" spans="1:26" s="24" customFormat="1" hidden="1" outlineLevel="2" x14ac:dyDescent="0.3">
      <c r="A41" s="27"/>
      <c r="B41" s="11" t="str">
        <f>CONCATENATE("          ", "6003", " - ", "STAFF HOURLY-9 MONTH")</f>
        <v xml:space="preserve">          6003 - STAFF HOURLY-9 MONTH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0</v>
      </c>
      <c r="Y41" s="2"/>
      <c r="Z41" s="7">
        <f t="shared" si="27"/>
        <v>0</v>
      </c>
    </row>
    <row r="42" spans="1:26" s="24" customFormat="1" hidden="1" outlineLevel="2" x14ac:dyDescent="0.3">
      <c r="A42" s="27"/>
      <c r="B42" s="11" t="str">
        <f>CONCATENATE("          ", "6004", " - ", "STAFF HOURLY")</f>
        <v xml:space="preserve">          6004 - STAFF HOURLY</v>
      </c>
      <c r="C42" s="11"/>
      <c r="D42" s="6">
        <v>9506.17</v>
      </c>
      <c r="E42" s="2"/>
      <c r="F42" s="7">
        <f t="shared" si="20"/>
        <v>8.0809312983510476E-2</v>
      </c>
      <c r="G42" s="2"/>
      <c r="H42" s="6">
        <v>13797.22524</v>
      </c>
      <c r="I42" s="2"/>
      <c r="J42" s="7">
        <f t="shared" si="21"/>
        <v>0.12894241507247461</v>
      </c>
      <c r="K42" s="2"/>
      <c r="L42" s="6">
        <f t="shared" si="22"/>
        <v>-4291.0552399999997</v>
      </c>
      <c r="M42" s="2"/>
      <c r="N42" s="7">
        <f t="shared" si="23"/>
        <v>-0.31100856624125095</v>
      </c>
      <c r="O42" s="11"/>
      <c r="P42" s="6">
        <v>45857.14</v>
      </c>
      <c r="Q42" s="2"/>
      <c r="R42" s="7">
        <f t="shared" si="24"/>
        <v>8.3538884110314071E-2</v>
      </c>
      <c r="S42" s="2"/>
      <c r="T42" s="6">
        <v>89768.562479999993</v>
      </c>
      <c r="U42" s="2"/>
      <c r="V42" s="7">
        <f t="shared" si="25"/>
        <v>0.16498844397066662</v>
      </c>
      <c r="W42" s="2"/>
      <c r="X42" s="6">
        <f t="shared" si="26"/>
        <v>-43911.422479999994</v>
      </c>
      <c r="Y42" s="2"/>
      <c r="Z42" s="7">
        <f t="shared" si="27"/>
        <v>-0.48916258951771951</v>
      </c>
    </row>
    <row r="43" spans="1:26" s="24" customFormat="1" hidden="1" outlineLevel="2" x14ac:dyDescent="0.3">
      <c r="A43" s="27"/>
      <c r="B43" s="11" t="str">
        <f>CONCATENATE("          ", "6005", " - ", "TEMPORARY WAGES-HOURLY")</f>
        <v xml:space="preserve">          6005 - TEMPORARY WAGES-HOURLY</v>
      </c>
      <c r="C43" s="11"/>
      <c r="D43" s="6">
        <v>10102.19</v>
      </c>
      <c r="E43" s="2"/>
      <c r="F43" s="7">
        <f t="shared" si="20"/>
        <v>8.5875913593896347E-2</v>
      </c>
      <c r="G43" s="2"/>
      <c r="H43" s="6">
        <v>8507.8700000000008</v>
      </c>
      <c r="I43" s="2"/>
      <c r="J43" s="7">
        <f t="shared" si="21"/>
        <v>7.9510574469874681E-2</v>
      </c>
      <c r="K43" s="2"/>
      <c r="L43" s="6">
        <f t="shared" si="22"/>
        <v>1594.3199999999997</v>
      </c>
      <c r="M43" s="2"/>
      <c r="N43" s="7">
        <f t="shared" si="23"/>
        <v>0.1873935544384199</v>
      </c>
      <c r="O43" s="11"/>
      <c r="P43" s="6">
        <v>61954.64</v>
      </c>
      <c r="Q43" s="2"/>
      <c r="R43" s="7">
        <f t="shared" si="24"/>
        <v>0.11286402708621227</v>
      </c>
      <c r="S43" s="2"/>
      <c r="T43" s="6">
        <v>47260.34</v>
      </c>
      <c r="U43" s="2"/>
      <c r="V43" s="7">
        <f t="shared" si="25"/>
        <v>8.686125457185391E-2</v>
      </c>
      <c r="W43" s="2"/>
      <c r="X43" s="6">
        <f t="shared" si="26"/>
        <v>14694.300000000003</v>
      </c>
      <c r="Y43" s="2"/>
      <c r="Z43" s="7">
        <f t="shared" si="27"/>
        <v>0.31092243517503271</v>
      </c>
    </row>
    <row r="44" spans="1:26" s="24" customFormat="1" hidden="1" outlineLevel="2" x14ac:dyDescent="0.3">
      <c r="A44" s="27"/>
      <c r="B44" s="11" t="str">
        <f>CONCATENATE("          ", "6006", " - ", "TEMPORARY PART TIME")</f>
        <v xml:space="preserve">          6006 - TEMPORARY PART TIME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3">
      <c r="A45" s="27"/>
      <c r="B45" s="11" t="str">
        <f>CONCATENATE("          ", "6007", " - ", "STUDENT HOURLY")</f>
        <v xml:space="preserve">          6007 - STUDENT HOURLY</v>
      </c>
      <c r="C45" s="11"/>
      <c r="D45" s="6">
        <v>15245.73</v>
      </c>
      <c r="E45" s="2"/>
      <c r="F45" s="7">
        <f t="shared" si="20"/>
        <v>0.12959971968017561</v>
      </c>
      <c r="G45" s="2"/>
      <c r="H45" s="6">
        <v>992.31</v>
      </c>
      <c r="I45" s="2"/>
      <c r="J45" s="7">
        <f t="shared" si="21"/>
        <v>9.273665224339504E-3</v>
      </c>
      <c r="K45" s="2"/>
      <c r="L45" s="6">
        <f t="shared" si="22"/>
        <v>14253.42</v>
      </c>
      <c r="M45" s="2"/>
      <c r="N45" s="7">
        <f t="shared" si="23"/>
        <v>14.363878223539016</v>
      </c>
      <c r="O45" s="11"/>
      <c r="P45" s="6">
        <v>68686.63</v>
      </c>
      <c r="Q45" s="2"/>
      <c r="R45" s="7">
        <f t="shared" si="24"/>
        <v>0.12512783011539799</v>
      </c>
      <c r="S45" s="2"/>
      <c r="T45" s="6">
        <v>10337.950000000001</v>
      </c>
      <c r="U45" s="2"/>
      <c r="V45" s="7">
        <f t="shared" si="25"/>
        <v>1.9000441103493908E-2</v>
      </c>
      <c r="W45" s="2"/>
      <c r="X45" s="6">
        <f t="shared" si="26"/>
        <v>58348.680000000008</v>
      </c>
      <c r="Y45" s="2"/>
      <c r="Z45" s="7">
        <f t="shared" si="27"/>
        <v>5.6441248023060666</v>
      </c>
    </row>
    <row r="46" spans="1:26" s="24" customFormat="1" hidden="1" outlineLevel="2" x14ac:dyDescent="0.3">
      <c r="A46" s="27"/>
      <c r="B46" s="11" t="str">
        <f>CONCATENATE("          ", "6008", " - ", "STUDENT HOURLY-FICA EXEMPT")</f>
        <v xml:space="preserve">          6008 - STUDENT HOURLY-FICA EXEMPT</v>
      </c>
      <c r="C46" s="11"/>
      <c r="D46" s="6"/>
      <c r="E46" s="2"/>
      <c r="F46" s="7">
        <f t="shared" si="20"/>
        <v>0</v>
      </c>
      <c r="G46" s="2"/>
      <c r="H46" s="6">
        <v>16006.49</v>
      </c>
      <c r="I46" s="2"/>
      <c r="J46" s="7">
        <f t="shared" si="21"/>
        <v>0.14958917039709166</v>
      </c>
      <c r="K46" s="2"/>
      <c r="L46" s="6">
        <f t="shared" si="22"/>
        <v>-16006.49</v>
      </c>
      <c r="M46" s="2"/>
      <c r="N46" s="7">
        <f t="shared" si="23"/>
        <v>-1</v>
      </c>
      <c r="O46" s="11"/>
      <c r="P46" s="6"/>
      <c r="Q46" s="2"/>
      <c r="R46" s="7">
        <f t="shared" si="24"/>
        <v>0</v>
      </c>
      <c r="S46" s="2"/>
      <c r="T46" s="6">
        <v>75034.595000000001</v>
      </c>
      <c r="U46" s="2"/>
      <c r="V46" s="7">
        <f t="shared" si="25"/>
        <v>0.13790842507673362</v>
      </c>
      <c r="W46" s="2"/>
      <c r="X46" s="6">
        <f t="shared" si="26"/>
        <v>-75034.595000000001</v>
      </c>
      <c r="Y46" s="2"/>
      <c r="Z46" s="7">
        <f t="shared" si="27"/>
        <v>-1</v>
      </c>
    </row>
    <row r="47" spans="1:26" s="24" customFormat="1" hidden="1" outlineLevel="2" x14ac:dyDescent="0.3">
      <c r="A47" s="27"/>
      <c r="B47" s="11" t="str">
        <f>CONCATENATE("          ", "6009", " - ", "TEMPORARY-SEASONAL")</f>
        <v xml:space="preserve">          6009 - TEMPORARY-SEASONAL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4" customFormat="1" hidden="1" outlineLevel="2" x14ac:dyDescent="0.3">
      <c r="A48" s="27"/>
      <c r="B48" s="11" t="str">
        <f>CONCATENATE("          ", "6010", " - ", "GRATUITY")</f>
        <v xml:space="preserve">          6010 - GRATUITY</v>
      </c>
      <c r="C48" s="11"/>
      <c r="D48" s="6"/>
      <c r="E48" s="2"/>
      <c r="F48" s="7">
        <f t="shared" si="20"/>
        <v>0</v>
      </c>
      <c r="G48" s="2"/>
      <c r="H48" s="6">
        <v>0</v>
      </c>
      <c r="I48" s="2"/>
      <c r="J48" s="7">
        <f t="shared" si="21"/>
        <v>0</v>
      </c>
      <c r="K48" s="2"/>
      <c r="L48" s="6">
        <f t="shared" si="22"/>
        <v>0</v>
      </c>
      <c r="M48" s="2"/>
      <c r="N48" s="7">
        <f t="shared" si="23"/>
        <v>0</v>
      </c>
      <c r="O48" s="11"/>
      <c r="P48" s="6"/>
      <c r="Q48" s="2"/>
      <c r="R48" s="7">
        <f t="shared" si="24"/>
        <v>0</v>
      </c>
      <c r="S48" s="2"/>
      <c r="T48" s="6">
        <v>0</v>
      </c>
      <c r="U48" s="2"/>
      <c r="V48" s="7">
        <f t="shared" si="25"/>
        <v>0</v>
      </c>
      <c r="W48" s="2"/>
      <c r="X48" s="6">
        <f t="shared" si="26"/>
        <v>0</v>
      </c>
      <c r="Y48" s="2"/>
      <c r="Z48" s="7">
        <f t="shared" si="27"/>
        <v>0</v>
      </c>
    </row>
    <row r="49" spans="1:26" s="29" customFormat="1" outlineLevel="1" collapsed="1" x14ac:dyDescent="0.3">
      <c r="A49" s="28"/>
      <c r="B49" s="14" t="str">
        <f>CONCATENATE("     ","Advertising/Promo                                 ")</f>
        <v xml:space="preserve">     Advertising/Promo                                 </v>
      </c>
      <c r="C49" s="14"/>
      <c r="D49" s="1">
        <f>SUM(OSRRefD22_2x_0)</f>
        <v>149.79</v>
      </c>
      <c r="E49" s="1"/>
      <c r="F49" s="5">
        <f t="shared" ref="F49:F57" si="28">IF(D$12=0,0,D49/D$12)</f>
        <v>1.2733232197404457E-3</v>
      </c>
      <c r="G49" s="1"/>
      <c r="H49" s="1">
        <f>SUM(OSRRefH22_2x_0)</f>
        <v>0</v>
      </c>
      <c r="I49" s="1"/>
      <c r="J49" s="5">
        <f t="shared" ref="J49:J57" si="29">IF(H$12=0,0,H49/H$12)</f>
        <v>0</v>
      </c>
      <c r="K49" s="1"/>
      <c r="L49" s="1">
        <f t="shared" ref="L49:L57" si="30">+D49-H49</f>
        <v>149.79</v>
      </c>
      <c r="M49" s="1"/>
      <c r="N49" s="5">
        <f t="shared" ref="N49:N57" si="31">IF(H49=0,0,L49/H49)</f>
        <v>0</v>
      </c>
      <c r="O49" s="14"/>
      <c r="P49" s="1">
        <f>SUM(OSRRefP22_2x_0)</f>
        <v>961.05</v>
      </c>
      <c r="Q49" s="1"/>
      <c r="R49" s="5">
        <f t="shared" ref="R49:R57" si="32">IF(P$12=0,0,P49/P$12)</f>
        <v>1.7507643209807094E-3</v>
      </c>
      <c r="S49" s="1"/>
      <c r="T49" s="1">
        <f>SUM(OSRRefT22_2x_0)</f>
        <v>0</v>
      </c>
      <c r="U49" s="1"/>
      <c r="V49" s="5">
        <f t="shared" ref="V49:V57" si="33">IF(T$12=0,0,T49/T$12)</f>
        <v>0</v>
      </c>
      <c r="W49" s="1"/>
      <c r="X49" s="1">
        <f t="shared" ref="X49:X57" si="34">+P49-T49</f>
        <v>961.05</v>
      </c>
      <c r="Y49" s="1"/>
      <c r="Z49" s="5">
        <f t="shared" ref="Z49:Z57" si="35">IF(T49=0,0,X49/T49)</f>
        <v>0</v>
      </c>
    </row>
    <row r="50" spans="1:26" s="24" customFormat="1" hidden="1" outlineLevel="2" x14ac:dyDescent="0.3">
      <c r="A50" s="27"/>
      <c r="B50" s="11" t="str">
        <f>CONCATENATE("          ", "6362", " - ", "ADVERTISING EXPENSE")</f>
        <v xml:space="preserve">          6362 - ADVERTISING EXPENSE</v>
      </c>
      <c r="C50" s="11"/>
      <c r="D50" s="6">
        <v>149.79</v>
      </c>
      <c r="E50" s="2"/>
      <c r="F50" s="7">
        <f t="shared" si="28"/>
        <v>1.2733232197404457E-3</v>
      </c>
      <c r="G50" s="2"/>
      <c r="H50" s="6"/>
      <c r="I50" s="2"/>
      <c r="J50" s="7">
        <f t="shared" si="29"/>
        <v>0</v>
      </c>
      <c r="K50" s="2"/>
      <c r="L50" s="6">
        <f t="shared" si="30"/>
        <v>149.79</v>
      </c>
      <c r="M50" s="2"/>
      <c r="N50" s="7">
        <f t="shared" si="31"/>
        <v>0</v>
      </c>
      <c r="O50" s="11"/>
      <c r="P50" s="6">
        <v>961.05</v>
      </c>
      <c r="Q50" s="2"/>
      <c r="R50" s="7">
        <f t="shared" si="32"/>
        <v>1.7507643209807094E-3</v>
      </c>
      <c r="S50" s="2"/>
      <c r="T50" s="6">
        <v>0</v>
      </c>
      <c r="U50" s="2"/>
      <c r="V50" s="7">
        <f t="shared" si="33"/>
        <v>0</v>
      </c>
      <c r="W50" s="2"/>
      <c r="X50" s="6">
        <f t="shared" si="34"/>
        <v>961.05</v>
      </c>
      <c r="Y50" s="2"/>
      <c r="Z50" s="7">
        <f t="shared" si="35"/>
        <v>0</v>
      </c>
    </row>
    <row r="51" spans="1:26" s="29" customFormat="1" outlineLevel="1" collapsed="1" x14ac:dyDescent="0.3">
      <c r="A51" s="28"/>
      <c r="B51" s="14" t="str">
        <f>CONCATENATE("     ","Bad Debts/Over/Short                              ")</f>
        <v xml:space="preserve">     Bad Debts/Over/Short                              </v>
      </c>
      <c r="C51" s="14"/>
      <c r="D51" s="1">
        <f>SUM(OSRRefD22_3x_0)</f>
        <v>6.25</v>
      </c>
      <c r="E51" s="1"/>
      <c r="F51" s="5">
        <f t="shared" si="28"/>
        <v>5.3129515477520436E-5</v>
      </c>
      <c r="G51" s="1"/>
      <c r="H51" s="1">
        <f>SUM(OSRRefH22_3x_0)</f>
        <v>0</v>
      </c>
      <c r="I51" s="1"/>
      <c r="J51" s="5">
        <f t="shared" si="29"/>
        <v>0</v>
      </c>
      <c r="K51" s="1"/>
      <c r="L51" s="1">
        <f t="shared" si="30"/>
        <v>6.25</v>
      </c>
      <c r="M51" s="1"/>
      <c r="N51" s="5">
        <f t="shared" si="31"/>
        <v>0</v>
      </c>
      <c r="O51" s="14"/>
      <c r="P51" s="1">
        <f>SUM(OSRRefP22_3x_0)</f>
        <v>-97.67</v>
      </c>
      <c r="Q51" s="1"/>
      <c r="R51" s="5">
        <f t="shared" si="32"/>
        <v>-1.7792742441099412E-4</v>
      </c>
      <c r="S51" s="1"/>
      <c r="T51" s="1">
        <f>SUM(OSRRefT22_3x_0)</f>
        <v>40</v>
      </c>
      <c r="U51" s="1"/>
      <c r="V51" s="5">
        <f t="shared" si="33"/>
        <v>7.3517248984542993E-5</v>
      </c>
      <c r="W51" s="1"/>
      <c r="X51" s="1">
        <f t="shared" si="34"/>
        <v>-137.67000000000002</v>
      </c>
      <c r="Y51" s="1"/>
      <c r="Z51" s="5">
        <f t="shared" si="35"/>
        <v>-3.4417500000000003</v>
      </c>
    </row>
    <row r="52" spans="1:26" s="24" customFormat="1" hidden="1" outlineLevel="2" x14ac:dyDescent="0.3">
      <c r="A52" s="27"/>
      <c r="B52" s="11" t="str">
        <f>CONCATENATE("          ", "6272", " - ", "CASH (OVER/SHORT)")</f>
        <v xml:space="preserve">          6272 - CASH (OVER/SHORT)</v>
      </c>
      <c r="C52" s="11"/>
      <c r="D52" s="6">
        <v>6.25</v>
      </c>
      <c r="E52" s="2"/>
      <c r="F52" s="7">
        <f t="shared" si="28"/>
        <v>5.3129515477520436E-5</v>
      </c>
      <c r="G52" s="2"/>
      <c r="H52" s="6">
        <v>0</v>
      </c>
      <c r="I52" s="2"/>
      <c r="J52" s="7">
        <f t="shared" si="29"/>
        <v>0</v>
      </c>
      <c r="K52" s="2"/>
      <c r="L52" s="6">
        <f t="shared" si="30"/>
        <v>6.25</v>
      </c>
      <c r="M52" s="2"/>
      <c r="N52" s="7">
        <f t="shared" si="31"/>
        <v>0</v>
      </c>
      <c r="O52" s="11"/>
      <c r="P52" s="6">
        <v>-97.67</v>
      </c>
      <c r="Q52" s="2"/>
      <c r="R52" s="7">
        <f t="shared" si="32"/>
        <v>-1.7792742441099412E-4</v>
      </c>
      <c r="S52" s="2"/>
      <c r="T52" s="6">
        <v>40</v>
      </c>
      <c r="U52" s="2"/>
      <c r="V52" s="7">
        <f t="shared" si="33"/>
        <v>7.3517248984542993E-5</v>
      </c>
      <c r="W52" s="2"/>
      <c r="X52" s="6">
        <f t="shared" si="34"/>
        <v>-137.67000000000002</v>
      </c>
      <c r="Y52" s="2"/>
      <c r="Z52" s="7">
        <f t="shared" si="35"/>
        <v>-3.4417500000000003</v>
      </c>
    </row>
    <row r="53" spans="1:26" s="29" customFormat="1" outlineLevel="1" collapsed="1" x14ac:dyDescent="0.3">
      <c r="A53" s="28"/>
      <c r="B53" s="14" t="str">
        <f>CONCATENATE("     ","Bank/card Fees                                    ")</f>
        <v xml:space="preserve">     Bank/card Fees                                    </v>
      </c>
      <c r="C53" s="14"/>
      <c r="D53" s="1">
        <f>SUM(OSRRefD22_4x_0)</f>
        <v>5070.1099999999997</v>
      </c>
      <c r="E53" s="1"/>
      <c r="F53" s="5">
        <f t="shared" si="28"/>
        <v>4.3099598034836976E-2</v>
      </c>
      <c r="G53" s="1"/>
      <c r="H53" s="1">
        <f>SUM(OSRRefH22_4x_0)</f>
        <v>5495.5</v>
      </c>
      <c r="I53" s="1"/>
      <c r="J53" s="5">
        <f t="shared" si="29"/>
        <v>5.1358373129725333E-2</v>
      </c>
      <c r="K53" s="1"/>
      <c r="L53" s="1">
        <f t="shared" si="30"/>
        <v>-425.39000000000033</v>
      </c>
      <c r="M53" s="1"/>
      <c r="N53" s="5">
        <f t="shared" si="31"/>
        <v>-7.7406969338549778E-2</v>
      </c>
      <c r="O53" s="14"/>
      <c r="P53" s="1">
        <f>SUM(OSRRefP22_4x_0)</f>
        <v>22050.41</v>
      </c>
      <c r="Q53" s="1"/>
      <c r="R53" s="5">
        <f t="shared" si="32"/>
        <v>4.0169680132143226E-2</v>
      </c>
      <c r="S53" s="1"/>
      <c r="T53" s="1">
        <f>SUM(OSRRefT22_4x_0)</f>
        <v>27266.75</v>
      </c>
      <c r="U53" s="1"/>
      <c r="V53" s="5">
        <f t="shared" si="33"/>
        <v>5.0114411218732197E-2</v>
      </c>
      <c r="W53" s="1"/>
      <c r="X53" s="1">
        <f t="shared" si="34"/>
        <v>-5216.34</v>
      </c>
      <c r="Y53" s="1"/>
      <c r="Z53" s="5">
        <f t="shared" si="35"/>
        <v>-0.19130772827711406</v>
      </c>
    </row>
    <row r="54" spans="1:26" s="24" customFormat="1" hidden="1" outlineLevel="2" x14ac:dyDescent="0.3">
      <c r="A54" s="27"/>
      <c r="B54" s="11" t="str">
        <f>CONCATENATE("          ", "6381", " - ", "BANK/CREDIT CARD FEES")</f>
        <v xml:space="preserve">          6381 - BANK/CREDIT CARD FEES</v>
      </c>
      <c r="C54" s="11"/>
      <c r="D54" s="6">
        <v>5070.1099999999997</v>
      </c>
      <c r="E54" s="2"/>
      <c r="F54" s="7">
        <f t="shared" si="28"/>
        <v>4.3099598034836976E-2</v>
      </c>
      <c r="G54" s="2"/>
      <c r="H54" s="6">
        <v>5495.5</v>
      </c>
      <c r="I54" s="2"/>
      <c r="J54" s="7">
        <f t="shared" si="29"/>
        <v>5.1358373129725333E-2</v>
      </c>
      <c r="K54" s="2"/>
      <c r="L54" s="6">
        <f t="shared" si="30"/>
        <v>-425.39000000000033</v>
      </c>
      <c r="M54" s="2"/>
      <c r="N54" s="7">
        <f t="shared" si="31"/>
        <v>-7.7406969338549778E-2</v>
      </c>
      <c r="O54" s="11"/>
      <c r="P54" s="6">
        <v>22050.41</v>
      </c>
      <c r="Q54" s="2"/>
      <c r="R54" s="7">
        <f t="shared" si="32"/>
        <v>4.0169680132143226E-2</v>
      </c>
      <c r="S54" s="2"/>
      <c r="T54" s="6">
        <v>27266.75</v>
      </c>
      <c r="U54" s="2"/>
      <c r="V54" s="7">
        <f t="shared" si="33"/>
        <v>5.0114411218732197E-2</v>
      </c>
      <c r="W54" s="2"/>
      <c r="X54" s="6">
        <f t="shared" si="34"/>
        <v>-5216.34</v>
      </c>
      <c r="Y54" s="2"/>
      <c r="Z54" s="7">
        <f t="shared" si="35"/>
        <v>-0.19130772827711406</v>
      </c>
    </row>
    <row r="55" spans="1:26" s="29" customFormat="1" outlineLevel="1" collapsed="1" x14ac:dyDescent="0.3">
      <c r="A55" s="28"/>
      <c r="B55" s="14" t="str">
        <f>CONCATENATE("     ","Depreciation                                      ")</f>
        <v xml:space="preserve">     Depreciation                                      </v>
      </c>
      <c r="C55" s="14"/>
      <c r="D55" s="1">
        <f>SUM(OSRRefD22_5x_0)</f>
        <v>39106.79</v>
      </c>
      <c r="E55" s="1"/>
      <c r="F55" s="5">
        <f t="shared" si="28"/>
        <v>0.33243596873298265</v>
      </c>
      <c r="G55" s="1"/>
      <c r="H55" s="1">
        <f>SUM(OSRRefH22_5x_0)</f>
        <v>39107</v>
      </c>
      <c r="I55" s="1"/>
      <c r="J55" s="5">
        <f t="shared" si="29"/>
        <v>0.36547573432520586</v>
      </c>
      <c r="K55" s="1"/>
      <c r="L55" s="1">
        <f t="shared" si="30"/>
        <v>-0.20999999999912689</v>
      </c>
      <c r="M55" s="1"/>
      <c r="N55" s="5">
        <f t="shared" si="31"/>
        <v>-5.3698826296859099E-6</v>
      </c>
      <c r="O55" s="14"/>
      <c r="P55" s="1">
        <f>SUM(OSRRefP22_5x_0)</f>
        <v>198054.45</v>
      </c>
      <c r="Q55" s="1"/>
      <c r="R55" s="5">
        <f t="shared" si="32"/>
        <v>0.36079981756563956</v>
      </c>
      <c r="S55" s="1"/>
      <c r="T55" s="1">
        <f>SUM(OSRRefT22_5x_0)</f>
        <v>198053</v>
      </c>
      <c r="U55" s="1"/>
      <c r="V55" s="5">
        <f t="shared" si="33"/>
        <v>0.36400779282839235</v>
      </c>
      <c r="W55" s="1"/>
      <c r="X55" s="1">
        <f t="shared" si="34"/>
        <v>1.4500000000116415</v>
      </c>
      <c r="Y55" s="1"/>
      <c r="Z55" s="5">
        <f t="shared" si="35"/>
        <v>7.3212725887092925E-6</v>
      </c>
    </row>
    <row r="56" spans="1:26" s="24" customFormat="1" hidden="1" outlineLevel="2" x14ac:dyDescent="0.3">
      <c r="A56" s="27"/>
      <c r="B56" s="11" t="str">
        <f>CONCATENATE("          ", "6321", " - ", "BUILDING DEPRECIATION")</f>
        <v xml:space="preserve">          6321 - BUILDING DEPRECIATION</v>
      </c>
      <c r="C56" s="11"/>
      <c r="D56" s="6">
        <v>28619.91</v>
      </c>
      <c r="E56" s="2"/>
      <c r="F56" s="7">
        <f t="shared" si="28"/>
        <v>0.24328991220963869</v>
      </c>
      <c r="G56" s="2"/>
      <c r="H56" s="6"/>
      <c r="I56" s="2"/>
      <c r="J56" s="7">
        <f t="shared" si="29"/>
        <v>0</v>
      </c>
      <c r="K56" s="2"/>
      <c r="L56" s="6">
        <f t="shared" si="30"/>
        <v>28619.91</v>
      </c>
      <c r="M56" s="2"/>
      <c r="N56" s="7">
        <f t="shared" si="31"/>
        <v>0</v>
      </c>
      <c r="O56" s="11"/>
      <c r="P56" s="6">
        <v>143187.69</v>
      </c>
      <c r="Q56" s="2"/>
      <c r="R56" s="7">
        <f t="shared" si="32"/>
        <v>0.26084792555605468</v>
      </c>
      <c r="S56" s="2"/>
      <c r="T56" s="6"/>
      <c r="U56" s="2"/>
      <c r="V56" s="7">
        <f t="shared" si="33"/>
        <v>0</v>
      </c>
      <c r="W56" s="2"/>
      <c r="X56" s="6">
        <f t="shared" si="34"/>
        <v>143187.69</v>
      </c>
      <c r="Y56" s="2"/>
      <c r="Z56" s="7">
        <f t="shared" si="35"/>
        <v>0</v>
      </c>
    </row>
    <row r="57" spans="1:26" s="24" customFormat="1" hidden="1" outlineLevel="2" x14ac:dyDescent="0.3">
      <c r="A57" s="27"/>
      <c r="B57" s="11" t="str">
        <f>CONCATENATE("          ", "6322", " - ", "EQUIPMENT DEPRECIATION EXPENSE")</f>
        <v xml:space="preserve">          6322 - EQUIPMENT DEPRECIATION EXPENSE</v>
      </c>
      <c r="C57" s="11"/>
      <c r="D57" s="6">
        <v>10486.88</v>
      </c>
      <c r="E57" s="2"/>
      <c r="F57" s="7">
        <f t="shared" si="28"/>
        <v>8.9146056523343911E-2</v>
      </c>
      <c r="G57" s="2"/>
      <c r="H57" s="6">
        <v>39107</v>
      </c>
      <c r="I57" s="2"/>
      <c r="J57" s="7">
        <f t="shared" si="29"/>
        <v>0.36547573432520586</v>
      </c>
      <c r="K57" s="2"/>
      <c r="L57" s="6">
        <f t="shared" si="30"/>
        <v>-28620.120000000003</v>
      </c>
      <c r="M57" s="2"/>
      <c r="N57" s="7">
        <f t="shared" si="31"/>
        <v>-0.73184135832459674</v>
      </c>
      <c r="O57" s="11"/>
      <c r="P57" s="6">
        <v>54866.76</v>
      </c>
      <c r="Q57" s="2"/>
      <c r="R57" s="7">
        <f t="shared" si="32"/>
        <v>9.9951892009584889E-2</v>
      </c>
      <c r="S57" s="2"/>
      <c r="T57" s="6">
        <v>198053</v>
      </c>
      <c r="U57" s="2"/>
      <c r="V57" s="7">
        <f t="shared" si="33"/>
        <v>0.36400779282839235</v>
      </c>
      <c r="W57" s="2"/>
      <c r="X57" s="6">
        <f t="shared" si="34"/>
        <v>-143186.23999999999</v>
      </c>
      <c r="Y57" s="2"/>
      <c r="Z57" s="7">
        <f t="shared" si="35"/>
        <v>-0.72296930619581623</v>
      </c>
    </row>
    <row r="58" spans="1:26" s="29" customFormat="1" outlineLevel="1" collapsed="1" x14ac:dyDescent="0.3">
      <c r="A58" s="28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SUM(OSRRefD22_6x_0)</f>
        <v>0</v>
      </c>
      <c r="E58" s="1"/>
      <c r="F58" s="5">
        <f t="shared" ref="F58:F73" si="36">IF(D$12=0,0,D58/D$12)</f>
        <v>0</v>
      </c>
      <c r="G58" s="1"/>
      <c r="H58" s="1">
        <f>SUM(OSRRefH22_6x_0)</f>
        <v>40</v>
      </c>
      <c r="I58" s="1"/>
      <c r="J58" s="5">
        <f t="shared" ref="J58:J73" si="37">IF(H$12=0,0,H58/H$12)</f>
        <v>3.7382129473005431E-4</v>
      </c>
      <c r="K58" s="1"/>
      <c r="L58" s="1">
        <f t="shared" ref="L58:L73" si="38">+D58-H58</f>
        <v>-40</v>
      </c>
      <c r="M58" s="1"/>
      <c r="N58" s="5">
        <f t="shared" ref="N58:N73" si="39">IF(H58=0,0,L58/H58)</f>
        <v>-1</v>
      </c>
      <c r="O58" s="14"/>
      <c r="P58" s="1">
        <f>SUM(OSRRefP22_6x_0)</f>
        <v>141.16999999999999</v>
      </c>
      <c r="Q58" s="1"/>
      <c r="R58" s="5">
        <f t="shared" ref="R58:R73" si="40">IF(P$12=0,0,P58/P$12)</f>
        <v>2.5717225866796396E-4</v>
      </c>
      <c r="S58" s="1"/>
      <c r="T58" s="1">
        <f>SUM(OSRRefT22_6x_0)</f>
        <v>120</v>
      </c>
      <c r="U58" s="1"/>
      <c r="V58" s="5">
        <f t="shared" ref="V58:V73" si="41">IF(T$12=0,0,T58/T$12)</f>
        <v>2.20551746953629E-4</v>
      </c>
      <c r="W58" s="1"/>
      <c r="X58" s="1">
        <f t="shared" ref="X58:X73" si="42">+P58-T58</f>
        <v>21.169999999999987</v>
      </c>
      <c r="Y58" s="1"/>
      <c r="Z58" s="5">
        <f t="shared" ref="Z58:Z73" si="43">IF(T58=0,0,X58/T58)</f>
        <v>0.17641666666666656</v>
      </c>
    </row>
    <row r="59" spans="1:26" s="24" customFormat="1" hidden="1" outlineLevel="2" x14ac:dyDescent="0.3">
      <c r="A59" s="27"/>
      <c r="B59" s="11" t="str">
        <f>CONCATENATE("          ", "6277", " - ", "EMPLOYEE APPRECIATION")</f>
        <v xml:space="preserve">          6277 - EMPLOYEE APPRECIATION</v>
      </c>
      <c r="C59" s="11"/>
      <c r="D59" s="6"/>
      <c r="E59" s="2"/>
      <c r="F59" s="7">
        <f t="shared" si="36"/>
        <v>0</v>
      </c>
      <c r="G59" s="2"/>
      <c r="H59" s="6">
        <v>40</v>
      </c>
      <c r="I59" s="2"/>
      <c r="J59" s="7">
        <f t="shared" si="37"/>
        <v>3.7382129473005431E-4</v>
      </c>
      <c r="K59" s="2"/>
      <c r="L59" s="6">
        <f t="shared" si="38"/>
        <v>-40</v>
      </c>
      <c r="M59" s="2"/>
      <c r="N59" s="7">
        <f t="shared" si="39"/>
        <v>-1</v>
      </c>
      <c r="O59" s="11"/>
      <c r="P59" s="6">
        <v>141.16999999999999</v>
      </c>
      <c r="Q59" s="2"/>
      <c r="R59" s="7">
        <f t="shared" si="40"/>
        <v>2.5717225866796396E-4</v>
      </c>
      <c r="S59" s="2"/>
      <c r="T59" s="6">
        <v>120</v>
      </c>
      <c r="U59" s="2"/>
      <c r="V59" s="7">
        <f t="shared" si="41"/>
        <v>2.20551746953629E-4</v>
      </c>
      <c r="W59" s="2"/>
      <c r="X59" s="6">
        <f t="shared" si="42"/>
        <v>21.169999999999987</v>
      </c>
      <c r="Y59" s="2"/>
      <c r="Z59" s="7">
        <f t="shared" si="43"/>
        <v>0.17641666666666656</v>
      </c>
    </row>
    <row r="60" spans="1:26" s="29" customFormat="1" outlineLevel="1" collapsed="1" x14ac:dyDescent="0.3">
      <c r="A60" s="28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SUM(OSRRefD22_7x_0)</f>
        <v>726.98</v>
      </c>
      <c r="E60" s="1"/>
      <c r="F60" s="5">
        <f t="shared" si="36"/>
        <v>6.1798552258956491E-3</v>
      </c>
      <c r="G60" s="1"/>
      <c r="H60" s="1">
        <f>SUM(OSRRefH22_7x_0)</f>
        <v>951</v>
      </c>
      <c r="I60" s="1"/>
      <c r="J60" s="5">
        <f t="shared" si="37"/>
        <v>8.8876012822070409E-3</v>
      </c>
      <c r="K60" s="1"/>
      <c r="L60" s="1">
        <f t="shared" si="38"/>
        <v>-224.01999999999998</v>
      </c>
      <c r="M60" s="1"/>
      <c r="N60" s="5">
        <f t="shared" si="39"/>
        <v>-0.23556256572029441</v>
      </c>
      <c r="O60" s="14"/>
      <c r="P60" s="1">
        <f>SUM(OSRRefP22_7x_0)</f>
        <v>3651.39</v>
      </c>
      <c r="Q60" s="1"/>
      <c r="R60" s="5">
        <f t="shared" si="40"/>
        <v>6.6518113875300476E-3</v>
      </c>
      <c r="S60" s="1"/>
      <c r="T60" s="1">
        <f>SUM(OSRRefT22_7x_0)</f>
        <v>4755</v>
      </c>
      <c r="U60" s="1"/>
      <c r="V60" s="5">
        <f t="shared" si="41"/>
        <v>8.7393629730375486E-3</v>
      </c>
      <c r="W60" s="1"/>
      <c r="X60" s="1">
        <f t="shared" si="42"/>
        <v>-1103.6100000000001</v>
      </c>
      <c r="Y60" s="1"/>
      <c r="Z60" s="5">
        <f t="shared" si="43"/>
        <v>-0.2320946372239748</v>
      </c>
    </row>
    <row r="61" spans="1:26" s="24" customFormat="1" hidden="1" outlineLevel="2" x14ac:dyDescent="0.3">
      <c r="A61" s="27"/>
      <c r="B61" s="11" t="str">
        <f>CONCATENATE("          ", "6351", " - ", "EQUIPMENT RENTAL")</f>
        <v xml:space="preserve">          6351 - EQUIPMENT RENTAL</v>
      </c>
      <c r="C61" s="11"/>
      <c r="D61" s="6">
        <v>726.98</v>
      </c>
      <c r="E61" s="2"/>
      <c r="F61" s="7">
        <f t="shared" si="36"/>
        <v>6.1798552258956491E-3</v>
      </c>
      <c r="G61" s="2"/>
      <c r="H61" s="6">
        <v>951</v>
      </c>
      <c r="I61" s="2"/>
      <c r="J61" s="7">
        <f t="shared" si="37"/>
        <v>8.8876012822070409E-3</v>
      </c>
      <c r="K61" s="2"/>
      <c r="L61" s="6">
        <f t="shared" si="38"/>
        <v>-224.01999999999998</v>
      </c>
      <c r="M61" s="2"/>
      <c r="N61" s="7">
        <f t="shared" si="39"/>
        <v>-0.23556256572029441</v>
      </c>
      <c r="O61" s="11"/>
      <c r="P61" s="6">
        <v>3651.39</v>
      </c>
      <c r="Q61" s="2"/>
      <c r="R61" s="7">
        <f t="shared" si="40"/>
        <v>6.6518113875300476E-3</v>
      </c>
      <c r="S61" s="2"/>
      <c r="T61" s="6">
        <v>4755</v>
      </c>
      <c r="U61" s="2"/>
      <c r="V61" s="7">
        <f t="shared" si="41"/>
        <v>8.7393629730375486E-3</v>
      </c>
      <c r="W61" s="2"/>
      <c r="X61" s="6">
        <f t="shared" si="42"/>
        <v>-1103.6100000000001</v>
      </c>
      <c r="Y61" s="2"/>
      <c r="Z61" s="7">
        <f t="shared" si="43"/>
        <v>-0.2320946372239748</v>
      </c>
    </row>
    <row r="62" spans="1:26" s="29" customFormat="1" outlineLevel="1" collapsed="1" x14ac:dyDescent="0.3">
      <c r="A62" s="28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SUM(OSRRefD22_8x_0)</f>
        <v>547.19000000000005</v>
      </c>
      <c r="E62" s="1"/>
      <c r="F62" s="5">
        <f t="shared" si="36"/>
        <v>4.6515103318631058E-3</v>
      </c>
      <c r="G62" s="1"/>
      <c r="H62" s="1">
        <f>SUM(OSRRefH22_8x_0)</f>
        <v>0</v>
      </c>
      <c r="I62" s="1"/>
      <c r="J62" s="5">
        <f t="shared" si="37"/>
        <v>0</v>
      </c>
      <c r="K62" s="1"/>
      <c r="L62" s="1">
        <f t="shared" si="38"/>
        <v>547.19000000000005</v>
      </c>
      <c r="M62" s="1"/>
      <c r="N62" s="5">
        <f t="shared" si="39"/>
        <v>0</v>
      </c>
      <c r="O62" s="14"/>
      <c r="P62" s="1">
        <f>SUM(OSRRefP22_8x_0)</f>
        <v>16249.45</v>
      </c>
      <c r="Q62" s="1"/>
      <c r="R62" s="5">
        <f t="shared" si="40"/>
        <v>2.9601953379699279E-2</v>
      </c>
      <c r="S62" s="1"/>
      <c r="T62" s="1">
        <f>SUM(OSRRefT22_8x_0)</f>
        <v>3535</v>
      </c>
      <c r="U62" s="1"/>
      <c r="V62" s="5">
        <f t="shared" si="41"/>
        <v>6.4970868790089871E-3</v>
      </c>
      <c r="W62" s="1"/>
      <c r="X62" s="1">
        <f t="shared" si="42"/>
        <v>12714.45</v>
      </c>
      <c r="Y62" s="1"/>
      <c r="Z62" s="5">
        <f t="shared" si="43"/>
        <v>3.596732673267327</v>
      </c>
    </row>
    <row r="63" spans="1:26" s="24" customFormat="1" hidden="1" outlineLevel="2" x14ac:dyDescent="0.3">
      <c r="A63" s="27"/>
      <c r="B63" s="11" t="str">
        <f>CONCATENATE("          ", "6279", " - ", "GENERAL EXPENSE")</f>
        <v xml:space="preserve">          6279 - GENERAL EXPENSE</v>
      </c>
      <c r="C63" s="11"/>
      <c r="D63" s="6">
        <v>547.19000000000005</v>
      </c>
      <c r="E63" s="2"/>
      <c r="F63" s="7">
        <f t="shared" si="36"/>
        <v>4.6515103318631058E-3</v>
      </c>
      <c r="G63" s="2"/>
      <c r="H63" s="6"/>
      <c r="I63" s="2"/>
      <c r="J63" s="7">
        <f t="shared" si="37"/>
        <v>0</v>
      </c>
      <c r="K63" s="2"/>
      <c r="L63" s="6">
        <f t="shared" si="38"/>
        <v>547.19000000000005</v>
      </c>
      <c r="M63" s="2"/>
      <c r="N63" s="7">
        <f t="shared" si="39"/>
        <v>0</v>
      </c>
      <c r="O63" s="11"/>
      <c r="P63" s="6">
        <v>16249.45</v>
      </c>
      <c r="Q63" s="2"/>
      <c r="R63" s="7">
        <f t="shared" si="40"/>
        <v>2.9601953379699279E-2</v>
      </c>
      <c r="S63" s="2"/>
      <c r="T63" s="6">
        <v>3535</v>
      </c>
      <c r="U63" s="2"/>
      <c r="V63" s="7">
        <f t="shared" si="41"/>
        <v>6.4970868790089871E-3</v>
      </c>
      <c r="W63" s="2"/>
      <c r="X63" s="6">
        <f t="shared" si="42"/>
        <v>12714.45</v>
      </c>
      <c r="Y63" s="2"/>
      <c r="Z63" s="7">
        <f t="shared" si="43"/>
        <v>3.596732673267327</v>
      </c>
    </row>
    <row r="64" spans="1:26" s="29" customFormat="1" outlineLevel="1" collapsed="1" x14ac:dyDescent="0.3">
      <c r="A64" s="28"/>
      <c r="B64" s="14" t="str">
        <f>CONCATENATE("     ","Insurance                                         ")</f>
        <v xml:space="preserve">     Insurance                                         </v>
      </c>
      <c r="C64" s="14"/>
      <c r="D64" s="1">
        <f>SUM(OSRRefD22_9x_0)</f>
        <v>6087.22</v>
      </c>
      <c r="E64" s="1"/>
      <c r="F64" s="5">
        <f t="shared" si="36"/>
        <v>5.1745767872811516E-2</v>
      </c>
      <c r="G64" s="1"/>
      <c r="H64" s="1">
        <f>SUM(OSRRefH22_9x_0)</f>
        <v>6000</v>
      </c>
      <c r="I64" s="1"/>
      <c r="J64" s="5">
        <f t="shared" si="37"/>
        <v>5.6073194209508147E-2</v>
      </c>
      <c r="K64" s="1"/>
      <c r="L64" s="1">
        <f t="shared" si="38"/>
        <v>87.220000000000255</v>
      </c>
      <c r="M64" s="1"/>
      <c r="N64" s="5">
        <f t="shared" si="39"/>
        <v>1.453666666666671E-2</v>
      </c>
      <c r="O64" s="14"/>
      <c r="P64" s="1">
        <f>SUM(OSRRefP22_9x_0)</f>
        <v>37319.1</v>
      </c>
      <c r="Q64" s="1"/>
      <c r="R64" s="5">
        <f t="shared" si="40"/>
        <v>6.7984963083201913E-2</v>
      </c>
      <c r="S64" s="1"/>
      <c r="T64" s="1">
        <f>SUM(OSRRefT22_9x_0)</f>
        <v>30000</v>
      </c>
      <c r="U64" s="1"/>
      <c r="V64" s="5">
        <f t="shared" si="41"/>
        <v>5.5137936738407251E-2</v>
      </c>
      <c r="W64" s="1"/>
      <c r="X64" s="1">
        <f t="shared" si="42"/>
        <v>7319.0999999999985</v>
      </c>
      <c r="Y64" s="1"/>
      <c r="Z64" s="5">
        <f t="shared" si="43"/>
        <v>0.24396999999999996</v>
      </c>
    </row>
    <row r="65" spans="1:26" s="24" customFormat="1" hidden="1" outlineLevel="2" x14ac:dyDescent="0.3">
      <c r="A65" s="27"/>
      <c r="B65" s="11" t="str">
        <f>CONCATENATE("          ", "6314", " - ", "LIABILITY INSURANCE")</f>
        <v xml:space="preserve">          6314 - LIABILITY INSURANCE</v>
      </c>
      <c r="C65" s="11"/>
      <c r="D65" s="6">
        <v>6087.22</v>
      </c>
      <c r="E65" s="2"/>
      <c r="F65" s="7">
        <f t="shared" si="36"/>
        <v>5.1745767872811516E-2</v>
      </c>
      <c r="G65" s="2"/>
      <c r="H65" s="6">
        <v>6000</v>
      </c>
      <c r="I65" s="2"/>
      <c r="J65" s="7">
        <f t="shared" si="37"/>
        <v>5.6073194209508147E-2</v>
      </c>
      <c r="K65" s="2"/>
      <c r="L65" s="6">
        <f t="shared" si="38"/>
        <v>87.220000000000255</v>
      </c>
      <c r="M65" s="2"/>
      <c r="N65" s="7">
        <f t="shared" si="39"/>
        <v>1.453666666666671E-2</v>
      </c>
      <c r="O65" s="11"/>
      <c r="P65" s="6">
        <v>37319.1</v>
      </c>
      <c r="Q65" s="2"/>
      <c r="R65" s="7">
        <f t="shared" si="40"/>
        <v>6.7984963083201913E-2</v>
      </c>
      <c r="S65" s="2"/>
      <c r="T65" s="6">
        <v>30000</v>
      </c>
      <c r="U65" s="2"/>
      <c r="V65" s="7">
        <f t="shared" si="41"/>
        <v>5.5137936738407251E-2</v>
      </c>
      <c r="W65" s="2"/>
      <c r="X65" s="6">
        <f t="shared" si="42"/>
        <v>7319.0999999999985</v>
      </c>
      <c r="Y65" s="2"/>
      <c r="Z65" s="7">
        <f t="shared" si="43"/>
        <v>0.24396999999999996</v>
      </c>
    </row>
    <row r="66" spans="1:26" s="29" customFormat="1" outlineLevel="1" collapsed="1" x14ac:dyDescent="0.3">
      <c r="A66" s="28"/>
      <c r="B66" s="14" t="str">
        <f>CONCATENATE("     ","Interest                                          ")</f>
        <v xml:space="preserve">     Interest                                          </v>
      </c>
      <c r="C66" s="14"/>
      <c r="D66" s="1">
        <f>SUM(OSRRefD22_10x_0)</f>
        <v>11158</v>
      </c>
      <c r="E66" s="1"/>
      <c r="F66" s="5">
        <f t="shared" si="36"/>
        <v>9.4851061391707681E-2</v>
      </c>
      <c r="G66" s="1"/>
      <c r="H66" s="1">
        <f>SUM(OSRRefH22_10x_0)</f>
        <v>11158</v>
      </c>
      <c r="I66" s="1"/>
      <c r="J66" s="5">
        <f t="shared" si="37"/>
        <v>0.10427745016494865</v>
      </c>
      <c r="K66" s="1"/>
      <c r="L66" s="1">
        <f t="shared" si="38"/>
        <v>0</v>
      </c>
      <c r="M66" s="1"/>
      <c r="N66" s="5">
        <f t="shared" si="39"/>
        <v>0</v>
      </c>
      <c r="O66" s="14"/>
      <c r="P66" s="1">
        <f>SUM(OSRRefP22_10x_0)</f>
        <v>55000</v>
      </c>
      <c r="Q66" s="1"/>
      <c r="R66" s="5">
        <f t="shared" si="40"/>
        <v>0.10019461802605382</v>
      </c>
      <c r="S66" s="1"/>
      <c r="T66" s="1">
        <f>SUM(OSRRefT22_10x_0)</f>
        <v>55790</v>
      </c>
      <c r="U66" s="1"/>
      <c r="V66" s="5">
        <f t="shared" si="41"/>
        <v>0.10253818302119135</v>
      </c>
      <c r="W66" s="1"/>
      <c r="X66" s="1">
        <f t="shared" si="42"/>
        <v>-790</v>
      </c>
      <c r="Y66" s="1"/>
      <c r="Z66" s="5">
        <f t="shared" si="43"/>
        <v>-1.4160243771285176E-2</v>
      </c>
    </row>
    <row r="67" spans="1:26" s="24" customFormat="1" hidden="1" outlineLevel="2" x14ac:dyDescent="0.3">
      <c r="A67" s="27"/>
      <c r="B67" s="11" t="str">
        <f>CONCATENATE("          ", "6401", " - ", "INTEREST EXPENSE")</f>
        <v xml:space="preserve">          6401 - INTEREST EXPENSE</v>
      </c>
      <c r="C67" s="11"/>
      <c r="D67" s="6">
        <v>11158</v>
      </c>
      <c r="E67" s="2"/>
      <c r="F67" s="7">
        <f t="shared" si="36"/>
        <v>9.4851061391707681E-2</v>
      </c>
      <c r="G67" s="2"/>
      <c r="H67" s="6">
        <v>11158</v>
      </c>
      <c r="I67" s="2"/>
      <c r="J67" s="7">
        <f t="shared" si="37"/>
        <v>0.10427745016494865</v>
      </c>
      <c r="K67" s="2"/>
      <c r="L67" s="6">
        <f t="shared" si="38"/>
        <v>0</v>
      </c>
      <c r="M67" s="2"/>
      <c r="N67" s="7">
        <f t="shared" si="39"/>
        <v>0</v>
      </c>
      <c r="O67" s="11"/>
      <c r="P67" s="6">
        <v>55000</v>
      </c>
      <c r="Q67" s="2"/>
      <c r="R67" s="7">
        <f t="shared" si="40"/>
        <v>0.10019461802605382</v>
      </c>
      <c r="S67" s="2"/>
      <c r="T67" s="6">
        <v>55790</v>
      </c>
      <c r="U67" s="2"/>
      <c r="V67" s="7">
        <f t="shared" si="41"/>
        <v>0.10253818302119135</v>
      </c>
      <c r="W67" s="2"/>
      <c r="X67" s="6">
        <f t="shared" si="42"/>
        <v>-790</v>
      </c>
      <c r="Y67" s="2"/>
      <c r="Z67" s="7">
        <f t="shared" si="43"/>
        <v>-1.4160243771285176E-2</v>
      </c>
    </row>
    <row r="68" spans="1:26" s="29" customFormat="1" outlineLevel="1" collapsed="1" x14ac:dyDescent="0.3">
      <c r="A68" s="28"/>
      <c r="B68" s="14" t="str">
        <f>CONCATENATE("     ","Rent                                              ")</f>
        <v xml:space="preserve">     Rent                                              </v>
      </c>
      <c r="C68" s="14"/>
      <c r="D68" s="1">
        <f>SUM(OSRRefD22_11x_0)</f>
        <v>1850</v>
      </c>
      <c r="E68" s="1"/>
      <c r="F68" s="5">
        <f t="shared" si="36"/>
        <v>1.5726336581346048E-2</v>
      </c>
      <c r="G68" s="1"/>
      <c r="H68" s="1">
        <f>SUM(OSRRefH22_11x_0)</f>
        <v>1850</v>
      </c>
      <c r="I68" s="1"/>
      <c r="J68" s="5">
        <f t="shared" si="37"/>
        <v>1.7289234881265013E-2</v>
      </c>
      <c r="K68" s="1"/>
      <c r="L68" s="1">
        <f t="shared" si="38"/>
        <v>0</v>
      </c>
      <c r="M68" s="1"/>
      <c r="N68" s="5">
        <f t="shared" si="39"/>
        <v>0</v>
      </c>
      <c r="O68" s="14"/>
      <c r="P68" s="1">
        <f>SUM(OSRRefP22_11x_0)</f>
        <v>9250</v>
      </c>
      <c r="Q68" s="1"/>
      <c r="R68" s="5">
        <f t="shared" si="40"/>
        <v>1.6850913031654507E-2</v>
      </c>
      <c r="S68" s="1"/>
      <c r="T68" s="1">
        <f>SUM(OSRRefT22_11x_0)</f>
        <v>9250</v>
      </c>
      <c r="U68" s="1"/>
      <c r="V68" s="5">
        <f t="shared" si="41"/>
        <v>1.7000863827675568E-2</v>
      </c>
      <c r="W68" s="1"/>
      <c r="X68" s="1">
        <f t="shared" si="42"/>
        <v>0</v>
      </c>
      <c r="Y68" s="1"/>
      <c r="Z68" s="5">
        <f t="shared" si="43"/>
        <v>0</v>
      </c>
    </row>
    <row r="69" spans="1:26" s="24" customFormat="1" hidden="1" outlineLevel="2" x14ac:dyDescent="0.3">
      <c r="A69" s="27"/>
      <c r="B69" s="11" t="str">
        <f>CONCATENATE("          ", "6273", " - ", "RENT")</f>
        <v xml:space="preserve">          6273 - RENT</v>
      </c>
      <c r="C69" s="11"/>
      <c r="D69" s="6">
        <v>1850</v>
      </c>
      <c r="E69" s="2"/>
      <c r="F69" s="7">
        <f t="shared" si="36"/>
        <v>1.5726336581346048E-2</v>
      </c>
      <c r="G69" s="2"/>
      <c r="H69" s="6">
        <v>1850</v>
      </c>
      <c r="I69" s="2"/>
      <c r="J69" s="7">
        <f t="shared" si="37"/>
        <v>1.7289234881265013E-2</v>
      </c>
      <c r="K69" s="2"/>
      <c r="L69" s="6">
        <f t="shared" si="38"/>
        <v>0</v>
      </c>
      <c r="M69" s="2"/>
      <c r="N69" s="7">
        <f t="shared" si="39"/>
        <v>0</v>
      </c>
      <c r="O69" s="11"/>
      <c r="P69" s="6">
        <v>9250</v>
      </c>
      <c r="Q69" s="2"/>
      <c r="R69" s="7">
        <f t="shared" si="40"/>
        <v>1.6850913031654507E-2</v>
      </c>
      <c r="S69" s="2"/>
      <c r="T69" s="6">
        <v>9250</v>
      </c>
      <c r="U69" s="2"/>
      <c r="V69" s="7">
        <f t="shared" si="41"/>
        <v>1.7000863827675568E-2</v>
      </c>
      <c r="W69" s="2"/>
      <c r="X69" s="6">
        <f t="shared" si="42"/>
        <v>0</v>
      </c>
      <c r="Y69" s="2"/>
      <c r="Z69" s="7">
        <f t="shared" si="43"/>
        <v>0</v>
      </c>
    </row>
    <row r="70" spans="1:26" s="29" customFormat="1" outlineLevel="1" collapsed="1" x14ac:dyDescent="0.3">
      <c r="A70" s="28"/>
      <c r="B70" s="14" t="str">
        <f>CONCATENATE("     ","Repair and Maintenance                            ")</f>
        <v xml:space="preserve">     Repair and Maintenance                            </v>
      </c>
      <c r="C70" s="14"/>
      <c r="D70" s="1">
        <f>SUM(OSRRefD22_12x_0)</f>
        <v>5673.9500000000007</v>
      </c>
      <c r="E70" s="1"/>
      <c r="F70" s="5">
        <f t="shared" si="36"/>
        <v>4.8232674294988336E-2</v>
      </c>
      <c r="G70" s="1"/>
      <c r="H70" s="1">
        <f>SUM(OSRRefH22_12x_0)</f>
        <v>2303</v>
      </c>
      <c r="I70" s="1"/>
      <c r="J70" s="5">
        <f t="shared" si="37"/>
        <v>2.1522761044082878E-2</v>
      </c>
      <c r="K70" s="1"/>
      <c r="L70" s="1">
        <f t="shared" si="38"/>
        <v>3370.9500000000007</v>
      </c>
      <c r="M70" s="1"/>
      <c r="N70" s="5">
        <f t="shared" si="39"/>
        <v>1.463721233174121</v>
      </c>
      <c r="O70" s="14"/>
      <c r="P70" s="1">
        <f>SUM(OSRRefP22_12x_0)</f>
        <v>44550.239999999998</v>
      </c>
      <c r="Q70" s="1"/>
      <c r="R70" s="5">
        <f t="shared" si="40"/>
        <v>8.1158077813982252E-2</v>
      </c>
      <c r="S70" s="1"/>
      <c r="T70" s="1">
        <f>SUM(OSRRefT22_12x_0)</f>
        <v>27904</v>
      </c>
      <c r="U70" s="1"/>
      <c r="V70" s="5">
        <f t="shared" si="41"/>
        <v>5.1285632891617194E-2</v>
      </c>
      <c r="W70" s="1"/>
      <c r="X70" s="1">
        <f t="shared" si="42"/>
        <v>16646.239999999998</v>
      </c>
      <c r="Y70" s="1"/>
      <c r="Z70" s="5">
        <f t="shared" si="43"/>
        <v>0.59655389908256873</v>
      </c>
    </row>
    <row r="71" spans="1:26" s="24" customFormat="1" hidden="1" outlineLevel="2" x14ac:dyDescent="0.3">
      <c r="A71" s="27"/>
      <c r="B71" s="11" t="str">
        <f>CONCATENATE("          ", "6371", " - ", "COMPUTER SOFTWARE MAINTENANCE")</f>
        <v xml:space="preserve">          6371 - COMPUTER SOFTWARE MAINTENANCE</v>
      </c>
      <c r="C71" s="11"/>
      <c r="D71" s="6">
        <v>380.32</v>
      </c>
      <c r="E71" s="2"/>
      <c r="F71" s="7">
        <f t="shared" si="36"/>
        <v>3.2329947722256913E-3</v>
      </c>
      <c r="G71" s="2"/>
      <c r="H71" s="6"/>
      <c r="I71" s="2"/>
      <c r="J71" s="7">
        <f t="shared" si="37"/>
        <v>0</v>
      </c>
      <c r="K71" s="2"/>
      <c r="L71" s="6">
        <f t="shared" si="38"/>
        <v>380.32</v>
      </c>
      <c r="M71" s="2"/>
      <c r="N71" s="7">
        <f t="shared" si="39"/>
        <v>0</v>
      </c>
      <c r="O71" s="11"/>
      <c r="P71" s="6">
        <v>5717.72</v>
      </c>
      <c r="Q71" s="2"/>
      <c r="R71" s="7">
        <f t="shared" si="40"/>
        <v>1.0416086752362335E-2</v>
      </c>
      <c r="S71" s="2"/>
      <c r="T71" s="6">
        <v>2623</v>
      </c>
      <c r="U71" s="2"/>
      <c r="V71" s="7">
        <f t="shared" si="41"/>
        <v>4.8208936021614072E-3</v>
      </c>
      <c r="W71" s="2"/>
      <c r="X71" s="6">
        <f t="shared" si="42"/>
        <v>3094.7200000000003</v>
      </c>
      <c r="Y71" s="2"/>
      <c r="Z71" s="7">
        <f t="shared" si="43"/>
        <v>1.1798398780022876</v>
      </c>
    </row>
    <row r="72" spans="1:26" s="24" customFormat="1" hidden="1" outlineLevel="2" x14ac:dyDescent="0.3">
      <c r="A72" s="27"/>
      <c r="B72" s="11" t="str">
        <f>CONCATENATE("          ", "6373", " - ", "MAINTENANCE CONTRACTS")</f>
        <v xml:space="preserve">          6373 - MAINTENANCE CONTRACTS</v>
      </c>
      <c r="C72" s="11"/>
      <c r="D72" s="6">
        <v>2846.3</v>
      </c>
      <c r="E72" s="2"/>
      <c r="F72" s="7">
        <f t="shared" si="36"/>
        <v>2.4195606384586628E-2</v>
      </c>
      <c r="G72" s="2"/>
      <c r="H72" s="6">
        <v>400</v>
      </c>
      <c r="I72" s="2"/>
      <c r="J72" s="7">
        <f t="shared" si="37"/>
        <v>3.738212947300543E-3</v>
      </c>
      <c r="K72" s="2"/>
      <c r="L72" s="6">
        <f t="shared" si="38"/>
        <v>2446.3000000000002</v>
      </c>
      <c r="M72" s="2"/>
      <c r="N72" s="7">
        <f t="shared" si="39"/>
        <v>6.1157500000000002</v>
      </c>
      <c r="O72" s="11"/>
      <c r="P72" s="6">
        <v>6863.08</v>
      </c>
      <c r="Q72" s="2"/>
      <c r="R72" s="7">
        <f t="shared" si="40"/>
        <v>1.2502612346949989E-2</v>
      </c>
      <c r="S72" s="2"/>
      <c r="T72" s="6">
        <v>3158</v>
      </c>
      <c r="U72" s="2"/>
      <c r="V72" s="7">
        <f t="shared" si="41"/>
        <v>5.8041868073296695E-3</v>
      </c>
      <c r="W72" s="2"/>
      <c r="X72" s="6">
        <f t="shared" si="42"/>
        <v>3705.08</v>
      </c>
      <c r="Y72" s="2"/>
      <c r="Z72" s="7">
        <f t="shared" si="43"/>
        <v>1.1732362254591513</v>
      </c>
    </row>
    <row r="73" spans="1:26" s="24" customFormat="1" hidden="1" outlineLevel="2" x14ac:dyDescent="0.3">
      <c r="A73" s="27"/>
      <c r="B73" s="11" t="str">
        <f>CONCATENATE("          ", "6375", " - ", "OUTSIDE REPAIRS &amp; MAINTENANCE")</f>
        <v xml:space="preserve">          6375 - OUTSIDE REPAIRS &amp; MAINTENANCE</v>
      </c>
      <c r="C73" s="11"/>
      <c r="D73" s="6">
        <v>2447.33</v>
      </c>
      <c r="E73" s="2"/>
      <c r="F73" s="7">
        <f t="shared" si="36"/>
        <v>2.0804073138176015E-2</v>
      </c>
      <c r="G73" s="2"/>
      <c r="H73" s="6">
        <v>1903</v>
      </c>
      <c r="I73" s="2"/>
      <c r="J73" s="7">
        <f t="shared" si="37"/>
        <v>1.7784548096782333E-2</v>
      </c>
      <c r="K73" s="2"/>
      <c r="L73" s="6">
        <f t="shared" si="38"/>
        <v>544.32999999999993</v>
      </c>
      <c r="M73" s="2"/>
      <c r="N73" s="7">
        <f t="shared" si="39"/>
        <v>0.28603783499737251</v>
      </c>
      <c r="O73" s="11"/>
      <c r="P73" s="6">
        <v>31969.439999999999</v>
      </c>
      <c r="Q73" s="2"/>
      <c r="R73" s="7">
        <f t="shared" si="40"/>
        <v>5.8239378714669922E-2</v>
      </c>
      <c r="S73" s="2"/>
      <c r="T73" s="6">
        <v>22123</v>
      </c>
      <c r="U73" s="2"/>
      <c r="V73" s="7">
        <f t="shared" si="41"/>
        <v>4.0660552482126119E-2</v>
      </c>
      <c r="W73" s="2"/>
      <c r="X73" s="6">
        <f t="shared" si="42"/>
        <v>9846.4399999999987</v>
      </c>
      <c r="Y73" s="2"/>
      <c r="Z73" s="7">
        <f t="shared" si="43"/>
        <v>0.44507706911359213</v>
      </c>
    </row>
    <row r="74" spans="1:26" s="29" customFormat="1" outlineLevel="1" collapsed="1" x14ac:dyDescent="0.3">
      <c r="A74" s="28"/>
      <c r="B74" s="14" t="str">
        <f>CONCATENATE("     ","Royalty &amp; Commissions                             ")</f>
        <v xml:space="preserve">     Royalty &amp; Commissions                             </v>
      </c>
      <c r="C74" s="14"/>
      <c r="D74" s="1">
        <f>SUM(OSRRefD22_13x_0)</f>
        <v>366.22</v>
      </c>
      <c r="E74" s="1"/>
      <c r="F74" s="5">
        <f t="shared" ref="F74:F76" si="44">IF(D$12=0,0,D74/D$12)</f>
        <v>3.1131345853084055E-3</v>
      </c>
      <c r="G74" s="1"/>
      <c r="H74" s="1">
        <f>SUM(OSRRefH22_13x_0)</f>
        <v>649</v>
      </c>
      <c r="I74" s="1"/>
      <c r="J74" s="5">
        <f t="shared" ref="J74:J76" si="45">IF(H$12=0,0,H74/H$12)</f>
        <v>6.0652505069951311E-3</v>
      </c>
      <c r="K74" s="1"/>
      <c r="L74" s="1">
        <f t="shared" ref="L74:L76" si="46">+D74-H74</f>
        <v>-282.77999999999997</v>
      </c>
      <c r="M74" s="1"/>
      <c r="N74" s="5">
        <f t="shared" ref="N74:N76" si="47">IF(H74=0,0,L74/H74)</f>
        <v>-0.43571648690292752</v>
      </c>
      <c r="O74" s="14"/>
      <c r="P74" s="1">
        <f>SUM(OSRRefP22_13x_0)</f>
        <v>1432.44</v>
      </c>
      <c r="Q74" s="1"/>
      <c r="R74" s="5">
        <f t="shared" ref="R74:R76" si="48">IF(P$12=0,0,P74/P$12)</f>
        <v>2.6095050662771008E-3</v>
      </c>
      <c r="S74" s="1"/>
      <c r="T74" s="1">
        <f>SUM(OSRRefT22_13x_0)</f>
        <v>3660</v>
      </c>
      <c r="U74" s="1"/>
      <c r="V74" s="5">
        <f t="shared" ref="V74:V76" si="49">IF(T$12=0,0,T74/T$12)</f>
        <v>6.7268282820856845E-3</v>
      </c>
      <c r="W74" s="1"/>
      <c r="X74" s="1">
        <f t="shared" ref="X74:X76" si="50">+P74-T74</f>
        <v>-2227.56</v>
      </c>
      <c r="Y74" s="1"/>
      <c r="Z74" s="5">
        <f t="shared" ref="Z74:Z76" si="51">IF(T74=0,0,X74/T74)</f>
        <v>-0.6086229508196721</v>
      </c>
    </row>
    <row r="75" spans="1:26" s="24" customFormat="1" hidden="1" outlineLevel="2" x14ac:dyDescent="0.3">
      <c r="A75" s="27"/>
      <c r="B75" s="11" t="str">
        <f>CONCATENATE("          ", "6254", " - ", "ROYALTY &amp; COMMISSIONS")</f>
        <v xml:space="preserve">          6254 - ROYALTY &amp; COMMISSIONS</v>
      </c>
      <c r="C75" s="11"/>
      <c r="D75" s="6">
        <v>366.22</v>
      </c>
      <c r="E75" s="2"/>
      <c r="F75" s="7">
        <f t="shared" si="44"/>
        <v>3.1131345853084055E-3</v>
      </c>
      <c r="G75" s="2"/>
      <c r="H75" s="6"/>
      <c r="I75" s="2"/>
      <c r="J75" s="7">
        <f t="shared" si="45"/>
        <v>0</v>
      </c>
      <c r="K75" s="2"/>
      <c r="L75" s="6">
        <f t="shared" si="46"/>
        <v>366.22</v>
      </c>
      <c r="M75" s="2"/>
      <c r="N75" s="7">
        <f t="shared" si="47"/>
        <v>0</v>
      </c>
      <c r="O75" s="11"/>
      <c r="P75" s="6">
        <v>1432.44</v>
      </c>
      <c r="Q75" s="2"/>
      <c r="R75" s="7">
        <f t="shared" si="48"/>
        <v>2.6095050662771008E-3</v>
      </c>
      <c r="S75" s="2"/>
      <c r="T75" s="6"/>
      <c r="U75" s="2"/>
      <c r="V75" s="7">
        <f t="shared" si="49"/>
        <v>0</v>
      </c>
      <c r="W75" s="2"/>
      <c r="X75" s="6">
        <f t="shared" si="50"/>
        <v>1432.44</v>
      </c>
      <c r="Y75" s="2"/>
      <c r="Z75" s="7">
        <f t="shared" si="51"/>
        <v>0</v>
      </c>
    </row>
    <row r="76" spans="1:26" s="24" customFormat="1" hidden="1" outlineLevel="2" x14ac:dyDescent="0.3">
      <c r="A76" s="27"/>
      <c r="B76" s="11" t="str">
        <f>CONCATENATE("          ", "6259", " - ", "ROYALTY &amp; COMMISSIONS")</f>
        <v xml:space="preserve">          6259 - ROYALTY &amp; COMMISSIONS</v>
      </c>
      <c r="C76" s="11"/>
      <c r="D76" s="6"/>
      <c r="E76" s="2"/>
      <c r="F76" s="7">
        <f t="shared" si="44"/>
        <v>0</v>
      </c>
      <c r="G76" s="2"/>
      <c r="H76" s="6">
        <v>649</v>
      </c>
      <c r="I76" s="2"/>
      <c r="J76" s="7">
        <f t="shared" si="45"/>
        <v>6.0652505069951311E-3</v>
      </c>
      <c r="K76" s="2"/>
      <c r="L76" s="6">
        <f t="shared" si="46"/>
        <v>-649</v>
      </c>
      <c r="M76" s="2"/>
      <c r="N76" s="7">
        <f t="shared" si="47"/>
        <v>-1</v>
      </c>
      <c r="O76" s="11"/>
      <c r="P76" s="6"/>
      <c r="Q76" s="2"/>
      <c r="R76" s="7">
        <f t="shared" si="48"/>
        <v>0</v>
      </c>
      <c r="S76" s="2"/>
      <c r="T76" s="6">
        <v>3660</v>
      </c>
      <c r="U76" s="2"/>
      <c r="V76" s="7">
        <f t="shared" si="49"/>
        <v>6.7268282820856845E-3</v>
      </c>
      <c r="W76" s="2"/>
      <c r="X76" s="6">
        <f t="shared" si="50"/>
        <v>-3660</v>
      </c>
      <c r="Y76" s="2"/>
      <c r="Z76" s="7">
        <f t="shared" si="51"/>
        <v>-1</v>
      </c>
    </row>
    <row r="77" spans="1:26" s="29" customFormat="1" outlineLevel="1" collapsed="1" x14ac:dyDescent="0.3">
      <c r="A77" s="28"/>
      <c r="B77" s="14" t="str">
        <f>CONCATENATE("     ","Services                                          ")</f>
        <v xml:space="preserve">     Services                                          </v>
      </c>
      <c r="C77" s="14"/>
      <c r="D77" s="1">
        <f>SUM(OSRRefD22_14x_0)</f>
        <v>5133.12</v>
      </c>
      <c r="E77" s="1"/>
      <c r="F77" s="5">
        <f t="shared" ref="F77:F82" si="52">IF(D$12=0,0,D77/D$12)</f>
        <v>4.3635228558075154E-2</v>
      </c>
      <c r="G77" s="1"/>
      <c r="H77" s="1">
        <f>SUM(OSRRefH22_14x_0)</f>
        <v>11287</v>
      </c>
      <c r="I77" s="1"/>
      <c r="J77" s="5">
        <f t="shared" ref="J77:J82" si="53">IF(H$12=0,0,H77/H$12)</f>
        <v>0.10548302384045308</v>
      </c>
      <c r="K77" s="1"/>
      <c r="L77" s="1">
        <f t="shared" ref="L77:L82" si="54">+D77-H77</f>
        <v>-6153.88</v>
      </c>
      <c r="M77" s="1"/>
      <c r="N77" s="5">
        <f t="shared" ref="N77:N82" si="55">IF(H77=0,0,L77/H77)</f>
        <v>-0.5452183928413219</v>
      </c>
      <c r="O77" s="14"/>
      <c r="P77" s="1">
        <f>SUM(OSRRefP22_14x_0)</f>
        <v>49093.440000000002</v>
      </c>
      <c r="Q77" s="1"/>
      <c r="R77" s="5">
        <f t="shared" ref="R77:R82" si="56">IF(P$12=0,0,P77/P$12)</f>
        <v>8.9434517606999858E-2</v>
      </c>
      <c r="S77" s="1"/>
      <c r="T77" s="1">
        <f>SUM(OSRRefT22_14x_0)</f>
        <v>52183</v>
      </c>
      <c r="U77" s="1"/>
      <c r="V77" s="5">
        <f t="shared" ref="V77:V82" si="57">IF(T$12=0,0,T77/T$12)</f>
        <v>9.5908765094010182E-2</v>
      </c>
      <c r="W77" s="1"/>
      <c r="X77" s="1">
        <f t="shared" ref="X77:X82" si="58">+P77-T77</f>
        <v>-3089.5599999999977</v>
      </c>
      <c r="Y77" s="1"/>
      <c r="Z77" s="5">
        <f t="shared" ref="Z77:Z82" si="59">IF(T77=0,0,X77/T77)</f>
        <v>-5.9206254910603023E-2</v>
      </c>
    </row>
    <row r="78" spans="1:26" s="24" customFormat="1" hidden="1" outlineLevel="2" x14ac:dyDescent="0.3">
      <c r="A78" s="27"/>
      <c r="B78" s="11" t="str">
        <f>CONCATENATE("          ", "6282", " - ", "JANITORIAL/EXTERMINATOR EXPENS")</f>
        <v xml:space="preserve">          6282 - JANITORIAL/EXTERMINATOR EXPENS</v>
      </c>
      <c r="C78" s="11"/>
      <c r="D78" s="6">
        <v>1341.9</v>
      </c>
      <c r="E78" s="2"/>
      <c r="F78" s="7">
        <f t="shared" si="52"/>
        <v>1.1407119491085548E-2</v>
      </c>
      <c r="G78" s="2"/>
      <c r="H78" s="6">
        <v>1386</v>
      </c>
      <c r="I78" s="2"/>
      <c r="J78" s="7">
        <f t="shared" si="53"/>
        <v>1.2952907862396381E-2</v>
      </c>
      <c r="K78" s="2"/>
      <c r="L78" s="6">
        <f t="shared" si="54"/>
        <v>-44.099999999999909</v>
      </c>
      <c r="M78" s="2"/>
      <c r="N78" s="7">
        <f t="shared" si="55"/>
        <v>-3.1818181818181752E-2</v>
      </c>
      <c r="O78" s="11"/>
      <c r="P78" s="6">
        <v>6773.36</v>
      </c>
      <c r="Q78" s="2"/>
      <c r="R78" s="7">
        <f t="shared" si="56"/>
        <v>1.2339167599144579E-2</v>
      </c>
      <c r="S78" s="2"/>
      <c r="T78" s="6">
        <v>6572</v>
      </c>
      <c r="U78" s="2"/>
      <c r="V78" s="7">
        <f t="shared" si="57"/>
        <v>1.2078884008160415E-2</v>
      </c>
      <c r="W78" s="2"/>
      <c r="X78" s="6">
        <f t="shared" si="58"/>
        <v>201.35999999999967</v>
      </c>
      <c r="Y78" s="2"/>
      <c r="Z78" s="7">
        <f t="shared" si="59"/>
        <v>3.0639074863055338E-2</v>
      </c>
    </row>
    <row r="79" spans="1:26" s="24" customFormat="1" hidden="1" outlineLevel="2" x14ac:dyDescent="0.3">
      <c r="A79" s="27"/>
      <c r="B79" s="11" t="str">
        <f>CONCATENATE("          ", "6283", " - ", "PLANT SERVICE")</f>
        <v xml:space="preserve">          6283 - PLANT SERVICE</v>
      </c>
      <c r="C79" s="11"/>
      <c r="D79" s="6"/>
      <c r="E79" s="2"/>
      <c r="F79" s="7">
        <f t="shared" si="52"/>
        <v>0</v>
      </c>
      <c r="G79" s="2"/>
      <c r="H79" s="6">
        <v>100</v>
      </c>
      <c r="I79" s="2"/>
      <c r="J79" s="7">
        <f t="shared" si="53"/>
        <v>9.3455323682513575E-4</v>
      </c>
      <c r="K79" s="2"/>
      <c r="L79" s="6">
        <f t="shared" si="54"/>
        <v>-100</v>
      </c>
      <c r="M79" s="2"/>
      <c r="N79" s="7">
        <f t="shared" si="55"/>
        <v>-1</v>
      </c>
      <c r="O79" s="11"/>
      <c r="P79" s="6"/>
      <c r="Q79" s="2"/>
      <c r="R79" s="7">
        <f t="shared" si="56"/>
        <v>0</v>
      </c>
      <c r="S79" s="2"/>
      <c r="T79" s="6">
        <v>500</v>
      </c>
      <c r="U79" s="2"/>
      <c r="V79" s="7">
        <f t="shared" si="57"/>
        <v>9.1896561230678752E-4</v>
      </c>
      <c r="W79" s="2"/>
      <c r="X79" s="6">
        <f t="shared" si="58"/>
        <v>-500</v>
      </c>
      <c r="Y79" s="2"/>
      <c r="Z79" s="7">
        <f t="shared" si="59"/>
        <v>-1</v>
      </c>
    </row>
    <row r="80" spans="1:26" s="24" customFormat="1" hidden="1" outlineLevel="2" x14ac:dyDescent="0.3">
      <c r="A80" s="27"/>
      <c r="B80" s="11" t="str">
        <f>CONCATENATE("          ", "6284", " - ", "TRASH REMOVAL EXPENSE")</f>
        <v xml:space="preserve">          6284 - TRASH REMOVAL EXPENSE</v>
      </c>
      <c r="C80" s="11"/>
      <c r="D80" s="6"/>
      <c r="E80" s="2"/>
      <c r="F80" s="7">
        <f t="shared" si="52"/>
        <v>0</v>
      </c>
      <c r="G80" s="2"/>
      <c r="H80" s="6">
        <v>1000</v>
      </c>
      <c r="I80" s="2"/>
      <c r="J80" s="7">
        <f t="shared" si="53"/>
        <v>9.3455323682513566E-3</v>
      </c>
      <c r="K80" s="2"/>
      <c r="L80" s="6">
        <f t="shared" si="54"/>
        <v>-1000</v>
      </c>
      <c r="M80" s="2"/>
      <c r="N80" s="7">
        <f t="shared" si="55"/>
        <v>-1</v>
      </c>
      <c r="O80" s="11"/>
      <c r="P80" s="6"/>
      <c r="Q80" s="2"/>
      <c r="R80" s="7">
        <f t="shared" si="56"/>
        <v>0</v>
      </c>
      <c r="S80" s="2"/>
      <c r="T80" s="6">
        <v>5000</v>
      </c>
      <c r="U80" s="2"/>
      <c r="V80" s="7">
        <f t="shared" si="57"/>
        <v>9.1896561230678745E-3</v>
      </c>
      <c r="W80" s="2"/>
      <c r="X80" s="6">
        <f t="shared" si="58"/>
        <v>-5000</v>
      </c>
      <c r="Y80" s="2"/>
      <c r="Z80" s="7">
        <f t="shared" si="59"/>
        <v>-1</v>
      </c>
    </row>
    <row r="81" spans="1:26" s="24" customFormat="1" hidden="1" outlineLevel="2" x14ac:dyDescent="0.3">
      <c r="A81" s="27"/>
      <c r="B81" s="11" t="str">
        <f>CONCATENATE("          ", "6285", " - ", "JANITORIAL SERVICES")</f>
        <v xml:space="preserve">          6285 - JANITORIAL SERVICES</v>
      </c>
      <c r="C81" s="11"/>
      <c r="D81" s="6">
        <v>3385.52</v>
      </c>
      <c r="E81" s="2"/>
      <c r="F81" s="7">
        <f t="shared" si="52"/>
        <v>2.8779365958312798E-2</v>
      </c>
      <c r="G81" s="2"/>
      <c r="H81" s="6">
        <v>8224</v>
      </c>
      <c r="I81" s="2"/>
      <c r="J81" s="7">
        <f t="shared" si="53"/>
        <v>7.685765819649916E-2</v>
      </c>
      <c r="K81" s="2"/>
      <c r="L81" s="6">
        <f t="shared" si="54"/>
        <v>-4838.4799999999996</v>
      </c>
      <c r="M81" s="2"/>
      <c r="N81" s="7">
        <f t="shared" si="55"/>
        <v>-0.58833657587548638</v>
      </c>
      <c r="O81" s="11"/>
      <c r="P81" s="6">
        <v>40403.440000000002</v>
      </c>
      <c r="Q81" s="2"/>
      <c r="R81" s="7">
        <f t="shared" si="56"/>
        <v>7.3603767958883348E-2</v>
      </c>
      <c r="S81" s="2"/>
      <c r="T81" s="6">
        <v>36812</v>
      </c>
      <c r="U81" s="2"/>
      <c r="V81" s="7">
        <f t="shared" si="57"/>
        <v>6.7657924240474926E-2</v>
      </c>
      <c r="W81" s="2"/>
      <c r="X81" s="6">
        <f t="shared" si="58"/>
        <v>3591.4400000000023</v>
      </c>
      <c r="Y81" s="2"/>
      <c r="Z81" s="7">
        <f t="shared" si="59"/>
        <v>9.7561664674562704E-2</v>
      </c>
    </row>
    <row r="82" spans="1:26" s="24" customFormat="1" hidden="1" outlineLevel="2" x14ac:dyDescent="0.3">
      <c r="A82" s="27"/>
      <c r="B82" s="11" t="str">
        <f>CONCATENATE("          ", "6286", " - ", "LAUNDRY EXPENSE")</f>
        <v xml:space="preserve">          6286 - LAUNDRY EXPENSE</v>
      </c>
      <c r="C82" s="11"/>
      <c r="D82" s="6">
        <v>405.7</v>
      </c>
      <c r="E82" s="2"/>
      <c r="F82" s="7">
        <f t="shared" si="52"/>
        <v>3.4487431086768065E-3</v>
      </c>
      <c r="G82" s="2"/>
      <c r="H82" s="6">
        <v>577</v>
      </c>
      <c r="I82" s="2"/>
      <c r="J82" s="7">
        <f t="shared" si="53"/>
        <v>5.3923721764810332E-3</v>
      </c>
      <c r="K82" s="2"/>
      <c r="L82" s="6">
        <f t="shared" si="54"/>
        <v>-171.3</v>
      </c>
      <c r="M82" s="2"/>
      <c r="N82" s="7">
        <f t="shared" si="55"/>
        <v>-0.29688041594454073</v>
      </c>
      <c r="O82" s="11"/>
      <c r="P82" s="6">
        <v>1916.64</v>
      </c>
      <c r="Q82" s="2"/>
      <c r="R82" s="7">
        <f t="shared" si="56"/>
        <v>3.4915820489719238E-3</v>
      </c>
      <c r="S82" s="2"/>
      <c r="T82" s="6">
        <v>3299</v>
      </c>
      <c r="U82" s="2"/>
      <c r="V82" s="7">
        <f t="shared" si="57"/>
        <v>6.0633351100001839E-3</v>
      </c>
      <c r="W82" s="2"/>
      <c r="X82" s="6">
        <f t="shared" si="58"/>
        <v>-1382.36</v>
      </c>
      <c r="Y82" s="2"/>
      <c r="Z82" s="7">
        <f t="shared" si="59"/>
        <v>-0.41902394665050013</v>
      </c>
    </row>
    <row r="83" spans="1:26" s="29" customFormat="1" outlineLevel="1" collapsed="1" x14ac:dyDescent="0.3">
      <c r="A83" s="28"/>
      <c r="B83" s="14" t="str">
        <f>CONCATENATE("     ","Subscriptions &amp; Dues                              ")</f>
        <v xml:space="preserve">     Subscriptions &amp; Dues                              </v>
      </c>
      <c r="C83" s="14"/>
      <c r="D83" s="1">
        <f>SUM(OSRRefD22_15x_0)</f>
        <v>569.5</v>
      </c>
      <c r="E83" s="1"/>
      <c r="F83" s="5">
        <f t="shared" ref="F83:F95" si="60">IF(D$12=0,0,D83/D$12)</f>
        <v>4.8411614503116622E-3</v>
      </c>
      <c r="G83" s="1"/>
      <c r="H83" s="1">
        <f>SUM(OSRRefH22_15x_0)</f>
        <v>610</v>
      </c>
      <c r="I83" s="1"/>
      <c r="J83" s="5">
        <f t="shared" ref="J83:J95" si="61">IF(H$12=0,0,H83/H$12)</f>
        <v>5.7007747446333277E-3</v>
      </c>
      <c r="K83" s="1"/>
      <c r="L83" s="1">
        <f t="shared" ref="L83:L95" si="62">+D83-H83</f>
        <v>-40.5</v>
      </c>
      <c r="M83" s="1"/>
      <c r="N83" s="5">
        <f t="shared" ref="N83:N95" si="63">IF(H83=0,0,L83/H83)</f>
        <v>-6.6393442622950813E-2</v>
      </c>
      <c r="O83" s="14"/>
      <c r="P83" s="1">
        <f>SUM(OSRRefP22_15x_0)</f>
        <v>2516.5</v>
      </c>
      <c r="Q83" s="1"/>
      <c r="R83" s="5">
        <f t="shared" ref="R83:R95" si="64">IF(P$12=0,0,P83/P$12)</f>
        <v>4.5843592047738989E-3</v>
      </c>
      <c r="S83" s="1"/>
      <c r="T83" s="1">
        <f>SUM(OSRRefT22_15x_0)</f>
        <v>2820</v>
      </c>
      <c r="U83" s="1"/>
      <c r="V83" s="5">
        <f t="shared" ref="V83:V95" si="65">IF(T$12=0,0,T83/T$12)</f>
        <v>5.1829660534102812E-3</v>
      </c>
      <c r="W83" s="1"/>
      <c r="X83" s="1">
        <f t="shared" ref="X83:X95" si="66">+P83-T83</f>
        <v>-303.5</v>
      </c>
      <c r="Y83" s="1"/>
      <c r="Z83" s="5">
        <f t="shared" ref="Z83:Z95" si="67">IF(T83=0,0,X83/T83)</f>
        <v>-0.10762411347517731</v>
      </c>
    </row>
    <row r="84" spans="1:26" s="24" customFormat="1" hidden="1" outlineLevel="2" x14ac:dyDescent="0.3">
      <c r="A84" s="27"/>
      <c r="B84" s="11" t="str">
        <f>CONCATENATE("          ", "6275", " - ", "SUBSCRIPTIONS")</f>
        <v xml:space="preserve">          6275 - SUBSCRIPTIONS</v>
      </c>
      <c r="C84" s="11"/>
      <c r="D84" s="6">
        <v>569.5</v>
      </c>
      <c r="E84" s="2"/>
      <c r="F84" s="7">
        <f t="shared" si="60"/>
        <v>4.8411614503116622E-3</v>
      </c>
      <c r="G84" s="2"/>
      <c r="H84" s="6">
        <v>610</v>
      </c>
      <c r="I84" s="2"/>
      <c r="J84" s="7">
        <f t="shared" si="61"/>
        <v>5.7007747446333277E-3</v>
      </c>
      <c r="K84" s="2"/>
      <c r="L84" s="6">
        <f t="shared" si="62"/>
        <v>-40.5</v>
      </c>
      <c r="M84" s="2"/>
      <c r="N84" s="7">
        <f t="shared" si="63"/>
        <v>-6.6393442622950813E-2</v>
      </c>
      <c r="O84" s="11"/>
      <c r="P84" s="6">
        <v>2516.5</v>
      </c>
      <c r="Q84" s="2"/>
      <c r="R84" s="7">
        <f t="shared" si="64"/>
        <v>4.5843592047738989E-3</v>
      </c>
      <c r="S84" s="2"/>
      <c r="T84" s="6">
        <v>2820</v>
      </c>
      <c r="U84" s="2"/>
      <c r="V84" s="7">
        <f t="shared" si="65"/>
        <v>5.1829660534102812E-3</v>
      </c>
      <c r="W84" s="2"/>
      <c r="X84" s="6">
        <f t="shared" si="66"/>
        <v>-303.5</v>
      </c>
      <c r="Y84" s="2"/>
      <c r="Z84" s="7">
        <f t="shared" si="67"/>
        <v>-0.10762411347517731</v>
      </c>
    </row>
    <row r="85" spans="1:26" s="29" customFormat="1" outlineLevel="1" collapsed="1" x14ac:dyDescent="0.3">
      <c r="A85" s="28"/>
      <c r="B85" s="14" t="str">
        <f>CONCATENATE("     ","Supplies                                          ")</f>
        <v xml:space="preserve">     Supplies                                          </v>
      </c>
      <c r="C85" s="14"/>
      <c r="D85" s="1">
        <f>SUM(OSRRefD22_16x_0)</f>
        <v>1439.75</v>
      </c>
      <c r="E85" s="1"/>
      <c r="F85" s="5">
        <f t="shared" si="60"/>
        <v>1.2238915185401607E-2</v>
      </c>
      <c r="G85" s="1"/>
      <c r="H85" s="1">
        <f>SUM(OSRRefH22_16x_0)</f>
        <v>2675</v>
      </c>
      <c r="I85" s="1"/>
      <c r="J85" s="5">
        <f t="shared" si="61"/>
        <v>2.4999299085072382E-2</v>
      </c>
      <c r="K85" s="1"/>
      <c r="L85" s="1">
        <f t="shared" si="62"/>
        <v>-1235.25</v>
      </c>
      <c r="M85" s="1"/>
      <c r="N85" s="5">
        <f t="shared" si="63"/>
        <v>-0.46177570093457943</v>
      </c>
      <c r="O85" s="14"/>
      <c r="P85" s="1">
        <f>SUM(OSRRefP22_16x_0)</f>
        <v>19530.89</v>
      </c>
      <c r="Q85" s="1"/>
      <c r="R85" s="5">
        <f t="shared" si="64"/>
        <v>3.5579819331979533E-2</v>
      </c>
      <c r="S85" s="1"/>
      <c r="T85" s="1">
        <f>SUM(OSRRefT22_16x_0)</f>
        <v>30373</v>
      </c>
      <c r="U85" s="1"/>
      <c r="V85" s="5">
        <f t="shared" si="65"/>
        <v>5.5823485085188113E-2</v>
      </c>
      <c r="W85" s="1"/>
      <c r="X85" s="1">
        <f t="shared" si="66"/>
        <v>-10842.11</v>
      </c>
      <c r="Y85" s="1"/>
      <c r="Z85" s="5">
        <f t="shared" si="67"/>
        <v>-0.35696539689856122</v>
      </c>
    </row>
    <row r="86" spans="1:26" s="24" customFormat="1" hidden="1" outlineLevel="2" x14ac:dyDescent="0.3">
      <c r="A86" s="27"/>
      <c r="B86" s="11" t="str">
        <f>CONCATENATE("          ", "6234", " - ", "EXPENDABLE SUPPLIES &amp; EQUIPMEN")</f>
        <v xml:space="preserve">          6234 - EXPENDABLE SUPPLIES &amp; EQUIPMEN</v>
      </c>
      <c r="C86" s="11"/>
      <c r="D86" s="6"/>
      <c r="E86" s="2"/>
      <c r="F86" s="7">
        <f t="shared" si="60"/>
        <v>0</v>
      </c>
      <c r="G86" s="2"/>
      <c r="H86" s="6">
        <v>50</v>
      </c>
      <c r="I86" s="2"/>
      <c r="J86" s="7">
        <f t="shared" si="61"/>
        <v>4.6727661841256788E-4</v>
      </c>
      <c r="K86" s="2"/>
      <c r="L86" s="6">
        <f t="shared" si="62"/>
        <v>-50</v>
      </c>
      <c r="M86" s="2"/>
      <c r="N86" s="7">
        <f t="shared" si="63"/>
        <v>-1</v>
      </c>
      <c r="O86" s="11"/>
      <c r="P86" s="6">
        <v>1194.8900000000001</v>
      </c>
      <c r="Q86" s="2"/>
      <c r="R86" s="7">
        <f t="shared" si="64"/>
        <v>2.1767554024209354E-3</v>
      </c>
      <c r="S86" s="2"/>
      <c r="T86" s="6">
        <v>350</v>
      </c>
      <c r="U86" s="2"/>
      <c r="V86" s="7">
        <f t="shared" si="65"/>
        <v>6.4327592861475119E-4</v>
      </c>
      <c r="W86" s="2"/>
      <c r="X86" s="6">
        <f t="shared" si="66"/>
        <v>844.8900000000001</v>
      </c>
      <c r="Y86" s="2"/>
      <c r="Z86" s="7">
        <f t="shared" si="67"/>
        <v>2.4139714285714287</v>
      </c>
    </row>
    <row r="87" spans="1:26" s="24" customFormat="1" hidden="1" outlineLevel="2" x14ac:dyDescent="0.3">
      <c r="A87" s="27"/>
      <c r="B87" s="11" t="str">
        <f>CONCATENATE("          ", "6235", " - ", "COVID-19 EXPENSES")</f>
        <v xml:space="preserve">          6235 - COVID-19 EXPENSES</v>
      </c>
      <c r="C87" s="11"/>
      <c r="D87" s="6"/>
      <c r="E87" s="2"/>
      <c r="F87" s="7">
        <f t="shared" si="60"/>
        <v>0</v>
      </c>
      <c r="G87" s="2"/>
      <c r="H87" s="6">
        <v>250</v>
      </c>
      <c r="I87" s="2"/>
      <c r="J87" s="7">
        <f t="shared" si="61"/>
        <v>2.3363830920628392E-3</v>
      </c>
      <c r="K87" s="2"/>
      <c r="L87" s="6">
        <f t="shared" si="62"/>
        <v>-250</v>
      </c>
      <c r="M87" s="2"/>
      <c r="N87" s="7">
        <f t="shared" si="63"/>
        <v>-1</v>
      </c>
      <c r="O87" s="11"/>
      <c r="P87" s="6">
        <v>193.5</v>
      </c>
      <c r="Q87" s="2"/>
      <c r="R87" s="7">
        <f t="shared" si="64"/>
        <v>3.5250288341893477E-4</v>
      </c>
      <c r="S87" s="2"/>
      <c r="T87" s="6">
        <v>1500</v>
      </c>
      <c r="U87" s="2"/>
      <c r="V87" s="7">
        <f t="shared" si="65"/>
        <v>2.7568968369203624E-3</v>
      </c>
      <c r="W87" s="2"/>
      <c r="X87" s="6">
        <f t="shared" si="66"/>
        <v>-1306.5</v>
      </c>
      <c r="Y87" s="2"/>
      <c r="Z87" s="7">
        <f t="shared" si="67"/>
        <v>-0.871</v>
      </c>
    </row>
    <row r="88" spans="1:26" s="24" customFormat="1" hidden="1" outlineLevel="2" x14ac:dyDescent="0.3">
      <c r="A88" s="27"/>
      <c r="B88" s="11" t="str">
        <f>CONCATENATE("          ", "6237", " - ", "JANITORIAL SUPPLIES")</f>
        <v xml:space="preserve">          6237 - JANITORIAL SUPPLIES</v>
      </c>
      <c r="C88" s="11"/>
      <c r="D88" s="6">
        <v>583.25</v>
      </c>
      <c r="E88" s="2"/>
      <c r="F88" s="7">
        <f t="shared" si="60"/>
        <v>4.9580463843622068E-3</v>
      </c>
      <c r="G88" s="2"/>
      <c r="H88" s="6">
        <v>225</v>
      </c>
      <c r="I88" s="2"/>
      <c r="J88" s="7">
        <f t="shared" si="61"/>
        <v>2.1027447828565553E-3</v>
      </c>
      <c r="K88" s="2"/>
      <c r="L88" s="6">
        <f t="shared" si="62"/>
        <v>358.25</v>
      </c>
      <c r="M88" s="2"/>
      <c r="N88" s="7">
        <f t="shared" si="63"/>
        <v>1.5922222222222222</v>
      </c>
      <c r="O88" s="11"/>
      <c r="P88" s="6">
        <v>5559.28</v>
      </c>
      <c r="Q88" s="2"/>
      <c r="R88" s="7">
        <f t="shared" si="64"/>
        <v>1.012745338363419E-2</v>
      </c>
      <c r="S88" s="2"/>
      <c r="T88" s="6">
        <v>2703</v>
      </c>
      <c r="U88" s="2"/>
      <c r="V88" s="7">
        <f t="shared" si="65"/>
        <v>4.9679281001304932E-3</v>
      </c>
      <c r="W88" s="2"/>
      <c r="X88" s="6">
        <f t="shared" si="66"/>
        <v>2856.2799999999997</v>
      </c>
      <c r="Y88" s="2"/>
      <c r="Z88" s="7">
        <f t="shared" si="67"/>
        <v>1.056707362190159</v>
      </c>
    </row>
    <row r="89" spans="1:26" s="24" customFormat="1" hidden="1" outlineLevel="2" x14ac:dyDescent="0.3">
      <c r="A89" s="27"/>
      <c r="B89" s="11" t="str">
        <f>CONCATENATE("          ", "6239", " - ", "KITCHEN SUPPLIES")</f>
        <v xml:space="preserve">          6239 - KITCHEN SUPPLIES</v>
      </c>
      <c r="C89" s="11"/>
      <c r="D89" s="6">
        <v>291.81</v>
      </c>
      <c r="E89" s="2"/>
      <c r="F89" s="7">
        <f t="shared" si="60"/>
        <v>2.4805958258392381E-3</v>
      </c>
      <c r="G89" s="2"/>
      <c r="H89" s="6"/>
      <c r="I89" s="2"/>
      <c r="J89" s="7">
        <f t="shared" si="61"/>
        <v>0</v>
      </c>
      <c r="K89" s="2"/>
      <c r="L89" s="6">
        <f t="shared" si="62"/>
        <v>291.81</v>
      </c>
      <c r="M89" s="2"/>
      <c r="N89" s="7">
        <f t="shared" si="63"/>
        <v>0</v>
      </c>
      <c r="O89" s="11"/>
      <c r="P89" s="6">
        <v>2283.86</v>
      </c>
      <c r="Q89" s="2"/>
      <c r="R89" s="7">
        <f t="shared" si="64"/>
        <v>4.1605541877269689E-3</v>
      </c>
      <c r="S89" s="2"/>
      <c r="T89" s="6">
        <v>5249</v>
      </c>
      <c r="U89" s="2"/>
      <c r="V89" s="7">
        <f t="shared" si="65"/>
        <v>9.6473009979966551E-3</v>
      </c>
      <c r="W89" s="2"/>
      <c r="X89" s="6">
        <f t="shared" si="66"/>
        <v>-2965.14</v>
      </c>
      <c r="Y89" s="2"/>
      <c r="Z89" s="7">
        <f t="shared" si="67"/>
        <v>-0.56489617069918074</v>
      </c>
    </row>
    <row r="90" spans="1:26" s="24" customFormat="1" hidden="1" outlineLevel="2" x14ac:dyDescent="0.3">
      <c r="A90" s="27"/>
      <c r="B90" s="11" t="str">
        <f>CONCATENATE("          ", "6241", " - ", "OFFICE EXPENSE")</f>
        <v xml:space="preserve">          6241 - OFFICE EXPENSE</v>
      </c>
      <c r="C90" s="11"/>
      <c r="D90" s="6">
        <v>250.7</v>
      </c>
      <c r="E90" s="2"/>
      <c r="F90" s="7">
        <f t="shared" si="60"/>
        <v>2.1311311248342997E-3</v>
      </c>
      <c r="G90" s="2"/>
      <c r="H90" s="6"/>
      <c r="I90" s="2"/>
      <c r="J90" s="7">
        <f t="shared" si="61"/>
        <v>0</v>
      </c>
      <c r="K90" s="2"/>
      <c r="L90" s="6">
        <f t="shared" si="62"/>
        <v>250.7</v>
      </c>
      <c r="M90" s="2"/>
      <c r="N90" s="7">
        <f t="shared" si="63"/>
        <v>0</v>
      </c>
      <c r="O90" s="11"/>
      <c r="P90" s="6">
        <v>6604.06</v>
      </c>
      <c r="Q90" s="2"/>
      <c r="R90" s="7">
        <f t="shared" si="64"/>
        <v>1.2030750347657109E-2</v>
      </c>
      <c r="S90" s="2"/>
      <c r="T90" s="6">
        <v>2927</v>
      </c>
      <c r="U90" s="2"/>
      <c r="V90" s="7">
        <f t="shared" si="65"/>
        <v>5.3796246944439342E-3</v>
      </c>
      <c r="W90" s="2"/>
      <c r="X90" s="6">
        <f t="shared" si="66"/>
        <v>3677.0600000000004</v>
      </c>
      <c r="Y90" s="2"/>
      <c r="Z90" s="7">
        <f t="shared" si="67"/>
        <v>1.2562555517594809</v>
      </c>
    </row>
    <row r="91" spans="1:26" s="24" customFormat="1" hidden="1" outlineLevel="2" x14ac:dyDescent="0.3">
      <c r="A91" s="27"/>
      <c r="B91" s="11" t="str">
        <f>CONCATENATE("          ", "6243", " - ", "PAPER SUPPLIES")</f>
        <v xml:space="preserve">          6243 - PAPER SUPPLIES</v>
      </c>
      <c r="C91" s="11"/>
      <c r="D91" s="6"/>
      <c r="E91" s="2"/>
      <c r="F91" s="7">
        <f t="shared" si="60"/>
        <v>0</v>
      </c>
      <c r="G91" s="2"/>
      <c r="H91" s="6">
        <v>800</v>
      </c>
      <c r="I91" s="2"/>
      <c r="J91" s="7">
        <f t="shared" si="61"/>
        <v>7.476425894601086E-3</v>
      </c>
      <c r="K91" s="2"/>
      <c r="L91" s="6">
        <f t="shared" si="62"/>
        <v>-800</v>
      </c>
      <c r="M91" s="2"/>
      <c r="N91" s="7">
        <f t="shared" si="63"/>
        <v>-1</v>
      </c>
      <c r="O91" s="11"/>
      <c r="P91" s="6">
        <v>1185.5899999999999</v>
      </c>
      <c r="Q91" s="2"/>
      <c r="R91" s="7">
        <f t="shared" si="64"/>
        <v>2.1598134033728933E-3</v>
      </c>
      <c r="S91" s="2"/>
      <c r="T91" s="6">
        <v>4933</v>
      </c>
      <c r="U91" s="2"/>
      <c r="V91" s="7">
        <f t="shared" si="65"/>
        <v>9.0665147310187658E-3</v>
      </c>
      <c r="W91" s="2"/>
      <c r="X91" s="6">
        <f t="shared" si="66"/>
        <v>-3747.41</v>
      </c>
      <c r="Y91" s="2"/>
      <c r="Z91" s="7">
        <f t="shared" si="67"/>
        <v>-0.75966146361240616</v>
      </c>
    </row>
    <row r="92" spans="1:26" s="24" customFormat="1" hidden="1" outlineLevel="2" x14ac:dyDescent="0.3">
      <c r="A92" s="27"/>
      <c r="B92" s="11" t="str">
        <f>CONCATENATE("          ", "6244", " - ", "SAFETY SUPPLY EXPENSE")</f>
        <v xml:space="preserve">          6244 - SAFETY SUPPLY EXPENSE</v>
      </c>
      <c r="C92" s="11"/>
      <c r="D92" s="6"/>
      <c r="E92" s="2"/>
      <c r="F92" s="7">
        <f t="shared" si="60"/>
        <v>0</v>
      </c>
      <c r="G92" s="2"/>
      <c r="H92" s="6"/>
      <c r="I92" s="2"/>
      <c r="J92" s="7">
        <f t="shared" si="61"/>
        <v>0</v>
      </c>
      <c r="K92" s="2"/>
      <c r="L92" s="6">
        <f t="shared" si="62"/>
        <v>0</v>
      </c>
      <c r="M92" s="2"/>
      <c r="N92" s="7">
        <f t="shared" si="63"/>
        <v>0</v>
      </c>
      <c r="O92" s="11"/>
      <c r="P92" s="6"/>
      <c r="Q92" s="2"/>
      <c r="R92" s="7">
        <f t="shared" si="64"/>
        <v>0</v>
      </c>
      <c r="S92" s="2"/>
      <c r="T92" s="6">
        <v>50</v>
      </c>
      <c r="U92" s="2"/>
      <c r="V92" s="7">
        <f t="shared" si="65"/>
        <v>9.1896561230678754E-5</v>
      </c>
      <c r="W92" s="2"/>
      <c r="X92" s="6">
        <f t="shared" si="66"/>
        <v>-50</v>
      </c>
      <c r="Y92" s="2"/>
      <c r="Z92" s="7">
        <f t="shared" si="67"/>
        <v>-1</v>
      </c>
    </row>
    <row r="93" spans="1:26" s="24" customFormat="1" hidden="1" outlineLevel="2" x14ac:dyDescent="0.3">
      <c r="A93" s="27"/>
      <c r="B93" s="11" t="str">
        <f>CONCATENATE("          ", "6245", " - ", "PRINTING")</f>
        <v xml:space="preserve">          6245 - PRINTING</v>
      </c>
      <c r="C93" s="11"/>
      <c r="D93" s="6"/>
      <c r="E93" s="2"/>
      <c r="F93" s="7">
        <f t="shared" si="60"/>
        <v>0</v>
      </c>
      <c r="G93" s="2"/>
      <c r="H93" s="6">
        <v>100</v>
      </c>
      <c r="I93" s="2"/>
      <c r="J93" s="7">
        <f t="shared" si="61"/>
        <v>9.3455323682513575E-4</v>
      </c>
      <c r="K93" s="2"/>
      <c r="L93" s="6">
        <f t="shared" si="62"/>
        <v>-100</v>
      </c>
      <c r="M93" s="2"/>
      <c r="N93" s="7">
        <f t="shared" si="63"/>
        <v>-1</v>
      </c>
      <c r="O93" s="11"/>
      <c r="P93" s="6">
        <v>1071</v>
      </c>
      <c r="Q93" s="2"/>
      <c r="R93" s="7">
        <f t="shared" si="64"/>
        <v>1.9510624710164298E-3</v>
      </c>
      <c r="S93" s="2"/>
      <c r="T93" s="6">
        <v>1000</v>
      </c>
      <c r="U93" s="2"/>
      <c r="V93" s="7">
        <f t="shared" si="65"/>
        <v>1.837931224613575E-3</v>
      </c>
      <c r="W93" s="2"/>
      <c r="X93" s="6">
        <f t="shared" si="66"/>
        <v>71</v>
      </c>
      <c r="Y93" s="2"/>
      <c r="Z93" s="7">
        <f t="shared" si="67"/>
        <v>7.0999999999999994E-2</v>
      </c>
    </row>
    <row r="94" spans="1:26" s="24" customFormat="1" hidden="1" outlineLevel="2" x14ac:dyDescent="0.3">
      <c r="A94" s="27"/>
      <c r="B94" s="11" t="str">
        <f>CONCATENATE("          ", "6247", " - ", "STORE SUPPLIES")</f>
        <v xml:space="preserve">          6247 - STORE SUPPLIES</v>
      </c>
      <c r="C94" s="11"/>
      <c r="D94" s="6">
        <v>61.04</v>
      </c>
      <c r="E94" s="2"/>
      <c r="F94" s="7">
        <f t="shared" si="60"/>
        <v>5.1888409995965563E-4</v>
      </c>
      <c r="G94" s="2"/>
      <c r="H94" s="6">
        <v>1250</v>
      </c>
      <c r="I94" s="2"/>
      <c r="J94" s="7">
        <f t="shared" si="61"/>
        <v>1.1681915460314198E-2</v>
      </c>
      <c r="K94" s="2"/>
      <c r="L94" s="6">
        <f t="shared" si="62"/>
        <v>-1188.96</v>
      </c>
      <c r="M94" s="2"/>
      <c r="N94" s="7">
        <f t="shared" si="63"/>
        <v>-0.95116800000000001</v>
      </c>
      <c r="O94" s="11"/>
      <c r="P94" s="6">
        <v>1185.76</v>
      </c>
      <c r="Q94" s="2"/>
      <c r="R94" s="7">
        <f t="shared" si="64"/>
        <v>2.1601230958286106E-3</v>
      </c>
      <c r="S94" s="2"/>
      <c r="T94" s="6">
        <v>9061</v>
      </c>
      <c r="U94" s="2"/>
      <c r="V94" s="7">
        <f t="shared" si="65"/>
        <v>1.6653494826223601E-2</v>
      </c>
      <c r="W94" s="2"/>
      <c r="X94" s="6">
        <f t="shared" si="66"/>
        <v>-7875.24</v>
      </c>
      <c r="Y94" s="2"/>
      <c r="Z94" s="7">
        <f t="shared" si="67"/>
        <v>-0.86913585696942941</v>
      </c>
    </row>
    <row r="95" spans="1:26" s="24" customFormat="1" hidden="1" outlineLevel="2" x14ac:dyDescent="0.3">
      <c r="A95" s="27"/>
      <c r="B95" s="11" t="str">
        <f>CONCATENATE("          ", "6248", " - ", "UNIFORMS")</f>
        <v xml:space="preserve">          6248 - UNIFORMS</v>
      </c>
      <c r="C95" s="11"/>
      <c r="D95" s="6">
        <v>252.95</v>
      </c>
      <c r="E95" s="2"/>
      <c r="F95" s="7">
        <f t="shared" si="60"/>
        <v>2.1502577504062068E-3</v>
      </c>
      <c r="G95" s="2"/>
      <c r="H95" s="6"/>
      <c r="I95" s="2"/>
      <c r="J95" s="7">
        <f t="shared" si="61"/>
        <v>0</v>
      </c>
      <c r="K95" s="2"/>
      <c r="L95" s="6">
        <f t="shared" si="62"/>
        <v>252.95</v>
      </c>
      <c r="M95" s="2"/>
      <c r="N95" s="7">
        <f t="shared" si="63"/>
        <v>0</v>
      </c>
      <c r="O95" s="11"/>
      <c r="P95" s="6">
        <v>252.95</v>
      </c>
      <c r="Q95" s="2"/>
      <c r="R95" s="7">
        <f t="shared" si="64"/>
        <v>4.6080415690346021E-4</v>
      </c>
      <c r="S95" s="2"/>
      <c r="T95" s="6">
        <v>2600</v>
      </c>
      <c r="U95" s="2"/>
      <c r="V95" s="7">
        <f t="shared" si="65"/>
        <v>4.778621183995295E-3</v>
      </c>
      <c r="W95" s="2"/>
      <c r="X95" s="6">
        <f t="shared" si="66"/>
        <v>-2347.0500000000002</v>
      </c>
      <c r="Y95" s="2"/>
      <c r="Z95" s="7">
        <f t="shared" si="67"/>
        <v>-0.90271153846153851</v>
      </c>
    </row>
    <row r="96" spans="1:26" s="29" customFormat="1" outlineLevel="1" collapsed="1" x14ac:dyDescent="0.3">
      <c r="A96" s="28"/>
      <c r="B96" s="14" t="str">
        <f>CONCATENATE("     ","Telephone/Data Lines                              ")</f>
        <v xml:space="preserve">     Telephone/Data Lines                              </v>
      </c>
      <c r="C96" s="14"/>
      <c r="D96" s="1">
        <f>SUM(OSRRefD22_17x_0)</f>
        <v>638.1</v>
      </c>
      <c r="E96" s="1"/>
      <c r="F96" s="5">
        <f t="shared" ref="F96:F98" si="68">IF(D$12=0,0,D96/D$12)</f>
        <v>5.4243110121929266E-3</v>
      </c>
      <c r="G96" s="1"/>
      <c r="H96" s="1">
        <f>SUM(OSRRefH22_17x_0)</f>
        <v>538</v>
      </c>
      <c r="I96" s="1"/>
      <c r="J96" s="5">
        <f t="shared" ref="J96:J98" si="69">IF(H$12=0,0,H96/H$12)</f>
        <v>5.0278964141192307E-3</v>
      </c>
      <c r="K96" s="1"/>
      <c r="L96" s="1">
        <f t="shared" ref="L96:L98" si="70">+D96-H96</f>
        <v>100.10000000000002</v>
      </c>
      <c r="M96" s="1"/>
      <c r="N96" s="5">
        <f t="shared" ref="N96:N98" si="71">IF(H96=0,0,L96/H96)</f>
        <v>0.1860594795539034</v>
      </c>
      <c r="O96" s="14"/>
      <c r="P96" s="1">
        <f>SUM(OSRRefP22_17x_0)</f>
        <v>4018.49</v>
      </c>
      <c r="Q96" s="1"/>
      <c r="R96" s="5">
        <f t="shared" ref="R96:R98" si="72">IF(P$12=0,0,P96/P$12)</f>
        <v>7.3205649198457637E-3</v>
      </c>
      <c r="S96" s="1"/>
      <c r="T96" s="1">
        <f>SUM(OSRRefT22_17x_0)</f>
        <v>2990</v>
      </c>
      <c r="U96" s="1"/>
      <c r="V96" s="5">
        <f t="shared" ref="V96:V98" si="73">IF(T$12=0,0,T96/T$12)</f>
        <v>5.495414361594589E-3</v>
      </c>
      <c r="W96" s="1"/>
      <c r="X96" s="1">
        <f t="shared" ref="X96:X98" si="74">+P96-T96</f>
        <v>1028.4899999999998</v>
      </c>
      <c r="Y96" s="1"/>
      <c r="Z96" s="5">
        <f t="shared" ref="Z96:Z98" si="75">IF(T96=0,0,X96/T96)</f>
        <v>0.34397658862876246</v>
      </c>
    </row>
    <row r="97" spans="1:26" s="24" customFormat="1" hidden="1" outlineLevel="2" x14ac:dyDescent="0.3">
      <c r="A97" s="27"/>
      <c r="B97" s="11" t="str">
        <f>CONCATENATE("          ", "6303", " - ", "DATA PHONE LINES")</f>
        <v xml:space="preserve">          6303 - DATA PHONE LINES</v>
      </c>
      <c r="C97" s="11"/>
      <c r="D97" s="6"/>
      <c r="E97" s="2"/>
      <c r="F97" s="7">
        <f t="shared" si="68"/>
        <v>0</v>
      </c>
      <c r="G97" s="2"/>
      <c r="H97" s="6">
        <v>185</v>
      </c>
      <c r="I97" s="2"/>
      <c r="J97" s="7">
        <f t="shared" si="69"/>
        <v>1.7289234881265011E-3</v>
      </c>
      <c r="K97" s="2"/>
      <c r="L97" s="6">
        <f t="shared" si="70"/>
        <v>-185</v>
      </c>
      <c r="M97" s="2"/>
      <c r="N97" s="7">
        <f t="shared" si="71"/>
        <v>-1</v>
      </c>
      <c r="O97" s="11"/>
      <c r="P97" s="6"/>
      <c r="Q97" s="2"/>
      <c r="R97" s="7">
        <f t="shared" si="72"/>
        <v>0</v>
      </c>
      <c r="S97" s="2"/>
      <c r="T97" s="6">
        <v>925</v>
      </c>
      <c r="U97" s="2"/>
      <c r="V97" s="7">
        <f t="shared" si="73"/>
        <v>1.7000863827675568E-3</v>
      </c>
      <c r="W97" s="2"/>
      <c r="X97" s="6">
        <f t="shared" si="74"/>
        <v>-925</v>
      </c>
      <c r="Y97" s="2"/>
      <c r="Z97" s="7">
        <f t="shared" si="75"/>
        <v>-1</v>
      </c>
    </row>
    <row r="98" spans="1:26" s="24" customFormat="1" hidden="1" outlineLevel="2" x14ac:dyDescent="0.3">
      <c r="A98" s="27"/>
      <c r="B98" s="11" t="str">
        <f>CONCATENATE("          ", "6309", " - ", "TELEPHONE")</f>
        <v xml:space="preserve">          6309 - TELEPHONE</v>
      </c>
      <c r="C98" s="11"/>
      <c r="D98" s="6">
        <v>638.1</v>
      </c>
      <c r="E98" s="2"/>
      <c r="F98" s="7">
        <f t="shared" si="68"/>
        <v>5.4243110121929266E-3</v>
      </c>
      <c r="G98" s="2"/>
      <c r="H98" s="6">
        <v>353</v>
      </c>
      <c r="I98" s="2"/>
      <c r="J98" s="7">
        <f t="shared" si="69"/>
        <v>3.2989729259927294E-3</v>
      </c>
      <c r="K98" s="2"/>
      <c r="L98" s="6">
        <f t="shared" si="70"/>
        <v>285.10000000000002</v>
      </c>
      <c r="M98" s="2"/>
      <c r="N98" s="7">
        <f t="shared" si="71"/>
        <v>0.80764872521246467</v>
      </c>
      <c r="O98" s="11"/>
      <c r="P98" s="6">
        <v>4018.49</v>
      </c>
      <c r="Q98" s="2"/>
      <c r="R98" s="7">
        <f t="shared" si="72"/>
        <v>7.3205649198457637E-3</v>
      </c>
      <c r="S98" s="2"/>
      <c r="T98" s="6">
        <v>2065</v>
      </c>
      <c r="U98" s="2"/>
      <c r="V98" s="7">
        <f t="shared" si="73"/>
        <v>3.7953279788270323E-3</v>
      </c>
      <c r="W98" s="2"/>
      <c r="X98" s="6">
        <f t="shared" si="74"/>
        <v>1953.4899999999998</v>
      </c>
      <c r="Y98" s="2"/>
      <c r="Z98" s="7">
        <f t="shared" si="75"/>
        <v>0.94599999999999984</v>
      </c>
    </row>
    <row r="99" spans="1:26" s="29" customFormat="1" outlineLevel="1" collapsed="1" x14ac:dyDescent="0.3">
      <c r="A99" s="28"/>
      <c r="B99" s="14" t="str">
        <f>CONCATENATE("     ","Training                                          ")</f>
        <v xml:space="preserve">     Training                                          </v>
      </c>
      <c r="C99" s="14"/>
      <c r="D99" s="1">
        <f>SUM(OSRRefD22_18x_0)</f>
        <v>0</v>
      </c>
      <c r="E99" s="1"/>
      <c r="F99" s="5">
        <f t="shared" ref="F99:F104" si="76">IF(D$12=0,0,D99/D$12)</f>
        <v>0</v>
      </c>
      <c r="G99" s="1"/>
      <c r="H99" s="1">
        <f>SUM(OSRRefH22_18x_0)</f>
        <v>0</v>
      </c>
      <c r="I99" s="1"/>
      <c r="J99" s="5">
        <f t="shared" ref="J99:J104" si="77">IF(H$12=0,0,H99/H$12)</f>
        <v>0</v>
      </c>
      <c r="K99" s="1"/>
      <c r="L99" s="1">
        <f t="shared" ref="L99:L104" si="78">+D99-H99</f>
        <v>0</v>
      </c>
      <c r="M99" s="1"/>
      <c r="N99" s="5">
        <f t="shared" ref="N99:N104" si="79">IF(H99=0,0,L99/H99)</f>
        <v>0</v>
      </c>
      <c r="O99" s="14"/>
      <c r="P99" s="1">
        <f>SUM(OSRRefP22_18x_0)</f>
        <v>0</v>
      </c>
      <c r="Q99" s="1"/>
      <c r="R99" s="5">
        <f t="shared" ref="R99:R104" si="80">IF(P$12=0,0,P99/P$12)</f>
        <v>0</v>
      </c>
      <c r="S99" s="1"/>
      <c r="T99" s="1">
        <f>SUM(OSRRefT22_18x_0)</f>
        <v>875</v>
      </c>
      <c r="U99" s="1"/>
      <c r="V99" s="5">
        <f t="shared" ref="V99:V104" si="81">IF(T$12=0,0,T99/T$12)</f>
        <v>1.6081898215368781E-3</v>
      </c>
      <c r="W99" s="1"/>
      <c r="X99" s="1">
        <f t="shared" ref="X99:X104" si="82">+P99-T99</f>
        <v>-875</v>
      </c>
      <c r="Y99" s="1"/>
      <c r="Z99" s="5">
        <f t="shared" ref="Z99:Z104" si="83">IF(T99=0,0,X99/T99)</f>
        <v>-1</v>
      </c>
    </row>
    <row r="100" spans="1:26" s="24" customFormat="1" hidden="1" outlineLevel="2" x14ac:dyDescent="0.3">
      <c r="A100" s="27"/>
      <c r="B100" s="11" t="str">
        <f>CONCATENATE("          ", "6376", " - ", "TRAINING")</f>
        <v xml:space="preserve">          6376 - TRAINING</v>
      </c>
      <c r="C100" s="11"/>
      <c r="D100" s="6"/>
      <c r="E100" s="2"/>
      <c r="F100" s="7">
        <f t="shared" si="76"/>
        <v>0</v>
      </c>
      <c r="G100" s="2"/>
      <c r="H100" s="6"/>
      <c r="I100" s="2"/>
      <c r="J100" s="7">
        <f t="shared" si="77"/>
        <v>0</v>
      </c>
      <c r="K100" s="2"/>
      <c r="L100" s="6">
        <f t="shared" si="78"/>
        <v>0</v>
      </c>
      <c r="M100" s="2"/>
      <c r="N100" s="7">
        <f t="shared" si="79"/>
        <v>0</v>
      </c>
      <c r="O100" s="11"/>
      <c r="P100" s="6"/>
      <c r="Q100" s="2"/>
      <c r="R100" s="7">
        <f t="shared" si="80"/>
        <v>0</v>
      </c>
      <c r="S100" s="2"/>
      <c r="T100" s="6">
        <v>875</v>
      </c>
      <c r="U100" s="2"/>
      <c r="V100" s="7">
        <f t="shared" si="81"/>
        <v>1.6081898215368781E-3</v>
      </c>
      <c r="W100" s="2"/>
      <c r="X100" s="6">
        <f t="shared" si="82"/>
        <v>-875</v>
      </c>
      <c r="Y100" s="2"/>
      <c r="Z100" s="7">
        <f t="shared" si="83"/>
        <v>-1</v>
      </c>
    </row>
    <row r="101" spans="1:26" s="29" customFormat="1" outlineLevel="1" collapsed="1" x14ac:dyDescent="0.3">
      <c r="A101" s="28"/>
      <c r="B101" s="14" t="str">
        <f>CONCATENATE("     ","Travel                                            ")</f>
        <v xml:space="preserve">     Travel                                            </v>
      </c>
      <c r="C101" s="14"/>
      <c r="D101" s="1">
        <f>SUM(OSRRefD22_19x_0)</f>
        <v>18.59</v>
      </c>
      <c r="E101" s="1"/>
      <c r="F101" s="5">
        <f t="shared" si="76"/>
        <v>1.5802843083633679E-4</v>
      </c>
      <c r="G101" s="1"/>
      <c r="H101" s="1">
        <f>SUM(OSRRefH22_19x_0)</f>
        <v>0</v>
      </c>
      <c r="I101" s="1"/>
      <c r="J101" s="5">
        <f t="shared" si="77"/>
        <v>0</v>
      </c>
      <c r="K101" s="1"/>
      <c r="L101" s="1">
        <f t="shared" si="78"/>
        <v>18.59</v>
      </c>
      <c r="M101" s="1"/>
      <c r="N101" s="5">
        <f t="shared" si="79"/>
        <v>0</v>
      </c>
      <c r="O101" s="14"/>
      <c r="P101" s="1">
        <f>SUM(OSRRefP22_19x_0)</f>
        <v>18.59</v>
      </c>
      <c r="Q101" s="1"/>
      <c r="R101" s="5">
        <f t="shared" si="80"/>
        <v>3.386578089280619E-5</v>
      </c>
      <c r="S101" s="1"/>
      <c r="T101" s="1">
        <f>SUM(OSRRefT22_19x_0)</f>
        <v>0</v>
      </c>
      <c r="U101" s="1"/>
      <c r="V101" s="5">
        <f t="shared" si="81"/>
        <v>0</v>
      </c>
      <c r="W101" s="1"/>
      <c r="X101" s="1">
        <f t="shared" si="82"/>
        <v>18.59</v>
      </c>
      <c r="Y101" s="1"/>
      <c r="Z101" s="5">
        <f t="shared" si="83"/>
        <v>0</v>
      </c>
    </row>
    <row r="102" spans="1:26" s="24" customFormat="1" hidden="1" outlineLevel="2" x14ac:dyDescent="0.3">
      <c r="A102" s="27"/>
      <c r="B102" s="11" t="str">
        <f>CONCATENATE("          ", "6292", " - ", "TRAVEL/CONFERENCE")</f>
        <v xml:space="preserve">          6292 - TRAVEL/CONFERENCE</v>
      </c>
      <c r="C102" s="11"/>
      <c r="D102" s="6">
        <v>18.59</v>
      </c>
      <c r="E102" s="2"/>
      <c r="F102" s="7">
        <f t="shared" si="76"/>
        <v>1.5802843083633679E-4</v>
      </c>
      <c r="G102" s="2"/>
      <c r="H102" s="6"/>
      <c r="I102" s="2"/>
      <c r="J102" s="7">
        <f t="shared" si="77"/>
        <v>0</v>
      </c>
      <c r="K102" s="2"/>
      <c r="L102" s="6">
        <f t="shared" si="78"/>
        <v>18.59</v>
      </c>
      <c r="M102" s="2"/>
      <c r="N102" s="7">
        <f t="shared" si="79"/>
        <v>0</v>
      </c>
      <c r="O102" s="11"/>
      <c r="P102" s="6">
        <v>18.59</v>
      </c>
      <c r="Q102" s="2"/>
      <c r="R102" s="7">
        <f t="shared" si="80"/>
        <v>3.386578089280619E-5</v>
      </c>
      <c r="S102" s="2"/>
      <c r="T102" s="6"/>
      <c r="U102" s="2"/>
      <c r="V102" s="7">
        <f t="shared" si="81"/>
        <v>0</v>
      </c>
      <c r="W102" s="2"/>
      <c r="X102" s="6">
        <f t="shared" si="82"/>
        <v>18.59</v>
      </c>
      <c r="Y102" s="2"/>
      <c r="Z102" s="7">
        <f t="shared" si="83"/>
        <v>0</v>
      </c>
    </row>
    <row r="103" spans="1:26" s="29" customFormat="1" outlineLevel="1" collapsed="1" x14ac:dyDescent="0.3">
      <c r="A103" s="28"/>
      <c r="B103" s="14" t="str">
        <f>CONCATENATE("     ","Utilities                                         ")</f>
        <v xml:space="preserve">     Utilities                                         </v>
      </c>
      <c r="C103" s="14"/>
      <c r="D103" s="1">
        <f>SUM(OSRRefD22_20x_0)</f>
        <v>8250</v>
      </c>
      <c r="E103" s="1"/>
      <c r="F103" s="5">
        <f t="shared" si="76"/>
        <v>7.0130960430326975E-2</v>
      </c>
      <c r="G103" s="1"/>
      <c r="H103" s="1">
        <f>SUM(OSRRefH22_20x_0)</f>
        <v>8667</v>
      </c>
      <c r="I103" s="1"/>
      <c r="J103" s="5">
        <f t="shared" si="77"/>
        <v>8.0997729035634514E-2</v>
      </c>
      <c r="K103" s="1"/>
      <c r="L103" s="1">
        <f t="shared" si="78"/>
        <v>-417</v>
      </c>
      <c r="M103" s="1"/>
      <c r="N103" s="5">
        <f t="shared" si="79"/>
        <v>-4.8113534094842508E-2</v>
      </c>
      <c r="O103" s="14"/>
      <c r="P103" s="1">
        <f>SUM(OSRRefP22_20x_0)</f>
        <v>38850</v>
      </c>
      <c r="Q103" s="1"/>
      <c r="R103" s="5">
        <f t="shared" si="80"/>
        <v>7.0773834732948931E-2</v>
      </c>
      <c r="S103" s="1"/>
      <c r="T103" s="1">
        <f>SUM(OSRRefT22_20x_0)</f>
        <v>43335</v>
      </c>
      <c r="U103" s="1"/>
      <c r="V103" s="5">
        <f t="shared" si="81"/>
        <v>7.9646749618629276E-2</v>
      </c>
      <c r="W103" s="1"/>
      <c r="X103" s="1">
        <f t="shared" si="82"/>
        <v>-4485</v>
      </c>
      <c r="Y103" s="1"/>
      <c r="Z103" s="5">
        <f t="shared" si="83"/>
        <v>-0.10349601938386985</v>
      </c>
    </row>
    <row r="104" spans="1:26" s="24" customFormat="1" hidden="1" outlineLevel="2" x14ac:dyDescent="0.3">
      <c r="A104" s="27"/>
      <c r="B104" s="11" t="str">
        <f>CONCATENATE("          ", "6274", " - ", "UTILITIES")</f>
        <v xml:space="preserve">          6274 - UTILITIES</v>
      </c>
      <c r="C104" s="11"/>
      <c r="D104" s="6">
        <v>8250</v>
      </c>
      <c r="E104" s="2"/>
      <c r="F104" s="7">
        <f t="shared" si="76"/>
        <v>7.0130960430326975E-2</v>
      </c>
      <c r="G104" s="2"/>
      <c r="H104" s="6">
        <v>8667</v>
      </c>
      <c r="I104" s="2"/>
      <c r="J104" s="7">
        <f t="shared" si="77"/>
        <v>8.0997729035634514E-2</v>
      </c>
      <c r="K104" s="2"/>
      <c r="L104" s="6">
        <f t="shared" si="78"/>
        <v>-417</v>
      </c>
      <c r="M104" s="2"/>
      <c r="N104" s="7">
        <f t="shared" si="79"/>
        <v>-4.8113534094842508E-2</v>
      </c>
      <c r="O104" s="11"/>
      <c r="P104" s="6">
        <v>38850</v>
      </c>
      <c r="Q104" s="2"/>
      <c r="R104" s="7">
        <f t="shared" si="80"/>
        <v>7.0773834732948931E-2</v>
      </c>
      <c r="S104" s="2"/>
      <c r="T104" s="6">
        <v>43335</v>
      </c>
      <c r="U104" s="2"/>
      <c r="V104" s="7">
        <f t="shared" si="81"/>
        <v>7.9646749618629276E-2</v>
      </c>
      <c r="W104" s="2"/>
      <c r="X104" s="6">
        <f t="shared" si="82"/>
        <v>-4485</v>
      </c>
      <c r="Y104" s="2"/>
      <c r="Z104" s="7">
        <f t="shared" si="83"/>
        <v>-0.10349601938386985</v>
      </c>
    </row>
    <row r="105" spans="1:26" s="63" customFormat="1" x14ac:dyDescent="0.3">
      <c r="A105" s="36"/>
      <c r="B105" s="36"/>
      <c r="C105" s="36"/>
      <c r="D105" s="1"/>
      <c r="E105" s="1"/>
      <c r="F105" s="5"/>
      <c r="G105" s="1"/>
      <c r="H105" s="1"/>
      <c r="I105" s="1"/>
      <c r="J105" s="5"/>
      <c r="K105" s="1"/>
      <c r="L105" s="1"/>
      <c r="M105" s="1"/>
      <c r="N105" s="5"/>
      <c r="O105" s="36"/>
      <c r="P105" s="1"/>
      <c r="Q105" s="1"/>
      <c r="R105" s="5"/>
      <c r="S105" s="1"/>
      <c r="T105" s="1"/>
      <c r="U105" s="1"/>
      <c r="V105" s="5"/>
      <c r="W105" s="1"/>
      <c r="X105" s="1"/>
      <c r="Y105" s="1"/>
      <c r="Z105" s="5"/>
    </row>
    <row r="106" spans="1:26" s="23" customFormat="1" collapsed="1" x14ac:dyDescent="0.3">
      <c r="A106" s="10"/>
      <c r="B106" s="25" t="s">
        <v>293</v>
      </c>
      <c r="C106" s="10"/>
      <c r="D106" s="4">
        <f>SUM(OSRRefD25x_0)</f>
        <v>6011.63</v>
      </c>
      <c r="E106" s="4"/>
      <c r="F106" s="12">
        <f t="shared" ref="F106:F109" si="84">IF(D$12=0,0,D106/D$12)</f>
        <v>5.1103198260820187E-2</v>
      </c>
      <c r="G106" s="4"/>
      <c r="H106" s="4">
        <f>SUM(OSRRefH25x_0)</f>
        <v>250</v>
      </c>
      <c r="I106" s="4"/>
      <c r="J106" s="12">
        <f t="shared" ref="J106:J109" si="85">IF(H$12=0,0,H106/H$12)</f>
        <v>2.3363830920628392E-3</v>
      </c>
      <c r="K106" s="4"/>
      <c r="L106" s="4">
        <f t="shared" ref="L106:L109" si="86">+D106-H106</f>
        <v>5761.63</v>
      </c>
      <c r="M106" s="4"/>
      <c r="N106" s="12">
        <f t="shared" ref="N106:N109" si="87">IF(H106=0,0,L106/H106)</f>
        <v>23.046520000000001</v>
      </c>
      <c r="O106" s="10"/>
      <c r="P106" s="4">
        <f>SUM(OSRRefP25x_0)</f>
        <v>30018.35</v>
      </c>
      <c r="Q106" s="4"/>
      <c r="R106" s="12">
        <f t="shared" ref="R106:R109" si="88">IF(P$12=0,0,P106/P$12)</f>
        <v>5.4685038400407136E-2</v>
      </c>
      <c r="S106" s="4"/>
      <c r="T106" s="4">
        <f>SUM(OSRRefT25x_0)</f>
        <v>750</v>
      </c>
      <c r="U106" s="4"/>
      <c r="V106" s="12">
        <f t="shared" ref="V106:V109" si="89">IF(T$12=0,0,T106/T$12)</f>
        <v>1.3784484184601812E-3</v>
      </c>
      <c r="W106" s="4"/>
      <c r="X106" s="4">
        <f t="shared" ref="X106:X109" si="90">+P106-T106</f>
        <v>29268.35</v>
      </c>
      <c r="Y106" s="4"/>
      <c r="Z106" s="12">
        <f t="shared" ref="Z106:Z109" si="91">IF(T106=0,0,X106/T106)</f>
        <v>39.024466666666662</v>
      </c>
    </row>
    <row r="107" spans="1:26" s="24" customFormat="1" hidden="1" outlineLevel="1" x14ac:dyDescent="0.3">
      <c r="A107" s="44"/>
      <c r="B107" s="11" t="str">
        <f>CONCATENATE("          ", "9150", " - ", "MISC. INCOME")</f>
        <v xml:space="preserve">          9150 - MISC. INCOME</v>
      </c>
      <c r="C107" s="11"/>
      <c r="D107" s="2">
        <f>--6011.63</f>
        <v>6011.63</v>
      </c>
      <c r="E107" s="2"/>
      <c r="F107" s="19">
        <f t="shared" si="84"/>
        <v>5.1103198260820187E-2</v>
      </c>
      <c r="G107" s="2"/>
      <c r="H107" s="2">
        <v>250</v>
      </c>
      <c r="I107" s="2"/>
      <c r="J107" s="19">
        <f t="shared" si="85"/>
        <v>2.3363830920628392E-3</v>
      </c>
      <c r="K107" s="2"/>
      <c r="L107" s="2">
        <f t="shared" si="86"/>
        <v>5761.63</v>
      </c>
      <c r="M107" s="2"/>
      <c r="N107" s="19">
        <f t="shared" si="87"/>
        <v>23.046520000000001</v>
      </c>
      <c r="O107" s="11"/>
      <c r="P107" s="2">
        <f>--30018.35</f>
        <v>30018.35</v>
      </c>
      <c r="Q107" s="2"/>
      <c r="R107" s="19">
        <f t="shared" si="88"/>
        <v>5.4685038400407136E-2</v>
      </c>
      <c r="S107" s="2"/>
      <c r="T107" s="2">
        <v>750</v>
      </c>
      <c r="U107" s="2"/>
      <c r="V107" s="19">
        <f t="shared" si="89"/>
        <v>1.3784484184601812E-3</v>
      </c>
      <c r="W107" s="2"/>
      <c r="X107" s="2">
        <f t="shared" si="90"/>
        <v>29268.35</v>
      </c>
      <c r="Y107" s="2"/>
      <c r="Z107" s="19">
        <f t="shared" si="91"/>
        <v>39.024466666666662</v>
      </c>
    </row>
    <row r="108" spans="1:26" s="24" customFormat="1" hidden="1" outlineLevel="1" x14ac:dyDescent="0.3">
      <c r="A108" s="44"/>
      <c r="B108" s="11" t="str">
        <f>CONCATENATE("          ", "9160", " - ", "MISC. INCOME")</f>
        <v xml:space="preserve">          9160 - MISC. INCOME</v>
      </c>
      <c r="C108" s="11"/>
      <c r="D108" s="2">
        <f t="shared" ref="D108:D109" si="92">0</f>
        <v>0</v>
      </c>
      <c r="E108" s="2"/>
      <c r="F108" s="19">
        <f t="shared" si="84"/>
        <v>0</v>
      </c>
      <c r="G108" s="2"/>
      <c r="H108" s="2"/>
      <c r="I108" s="2"/>
      <c r="J108" s="19">
        <f t="shared" si="85"/>
        <v>0</v>
      </c>
      <c r="K108" s="2"/>
      <c r="L108" s="2">
        <f t="shared" si="86"/>
        <v>0</v>
      </c>
      <c r="M108" s="2"/>
      <c r="N108" s="19">
        <f t="shared" si="87"/>
        <v>0</v>
      </c>
      <c r="O108" s="11"/>
      <c r="P108" s="2">
        <f t="shared" ref="P108:P109" si="93">0</f>
        <v>0</v>
      </c>
      <c r="Q108" s="2"/>
      <c r="R108" s="19">
        <f t="shared" si="88"/>
        <v>0</v>
      </c>
      <c r="S108" s="2"/>
      <c r="T108" s="2"/>
      <c r="U108" s="2"/>
      <c r="V108" s="19">
        <f t="shared" si="89"/>
        <v>0</v>
      </c>
      <c r="W108" s="2"/>
      <c r="X108" s="2">
        <f t="shared" si="90"/>
        <v>0</v>
      </c>
      <c r="Y108" s="2"/>
      <c r="Z108" s="19">
        <f t="shared" si="91"/>
        <v>0</v>
      </c>
    </row>
    <row r="109" spans="1:26" s="24" customFormat="1" hidden="1" outlineLevel="1" x14ac:dyDescent="0.3">
      <c r="A109" s="44"/>
      <c r="B109" s="11" t="str">
        <f>CONCATENATE("          ", "9165", " - ", "OTHER INCOME")</f>
        <v xml:space="preserve">          9165 - OTHER INCOME</v>
      </c>
      <c r="C109" s="11"/>
      <c r="D109" s="2">
        <f t="shared" si="92"/>
        <v>0</v>
      </c>
      <c r="E109" s="2"/>
      <c r="F109" s="19">
        <f t="shared" si="84"/>
        <v>0</v>
      </c>
      <c r="G109" s="2"/>
      <c r="H109" s="2"/>
      <c r="I109" s="2"/>
      <c r="J109" s="19">
        <f t="shared" si="85"/>
        <v>0</v>
      </c>
      <c r="K109" s="2"/>
      <c r="L109" s="2">
        <f t="shared" si="86"/>
        <v>0</v>
      </c>
      <c r="M109" s="2"/>
      <c r="N109" s="19">
        <f t="shared" si="87"/>
        <v>0</v>
      </c>
      <c r="O109" s="11"/>
      <c r="P109" s="2">
        <f t="shared" si="93"/>
        <v>0</v>
      </c>
      <c r="Q109" s="2"/>
      <c r="R109" s="19">
        <f t="shared" si="88"/>
        <v>0</v>
      </c>
      <c r="S109" s="2"/>
      <c r="T109" s="2"/>
      <c r="U109" s="2"/>
      <c r="V109" s="19">
        <f t="shared" si="89"/>
        <v>0</v>
      </c>
      <c r="W109" s="2"/>
      <c r="X109" s="2">
        <f t="shared" si="90"/>
        <v>0</v>
      </c>
      <c r="Y109" s="2"/>
      <c r="Z109" s="19">
        <f t="shared" si="91"/>
        <v>0</v>
      </c>
    </row>
    <row r="110" spans="1:26" x14ac:dyDescent="0.3">
      <c r="A110" s="9"/>
      <c r="B110" s="10"/>
      <c r="C110" s="10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O110" s="10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x14ac:dyDescent="0.3">
      <c r="A111" s="10"/>
      <c r="B111" s="26" t="s">
        <v>277</v>
      </c>
      <c r="C111" s="26"/>
      <c r="D111" s="20">
        <f>+D25-D27+D106</f>
        <v>-116215.66000000002</v>
      </c>
      <c r="E111" s="13"/>
      <c r="F111" s="22">
        <f>IF(D$12=0,0,D111/D$12)</f>
        <v>-0.98791707307204057</v>
      </c>
      <c r="G111" s="13"/>
      <c r="H111" s="20">
        <f>+H25-H27+H106</f>
        <v>-122001.065009276</v>
      </c>
      <c r="I111" s="13"/>
      <c r="J111" s="22">
        <f>IF(H$12=0,0,H111/H$12)</f>
        <v>-1.1401649020053271</v>
      </c>
      <c r="K111" s="15"/>
      <c r="L111" s="20">
        <f>+D111-H111</f>
        <v>5785.4050092759862</v>
      </c>
      <c r="M111" s="15"/>
      <c r="N111" s="22">
        <f>IF(H111=0,0,L111/H111)</f>
        <v>-4.742093856997158E-2</v>
      </c>
      <c r="O111" s="25"/>
      <c r="P111" s="20">
        <f>+P25-P27+P106</f>
        <v>-641912.97999999986</v>
      </c>
      <c r="Q111" s="13"/>
      <c r="R111" s="22">
        <f>IF(P$12=0,0,P111/P$12)</f>
        <v>-1.1693859243102893</v>
      </c>
      <c r="S111" s="13"/>
      <c r="T111" s="20">
        <f>+T25-T27+T106</f>
        <v>-700617.08356837474</v>
      </c>
      <c r="U111" s="13"/>
      <c r="V111" s="22">
        <f>IF(T$12=0,0,T111/T$12)</f>
        <v>-1.2876860143880144</v>
      </c>
      <c r="W111" s="15"/>
      <c r="X111" s="20">
        <f>+P111-T111</f>
        <v>58704.103568374878</v>
      </c>
      <c r="Y111" s="15"/>
      <c r="Z111" s="22">
        <f>IF(T111=0,0,X111/T111)</f>
        <v>-8.3789140951836094E-2</v>
      </c>
    </row>
    <row r="112" spans="1:26" x14ac:dyDescent="0.3">
      <c r="A112" s="9"/>
      <c r="B112" s="10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x14ac:dyDescent="0.3">
      <c r="A113" s="52"/>
      <c r="B113" s="10" t="s">
        <v>128</v>
      </c>
      <c r="C113" s="10"/>
      <c r="D113" s="4">
        <v>15530.11</v>
      </c>
      <c r="E113" s="4"/>
      <c r="F113" s="12">
        <f>IF(D$12=0,0,D113/D$12)</f>
        <v>0.13201715513801518</v>
      </c>
      <c r="G113" s="4"/>
      <c r="H113" s="4">
        <v>17758</v>
      </c>
      <c r="I113" s="4"/>
      <c r="J113" s="12">
        <f>IF(H$12=0,0,H113/H$12)</f>
        <v>0.16595796379540761</v>
      </c>
      <c r="K113" s="4"/>
      <c r="L113" s="4">
        <f>+D113-H113</f>
        <v>-2227.8899999999994</v>
      </c>
      <c r="M113" s="4"/>
      <c r="N113" s="12">
        <f>IF(H113=0,0,L113/H113)</f>
        <v>-0.12545838495326048</v>
      </c>
      <c r="O113" s="10"/>
      <c r="P113" s="4">
        <v>65384.21</v>
      </c>
      <c r="Q113" s="4"/>
      <c r="R113" s="12">
        <f>IF(P$12=0,0,P113/P$12)</f>
        <v>0.1191117444706416</v>
      </c>
      <c r="S113" s="4"/>
      <c r="T113" s="4">
        <v>68016</v>
      </c>
      <c r="U113" s="4"/>
      <c r="V113" s="12">
        <f>IF(T$12=0,0,T113/T$12)</f>
        <v>0.1250087301733169</v>
      </c>
      <c r="W113" s="4"/>
      <c r="X113" s="4">
        <f>+P113-T113</f>
        <v>-2631.7900000000009</v>
      </c>
      <c r="Y113" s="4"/>
      <c r="Z113" s="12">
        <f>IF(T113=0,0,X113/T113)</f>
        <v>-3.8693689720065878E-2</v>
      </c>
    </row>
    <row r="114" spans="1:26" x14ac:dyDescent="0.3">
      <c r="A114" s="9"/>
      <c r="B114" s="10"/>
      <c r="C114" s="10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O114" s="10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ht="15" thickBot="1" x14ac:dyDescent="0.35">
      <c r="A115" s="10"/>
      <c r="B115" s="26" t="s">
        <v>126</v>
      </c>
      <c r="C115" s="26"/>
      <c r="D115" s="33">
        <f>+D111-D113</f>
        <v>-131745.77000000002</v>
      </c>
      <c r="E115" s="13"/>
      <c r="F115" s="34">
        <f>IF(D$12=0,0,D115/D$12)</f>
        <v>-1.1199342282100557</v>
      </c>
      <c r="G115" s="13"/>
      <c r="H115" s="33">
        <f>+H111-H113</f>
        <v>-139759.065009276</v>
      </c>
      <c r="I115" s="13"/>
      <c r="J115" s="34">
        <f>IF(H$12=0,0,H115/H$12)</f>
        <v>-1.3061228658007347</v>
      </c>
      <c r="K115" s="15"/>
      <c r="L115" s="33">
        <f>D115-H115</f>
        <v>8013.2950092759856</v>
      </c>
      <c r="M115" s="15"/>
      <c r="N115" s="34">
        <f>IF(H115=0,0,L115/H115)</f>
        <v>-5.733649555214277E-2</v>
      </c>
      <c r="O115" s="25"/>
      <c r="P115" s="33">
        <f>+P111-P113</f>
        <v>-707297.18999999983</v>
      </c>
      <c r="Q115" s="13"/>
      <c r="R115" s="34">
        <f>IF(P$12=0,0,P115/P$12)</f>
        <v>-1.2884976687809309</v>
      </c>
      <c r="S115" s="13"/>
      <c r="T115" s="33">
        <f>+T111-T113</f>
        <v>-768633.08356837474</v>
      </c>
      <c r="U115" s="13"/>
      <c r="V115" s="34">
        <f>IF(T$12=0,0,T115/T$12)</f>
        <v>-1.4126947445613314</v>
      </c>
      <c r="W115" s="15"/>
      <c r="X115" s="33">
        <f>P115-T115</f>
        <v>61335.893568374915</v>
      </c>
      <c r="Y115" s="15"/>
      <c r="Z115" s="34">
        <f>IF(T115=0,0,X115/T115)</f>
        <v>-7.9798664511841436E-2</v>
      </c>
    </row>
    <row r="116" spans="1:26" ht="15" thickTop="1" x14ac:dyDescent="0.3">
      <c r="A116" s="9"/>
      <c r="B116" s="9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x14ac:dyDescent="0.3">
      <c r="A117" s="9"/>
      <c r="B117" s="9"/>
      <c r="C117" s="9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ht="15" thickBot="1" x14ac:dyDescent="0.35">
      <c r="A118" s="10"/>
      <c r="B118" s="26" t="s">
        <v>294</v>
      </c>
      <c r="C118" s="26"/>
      <c r="D118" s="35">
        <f>SUM(D115:D117)</f>
        <v>-131745.77000000002</v>
      </c>
      <c r="E118" s="13"/>
      <c r="F118" s="32">
        <f>IF(D$12=0,0,D118/D$12)</f>
        <v>-1.1199342282100557</v>
      </c>
      <c r="G118" s="13"/>
      <c r="H118" s="35">
        <f>SUM(H115:H117)</f>
        <v>-139759.065009276</v>
      </c>
      <c r="I118" s="13"/>
      <c r="J118" s="32">
        <f>IF(H$12=0,0,H118/H$12)</f>
        <v>-1.3061228658007347</v>
      </c>
      <c r="K118" s="15"/>
      <c r="L118" s="35">
        <f>+D118-H118</f>
        <v>8013.2950092759856</v>
      </c>
      <c r="M118" s="15"/>
      <c r="N118" s="32">
        <f>IF(H118=0,0,L118/H118)</f>
        <v>-5.733649555214277E-2</v>
      </c>
      <c r="O118" s="25"/>
      <c r="P118" s="35">
        <f>SUM(P115:P117)</f>
        <v>-707297.18999999983</v>
      </c>
      <c r="Q118" s="13"/>
      <c r="R118" s="32">
        <f>IF(P$12=0,0,P118/P$12)</f>
        <v>-1.2884976687809309</v>
      </c>
      <c r="S118" s="13"/>
      <c r="T118" s="35">
        <f>SUM(T115:T117)</f>
        <v>-768633.08356837474</v>
      </c>
      <c r="U118" s="13"/>
      <c r="V118" s="32">
        <f>IF(T$12=0,0,T118/T$12)</f>
        <v>-1.4126947445613314</v>
      </c>
      <c r="W118" s="15"/>
      <c r="X118" s="35">
        <f>+P118-T118</f>
        <v>61335.893568374915</v>
      </c>
      <c r="Y118" s="15"/>
      <c r="Z118" s="32">
        <f>IF(T118=0,0,X118/T118)</f>
        <v>-7.9798664511841436E-2</v>
      </c>
    </row>
    <row r="119" spans="1:26" ht="15" thickTop="1" x14ac:dyDescent="0.3">
      <c r="A119" s="9"/>
      <c r="C119" s="9"/>
      <c r="D119" s="17"/>
      <c r="E119" s="17"/>
      <c r="G119" s="17"/>
      <c r="H119" s="17"/>
      <c r="I119" s="17"/>
      <c r="J119" s="42"/>
      <c r="K119" s="17"/>
      <c r="L119" s="17"/>
      <c r="M119" s="17"/>
      <c r="P119" s="17"/>
      <c r="Q119" s="17"/>
      <c r="R119" s="42"/>
      <c r="S119" s="17"/>
      <c r="T119" s="17"/>
      <c r="U119" s="17"/>
      <c r="V119" s="42"/>
      <c r="W119" s="17"/>
      <c r="X119" s="17"/>
    </row>
    <row r="120" spans="1:26" x14ac:dyDescent="0.3">
      <c r="A120" s="9"/>
      <c r="B120" s="60">
        <v>44543.753067592595</v>
      </c>
      <c r="D120" s="17"/>
      <c r="E120" s="17"/>
      <c r="G120" s="17"/>
      <c r="H120" s="17"/>
      <c r="I120" s="17"/>
      <c r="J120" s="42"/>
      <c r="K120" s="17"/>
      <c r="L120" s="17"/>
      <c r="M120" s="17"/>
      <c r="P120" s="17"/>
      <c r="Q120" s="17"/>
      <c r="R120" s="42"/>
      <c r="S120" s="17"/>
      <c r="T120" s="17"/>
      <c r="U120" s="17"/>
      <c r="V120" s="42"/>
      <c r="W120" s="17"/>
      <c r="X120" s="17"/>
    </row>
    <row r="121" spans="1:26" x14ac:dyDescent="0.3">
      <c r="A121" s="9"/>
      <c r="B121" s="58" t="s">
        <v>56</v>
      </c>
      <c r="D121" s="17"/>
      <c r="E121" s="17"/>
      <c r="G121" s="17"/>
      <c r="H121" s="17"/>
      <c r="I121" s="17"/>
      <c r="J121" s="42"/>
      <c r="K121" s="17"/>
      <c r="L121" s="17"/>
      <c r="M121" s="17"/>
      <c r="P121" s="17"/>
      <c r="Q121" s="17"/>
      <c r="R121" s="42"/>
      <c r="S121" s="17"/>
      <c r="T121" s="17"/>
      <c r="U121" s="17"/>
      <c r="V121" s="42"/>
      <c r="W121" s="17"/>
      <c r="X121" s="17"/>
    </row>
    <row r="122" spans="1:26" x14ac:dyDescent="0.3">
      <c r="A122" s="9"/>
      <c r="B122" s="55"/>
      <c r="D122" s="17"/>
      <c r="E122" s="17"/>
      <c r="G122" s="17"/>
      <c r="H122" s="17"/>
      <c r="I122" s="17"/>
      <c r="J122" s="42"/>
      <c r="K122" s="17"/>
      <c r="L122" s="17"/>
      <c r="M122" s="17"/>
      <c r="P122" s="17"/>
      <c r="Q122" s="17"/>
      <c r="R122" s="42"/>
      <c r="S122" s="17"/>
      <c r="T122" s="17"/>
      <c r="U122" s="17"/>
      <c r="V122" s="42"/>
      <c r="W122" s="17"/>
      <c r="X122" s="17"/>
    </row>
    <row r="123" spans="1:26" x14ac:dyDescent="0.3">
      <c r="D123" s="17"/>
      <c r="E123" s="17"/>
      <c r="G123" s="17"/>
      <c r="H123" s="17"/>
      <c r="I123" s="17"/>
      <c r="J123" s="42"/>
      <c r="K123" s="17"/>
      <c r="L123" s="17"/>
      <c r="M123" s="17"/>
      <c r="P123" s="17"/>
      <c r="Q123" s="17"/>
      <c r="R123" s="42"/>
      <c r="S123" s="17"/>
      <c r="T123" s="17"/>
      <c r="U123" s="17"/>
      <c r="V123" s="42"/>
      <c r="W123" s="17"/>
      <c r="X123" s="17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FFFF00"/>
    <outlinePr summaryBelow="0" summaryRight="0"/>
  </sheetPr>
  <dimension ref="A2:Z12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106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102315.87</v>
      </c>
      <c r="E12" s="4"/>
      <c r="F12" s="12"/>
      <c r="G12" s="4"/>
      <c r="H12" s="4">
        <f>SUM(OSRRefH13x_0)</f>
        <v>82127</v>
      </c>
      <c r="I12" s="4"/>
      <c r="J12" s="12"/>
      <c r="K12" s="4"/>
      <c r="L12" s="4">
        <f t="shared" ref="L12:L17" si="0">+D12-H12</f>
        <v>20188.869999999995</v>
      </c>
      <c r="M12" s="4"/>
      <c r="N12" s="12">
        <f t="shared" ref="N12:N17" si="1">IF(H12=0,0,L12/H12)</f>
        <v>0.24582500273965927</v>
      </c>
      <c r="O12" s="10"/>
      <c r="P12" s="4">
        <f>SUM(OSRRefP13x_0)</f>
        <v>485002.4</v>
      </c>
      <c r="Q12" s="4"/>
      <c r="R12" s="12"/>
      <c r="S12" s="4"/>
      <c r="T12" s="4">
        <f>SUM(OSRRefT13x_0)</f>
        <v>413445</v>
      </c>
      <c r="U12" s="4"/>
      <c r="V12" s="12"/>
      <c r="W12" s="4"/>
      <c r="X12" s="4">
        <f t="shared" ref="X12:X17" si="2">+P12-T12</f>
        <v>71557.400000000023</v>
      </c>
      <c r="Y12" s="4"/>
      <c r="Z12" s="12">
        <f t="shared" ref="Z12:Z17" si="3">IF(T12=0,0,X12/T12)</f>
        <v>0.17307598350445652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24656</v>
      </c>
      <c r="I13" s="2"/>
      <c r="J13" s="19"/>
      <c r="K13" s="2"/>
      <c r="L13" s="2">
        <f t="shared" si="0"/>
        <v>-24656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126183</v>
      </c>
      <c r="U13" s="2"/>
      <c r="V13" s="19"/>
      <c r="W13" s="2"/>
      <c r="X13" s="2">
        <f t="shared" si="2"/>
        <v>-126183</v>
      </c>
      <c r="Y13" s="2"/>
      <c r="Z13" s="19">
        <f t="shared" si="3"/>
        <v>-1</v>
      </c>
    </row>
    <row r="14" spans="1:26" s="24" customFormat="1" hidden="1" outlineLevel="1" x14ac:dyDescent="0.3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--23100.6</f>
        <v>23100.6</v>
      </c>
      <c r="E14" s="2"/>
      <c r="F14" s="19"/>
      <c r="G14" s="2"/>
      <c r="H14" s="2"/>
      <c r="I14" s="2"/>
      <c r="J14" s="19"/>
      <c r="K14" s="2"/>
      <c r="L14" s="2">
        <f t="shared" si="0"/>
        <v>23100.6</v>
      </c>
      <c r="M14" s="2"/>
      <c r="N14" s="19">
        <f t="shared" si="1"/>
        <v>0</v>
      </c>
      <c r="O14" s="11"/>
      <c r="P14" s="2">
        <f>--127351.17</f>
        <v>127351.17</v>
      </c>
      <c r="Q14" s="2"/>
      <c r="R14" s="19"/>
      <c r="S14" s="2"/>
      <c r="T14" s="2"/>
      <c r="U14" s="2"/>
      <c r="V14" s="19"/>
      <c r="W14" s="2"/>
      <c r="X14" s="2">
        <f t="shared" si="2"/>
        <v>127351.17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--1464.84</f>
        <v>1464.84</v>
      </c>
      <c r="E15" s="2"/>
      <c r="F15" s="19"/>
      <c r="G15" s="2"/>
      <c r="H15" s="2"/>
      <c r="I15" s="2"/>
      <c r="J15" s="19"/>
      <c r="K15" s="2"/>
      <c r="L15" s="2">
        <f t="shared" si="0"/>
        <v>1464.84</v>
      </c>
      <c r="M15" s="2"/>
      <c r="N15" s="19">
        <f t="shared" si="1"/>
        <v>0</v>
      </c>
      <c r="O15" s="11"/>
      <c r="P15" s="2">
        <f>--5729.68</f>
        <v>5729.68</v>
      </c>
      <c r="Q15" s="2"/>
      <c r="R15" s="19"/>
      <c r="S15" s="2"/>
      <c r="T15" s="2"/>
      <c r="U15" s="2"/>
      <c r="V15" s="19"/>
      <c r="W15" s="2"/>
      <c r="X15" s="2">
        <f t="shared" si="2"/>
        <v>5729.68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>0</f>
        <v>0</v>
      </c>
      <c r="E16" s="2"/>
      <c r="F16" s="19"/>
      <c r="G16" s="2"/>
      <c r="H16" s="2">
        <v>57471</v>
      </c>
      <c r="I16" s="2"/>
      <c r="J16" s="19"/>
      <c r="K16" s="2"/>
      <c r="L16" s="2">
        <f t="shared" si="0"/>
        <v>-57471</v>
      </c>
      <c r="M16" s="2"/>
      <c r="N16" s="19">
        <f t="shared" si="1"/>
        <v>-1</v>
      </c>
      <c r="O16" s="11"/>
      <c r="P16" s="2">
        <f>0</f>
        <v>0</v>
      </c>
      <c r="Q16" s="2"/>
      <c r="R16" s="19"/>
      <c r="S16" s="2"/>
      <c r="T16" s="2">
        <v>287262</v>
      </c>
      <c r="U16" s="2"/>
      <c r="V16" s="19"/>
      <c r="W16" s="2"/>
      <c r="X16" s="2">
        <f t="shared" si="2"/>
        <v>-287262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"4151", " - ", "NON-TAXABLE SALES-FOOD")</f>
        <v xml:space="preserve">          4151 - NON-TAXABLE SALES-FOOD</v>
      </c>
      <c r="C17" s="11"/>
      <c r="D17" s="2">
        <f>--77750.43</f>
        <v>77750.429999999993</v>
      </c>
      <c r="E17" s="2"/>
      <c r="F17" s="19"/>
      <c r="G17" s="2"/>
      <c r="H17" s="2"/>
      <c r="I17" s="2"/>
      <c r="J17" s="19"/>
      <c r="K17" s="2"/>
      <c r="L17" s="2">
        <f t="shared" si="0"/>
        <v>77750.429999999993</v>
      </c>
      <c r="M17" s="2"/>
      <c r="N17" s="19">
        <f t="shared" si="1"/>
        <v>0</v>
      </c>
      <c r="O17" s="11"/>
      <c r="P17" s="2">
        <f>--351921.55</f>
        <v>351921.55</v>
      </c>
      <c r="Q17" s="2"/>
      <c r="R17" s="19"/>
      <c r="S17" s="2"/>
      <c r="T17" s="2"/>
      <c r="U17" s="2"/>
      <c r="V17" s="19"/>
      <c r="W17" s="2"/>
      <c r="X17" s="2">
        <f t="shared" si="2"/>
        <v>351921.55</v>
      </c>
      <c r="Y17" s="2"/>
      <c r="Z17" s="19">
        <f t="shared" si="3"/>
        <v>0</v>
      </c>
    </row>
    <row r="18" spans="1:26" x14ac:dyDescent="0.3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3">
      <c r="A19" s="10"/>
      <c r="B19" s="25" t="s">
        <v>257</v>
      </c>
      <c r="C19" s="10"/>
      <c r="D19" s="4">
        <f>SUM(OSRRefD16x_0)</f>
        <v>42822.090000000004</v>
      </c>
      <c r="E19" s="4"/>
      <c r="F19" s="12">
        <f t="shared" ref="F19:F22" si="4">IF(D$12=0,0,D19/D$12)</f>
        <v>0.41852832801011225</v>
      </c>
      <c r="G19" s="4"/>
      <c r="H19" s="4">
        <f>SUM(OSRRefH16x_0)</f>
        <v>28317</v>
      </c>
      <c r="I19" s="4"/>
      <c r="J19" s="12">
        <f t="shared" ref="J19:J22" si="5">IF(H$12=0,0,H19/H$12)</f>
        <v>0.34479525612770467</v>
      </c>
      <c r="K19" s="4"/>
      <c r="L19" s="4">
        <f t="shared" ref="L19:L22" si="6">+D19-H19</f>
        <v>14505.090000000004</v>
      </c>
      <c r="M19" s="4"/>
      <c r="N19" s="12">
        <f t="shared" ref="N19:N22" si="7">IF(H19=0,0,L19/H19)</f>
        <v>0.51223964403008804</v>
      </c>
      <c r="O19" s="10"/>
      <c r="P19" s="4">
        <f>SUM(OSRRefP16x_0)</f>
        <v>190944.16</v>
      </c>
      <c r="Q19" s="4"/>
      <c r="R19" s="12">
        <f t="shared" ref="R19:R22" si="8">IF(P$12=0,0,P19/P$12)</f>
        <v>0.39369735077599616</v>
      </c>
      <c r="S19" s="4"/>
      <c r="T19" s="4">
        <f>SUM(OSRRefT16x_0)</f>
        <v>142845</v>
      </c>
      <c r="U19" s="4"/>
      <c r="V19" s="12">
        <f t="shared" ref="V19:V22" si="9">IF(T$12=0,0,T19/T$12)</f>
        <v>0.34549940137140367</v>
      </c>
      <c r="W19" s="4"/>
      <c r="X19" s="4">
        <f t="shared" ref="X19:X22" si="10">+P19-T19</f>
        <v>48099.16</v>
      </c>
      <c r="Y19" s="4"/>
      <c r="Z19" s="12">
        <f t="shared" ref="Z19:Z22" si="11">IF(T19=0,0,X19/T19)</f>
        <v>0.33672274143302183</v>
      </c>
    </row>
    <row r="20" spans="1:26" s="24" customFormat="1" hidden="1" outlineLevel="1" x14ac:dyDescent="0.3">
      <c r="A20" s="44"/>
      <c r="B20" s="11" t="str">
        <f>CONCATENATE("          ", "5000", " - ", "PURCHASES @ COST")</f>
        <v xml:space="preserve">          5000 - PURCHASES @ COST</v>
      </c>
      <c r="C20" s="11"/>
      <c r="D20" s="2"/>
      <c r="E20" s="2"/>
      <c r="F20" s="19">
        <f t="shared" si="4"/>
        <v>0</v>
      </c>
      <c r="G20" s="2"/>
      <c r="H20" s="2">
        <v>28317</v>
      </c>
      <c r="I20" s="2"/>
      <c r="J20" s="19">
        <f t="shared" si="5"/>
        <v>0.34479525612770467</v>
      </c>
      <c r="K20" s="2"/>
      <c r="L20" s="2">
        <f t="shared" si="6"/>
        <v>-28317</v>
      </c>
      <c r="M20" s="2"/>
      <c r="N20" s="19">
        <f t="shared" si="7"/>
        <v>-1</v>
      </c>
      <c r="O20" s="11"/>
      <c r="P20" s="2"/>
      <c r="Q20" s="2"/>
      <c r="R20" s="19">
        <f t="shared" si="8"/>
        <v>0</v>
      </c>
      <c r="S20" s="2"/>
      <c r="T20" s="2">
        <v>142845</v>
      </c>
      <c r="U20" s="2"/>
      <c r="V20" s="19">
        <f t="shared" si="9"/>
        <v>0.34549940137140367</v>
      </c>
      <c r="W20" s="2"/>
      <c r="X20" s="2">
        <f t="shared" si="10"/>
        <v>-142845</v>
      </c>
      <c r="Y20" s="2"/>
      <c r="Z20" s="19">
        <f t="shared" si="11"/>
        <v>-1</v>
      </c>
    </row>
    <row r="21" spans="1:26" s="24" customFormat="1" hidden="1" outlineLevel="1" x14ac:dyDescent="0.3">
      <c r="A21" s="44"/>
      <c r="B21" s="11" t="str">
        <f>CONCATENATE("          ", "5053", " - ", "PURCHASES @ COST-FOOD")</f>
        <v xml:space="preserve">          5053 - PURCHASES @ COST-FOOD</v>
      </c>
      <c r="C21" s="11"/>
      <c r="D21" s="2">
        <v>38763.83</v>
      </c>
      <c r="E21" s="2"/>
      <c r="F21" s="19">
        <f t="shared" si="4"/>
        <v>0.37886429544116668</v>
      </c>
      <c r="G21" s="2"/>
      <c r="H21" s="2"/>
      <c r="I21" s="2"/>
      <c r="J21" s="19">
        <f t="shared" si="5"/>
        <v>0</v>
      </c>
      <c r="K21" s="2"/>
      <c r="L21" s="2">
        <f t="shared" si="6"/>
        <v>38763.83</v>
      </c>
      <c r="M21" s="2"/>
      <c r="N21" s="19">
        <f t="shared" si="7"/>
        <v>0</v>
      </c>
      <c r="O21" s="11"/>
      <c r="P21" s="2">
        <v>193124.76</v>
      </c>
      <c r="Q21" s="2"/>
      <c r="R21" s="19">
        <f t="shared" si="8"/>
        <v>0.39819341100167754</v>
      </c>
      <c r="S21" s="2"/>
      <c r="T21" s="2"/>
      <c r="U21" s="2"/>
      <c r="V21" s="19">
        <f t="shared" si="9"/>
        <v>0</v>
      </c>
      <c r="W21" s="2"/>
      <c r="X21" s="2">
        <f t="shared" si="10"/>
        <v>193124.76</v>
      </c>
      <c r="Y21" s="2"/>
      <c r="Z21" s="19">
        <f t="shared" si="11"/>
        <v>0</v>
      </c>
    </row>
    <row r="22" spans="1:26" s="24" customFormat="1" hidden="1" outlineLevel="1" x14ac:dyDescent="0.3">
      <c r="A22" s="44"/>
      <c r="B22" s="11" t="str">
        <f>CONCATENATE("          ", "5059", " - ", "PURCHASES @ COST-FOOD")</f>
        <v xml:space="preserve">          5059 - PURCHASES @ COST-FOOD</v>
      </c>
      <c r="C22" s="11"/>
      <c r="D22" s="2">
        <v>4058.26</v>
      </c>
      <c r="E22" s="2"/>
      <c r="F22" s="19">
        <f t="shared" si="4"/>
        <v>3.9664032568945566E-2</v>
      </c>
      <c r="G22" s="2"/>
      <c r="H22" s="2"/>
      <c r="I22" s="2"/>
      <c r="J22" s="19">
        <f t="shared" si="5"/>
        <v>0</v>
      </c>
      <c r="K22" s="2"/>
      <c r="L22" s="2">
        <f t="shared" si="6"/>
        <v>4058.26</v>
      </c>
      <c r="M22" s="2"/>
      <c r="N22" s="19">
        <f t="shared" si="7"/>
        <v>0</v>
      </c>
      <c r="O22" s="11"/>
      <c r="P22" s="2">
        <v>-2180.6</v>
      </c>
      <c r="Q22" s="2"/>
      <c r="R22" s="19">
        <f t="shared" si="8"/>
        <v>-4.4960602256813569E-3</v>
      </c>
      <c r="S22" s="2"/>
      <c r="T22" s="2"/>
      <c r="U22" s="2"/>
      <c r="V22" s="19">
        <f t="shared" si="9"/>
        <v>0</v>
      </c>
      <c r="W22" s="2"/>
      <c r="X22" s="2">
        <f t="shared" si="10"/>
        <v>-2180.6</v>
      </c>
      <c r="Y22" s="2"/>
      <c r="Z22" s="19">
        <f t="shared" si="11"/>
        <v>0</v>
      </c>
    </row>
    <row r="23" spans="1:26" x14ac:dyDescent="0.3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3">
      <c r="A24" s="10"/>
      <c r="B24" s="26" t="s">
        <v>108</v>
      </c>
      <c r="C24" s="26"/>
      <c r="D24" s="20">
        <f>D12-D19</f>
        <v>59493.779999999992</v>
      </c>
      <c r="E24" s="13"/>
      <c r="F24" s="22">
        <f>IF(D$12=0,0,D24/D$12)</f>
        <v>0.5814716719898877</v>
      </c>
      <c r="G24" s="13"/>
      <c r="H24" s="20">
        <f>H12-H19</f>
        <v>53810</v>
      </c>
      <c r="I24" s="13"/>
      <c r="J24" s="22">
        <f>IF(H$12=0,0,H24/H$12)</f>
        <v>0.65520474387229533</v>
      </c>
      <c r="K24" s="15"/>
      <c r="L24" s="20">
        <f>+D24-H24</f>
        <v>5683.7799999999916</v>
      </c>
      <c r="M24" s="15"/>
      <c r="N24" s="22">
        <f>IF(H24=0,0,L24/H24)</f>
        <v>0.10562683516075064</v>
      </c>
      <c r="O24" s="25"/>
      <c r="P24" s="20">
        <f>P12-P19</f>
        <v>294058.23999999999</v>
      </c>
      <c r="Q24" s="13"/>
      <c r="R24" s="22">
        <f>IF(P$12=0,0,P24/P$12)</f>
        <v>0.60630264922400379</v>
      </c>
      <c r="S24" s="13"/>
      <c r="T24" s="20">
        <f>T12-T19</f>
        <v>270600</v>
      </c>
      <c r="U24" s="13"/>
      <c r="V24" s="22">
        <f>IF(T$12=0,0,T24/T$12)</f>
        <v>0.65450059862859633</v>
      </c>
      <c r="W24" s="15"/>
      <c r="X24" s="20">
        <f>+P24-T24</f>
        <v>23458.239999999991</v>
      </c>
      <c r="Y24" s="15"/>
      <c r="Z24" s="22">
        <f>IF(T24=0,0,X24/T24)</f>
        <v>8.6689726533628941E-2</v>
      </c>
    </row>
    <row r="25" spans="1:26" x14ac:dyDescent="0.3">
      <c r="A25" s="9"/>
      <c r="B25" s="10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3">
      <c r="A26" s="10"/>
      <c r="B26" s="25" t="s">
        <v>295</v>
      </c>
      <c r="C26" s="10"/>
      <c r="D26" s="21">
        <f>SUM(OSRRefD22x_0)</f>
        <v>164464.44</v>
      </c>
      <c r="E26" s="21"/>
      <c r="F26" s="30">
        <f t="shared" ref="F26:F36" si="12">IF(D$12=0,0,D26/D$12)</f>
        <v>1.6074186731735751</v>
      </c>
      <c r="G26" s="21"/>
      <c r="H26" s="21">
        <f>SUM(OSRRefH22x_0)</f>
        <v>156299.09662196832</v>
      </c>
      <c r="I26" s="21"/>
      <c r="J26" s="30">
        <f t="shared" ref="J26:J36" si="13">IF(H$12=0,0,H26/H$12)</f>
        <v>1.9031389996221502</v>
      </c>
      <c r="K26" s="4"/>
      <c r="L26" s="21">
        <f t="shared" ref="L26:L36" si="14">+D26-H26</f>
        <v>8165.3433780316846</v>
      </c>
      <c r="M26" s="4"/>
      <c r="N26" s="30">
        <f t="shared" ref="N26:N36" si="15">IF(H26=0,0,L26/H26)</f>
        <v>5.2241782291171733E-2</v>
      </c>
      <c r="O26" s="10"/>
      <c r="P26" s="21">
        <f>SUM(OSRRefP22x_0)</f>
        <v>895088.89999999979</v>
      </c>
      <c r="Q26" s="21"/>
      <c r="R26" s="30">
        <f t="shared" ref="R26:R36" si="16">IF(P$12=0,0,P26/P$12)</f>
        <v>1.8455349911670536</v>
      </c>
      <c r="S26" s="21"/>
      <c r="T26" s="21">
        <f>SUM(OSRRefT22x_0)</f>
        <v>862976.92717568297</v>
      </c>
      <c r="U26" s="21"/>
      <c r="V26" s="30">
        <f t="shared" ref="V26:V36" si="17">IF(T$12=0,0,T26/T$12)</f>
        <v>2.0872835012533297</v>
      </c>
      <c r="W26" s="4"/>
      <c r="X26" s="21">
        <f t="shared" ref="X26:X36" si="18">+P26-T26</f>
        <v>32111.972824316821</v>
      </c>
      <c r="Y26" s="4"/>
      <c r="Z26" s="30">
        <f t="shared" ref="Z26:Z36" si="19">IF(T26=0,0,X26/T26)</f>
        <v>3.7210696848421689E-2</v>
      </c>
    </row>
    <row r="27" spans="1:26" s="29" customFormat="1" outlineLevel="1" collapsed="1" x14ac:dyDescent="0.3">
      <c r="A27" s="28"/>
      <c r="B27" s="14" t="str">
        <f>CONCATENATE("     ","*Benefits                                         ")</f>
        <v xml:space="preserve">     *Benefits                                         </v>
      </c>
      <c r="C27" s="14"/>
      <c r="D27" s="1">
        <f>SUM(OSRRefD22_0x_0)</f>
        <v>28911.850000000002</v>
      </c>
      <c r="E27" s="1"/>
      <c r="F27" s="5">
        <f t="shared" si="12"/>
        <v>0.28257444324130754</v>
      </c>
      <c r="G27" s="1"/>
      <c r="H27" s="1">
        <f>SUM(OSRRefH22_0x_0)</f>
        <v>24649.384881968319</v>
      </c>
      <c r="I27" s="1"/>
      <c r="J27" s="5">
        <f t="shared" si="13"/>
        <v>0.30013740769744807</v>
      </c>
      <c r="K27" s="1"/>
      <c r="L27" s="1">
        <f t="shared" si="14"/>
        <v>4262.4651180316832</v>
      </c>
      <c r="M27" s="1"/>
      <c r="N27" s="5">
        <f t="shared" si="15"/>
        <v>0.17292379255880702</v>
      </c>
      <c r="O27" s="14"/>
      <c r="P27" s="1">
        <f>SUM(OSRRefP22_0x_0)</f>
        <v>146648.34000000003</v>
      </c>
      <c r="Q27" s="1"/>
      <c r="R27" s="5">
        <f t="shared" si="16"/>
        <v>0.3023662150950181</v>
      </c>
      <c r="S27" s="1"/>
      <c r="T27" s="1">
        <f>SUM(OSRRefT22_0x_0)</f>
        <v>140414.69144568284</v>
      </c>
      <c r="U27" s="1"/>
      <c r="V27" s="5">
        <f t="shared" si="17"/>
        <v>0.33962121067054346</v>
      </c>
      <c r="W27" s="1"/>
      <c r="X27" s="1">
        <f t="shared" si="18"/>
        <v>6233.6485543171875</v>
      </c>
      <c r="Y27" s="1"/>
      <c r="Z27" s="5">
        <f t="shared" si="19"/>
        <v>4.4394560783752278E-2</v>
      </c>
    </row>
    <row r="28" spans="1:26" s="24" customFormat="1" hidden="1" outlineLevel="2" x14ac:dyDescent="0.3">
      <c r="A28" s="27"/>
      <c r="B28" s="11" t="str">
        <f>CONCATENATE("          ", "6111", " - ", "F.I.C.A.")</f>
        <v xml:space="preserve">          6111 - F.I.C.A.</v>
      </c>
      <c r="C28" s="11"/>
      <c r="D28" s="6">
        <v>3988.72</v>
      </c>
      <c r="E28" s="2"/>
      <c r="F28" s="7">
        <f t="shared" si="12"/>
        <v>3.8984372610035962E-2</v>
      </c>
      <c r="G28" s="2"/>
      <c r="H28" s="6">
        <v>3069.49314166061</v>
      </c>
      <c r="I28" s="2"/>
      <c r="J28" s="7">
        <f t="shared" si="13"/>
        <v>3.7374957585941407E-2</v>
      </c>
      <c r="K28" s="2"/>
      <c r="L28" s="6">
        <f t="shared" si="14"/>
        <v>919.22685833938976</v>
      </c>
      <c r="M28" s="2"/>
      <c r="N28" s="7">
        <f t="shared" si="15"/>
        <v>0.29947187236329309</v>
      </c>
      <c r="O28" s="11"/>
      <c r="P28" s="6">
        <v>21769.34</v>
      </c>
      <c r="Q28" s="2"/>
      <c r="R28" s="7">
        <f t="shared" si="16"/>
        <v>4.4885015001987619E-2</v>
      </c>
      <c r="S28" s="2"/>
      <c r="T28" s="6">
        <v>18316.561095067402</v>
      </c>
      <c r="U28" s="2"/>
      <c r="V28" s="7">
        <f t="shared" si="17"/>
        <v>4.4302291949515418E-2</v>
      </c>
      <c r="W28" s="2"/>
      <c r="X28" s="6">
        <f t="shared" si="18"/>
        <v>3452.7789049325984</v>
      </c>
      <c r="Y28" s="2"/>
      <c r="Z28" s="7">
        <f t="shared" si="19"/>
        <v>0.18850584927005878</v>
      </c>
    </row>
    <row r="29" spans="1:26" s="24" customFormat="1" hidden="1" outlineLevel="2" x14ac:dyDescent="0.3">
      <c r="A29" s="27"/>
      <c r="B29" s="11" t="str">
        <f>CONCATENATE("          ", "6112", " - ", "COMPENSATION INSURANCE")</f>
        <v xml:space="preserve">          6112 - COMPENSATION INSURANCE</v>
      </c>
      <c r="C29" s="11"/>
      <c r="D29" s="6">
        <v>1951.33</v>
      </c>
      <c r="E29" s="2"/>
      <c r="F29" s="7">
        <f t="shared" si="12"/>
        <v>1.9071625936426088E-2</v>
      </c>
      <c r="G29" s="2"/>
      <c r="H29" s="6">
        <v>2206.7792177569199</v>
      </c>
      <c r="I29" s="2"/>
      <c r="J29" s="7">
        <f t="shared" si="13"/>
        <v>2.6870325444213472E-2</v>
      </c>
      <c r="K29" s="2"/>
      <c r="L29" s="6">
        <f t="shared" si="14"/>
        <v>-255.44921775692001</v>
      </c>
      <c r="M29" s="2"/>
      <c r="N29" s="7">
        <f t="shared" si="15"/>
        <v>-0.11575658122092126</v>
      </c>
      <c r="O29" s="11"/>
      <c r="P29" s="6">
        <v>9912.69</v>
      </c>
      <c r="Q29" s="2"/>
      <c r="R29" s="7">
        <f t="shared" si="16"/>
        <v>2.0438434943827081E-2</v>
      </c>
      <c r="S29" s="2"/>
      <c r="T29" s="6">
        <v>12552.397113283099</v>
      </c>
      <c r="U29" s="2"/>
      <c r="V29" s="7">
        <f t="shared" si="17"/>
        <v>3.0360500461447348E-2</v>
      </c>
      <c r="W29" s="2"/>
      <c r="X29" s="6">
        <f t="shared" si="18"/>
        <v>-2639.7071132830988</v>
      </c>
      <c r="Y29" s="2"/>
      <c r="Z29" s="7">
        <f t="shared" si="19"/>
        <v>-0.21029506073303947</v>
      </c>
    </row>
    <row r="30" spans="1:26" s="24" customFormat="1" hidden="1" outlineLevel="2" x14ac:dyDescent="0.3">
      <c r="A30" s="27"/>
      <c r="B30" s="11" t="str">
        <f>CONCATENATE("          ", "6113", " - ", "GROUP INSURANCE")</f>
        <v xml:space="preserve">          6113 - GROUP INSURANCE</v>
      </c>
      <c r="C30" s="11"/>
      <c r="D30" s="6">
        <v>12571.1</v>
      </c>
      <c r="E30" s="2"/>
      <c r="F30" s="7">
        <f t="shared" si="12"/>
        <v>0.12286559260063958</v>
      </c>
      <c r="G30" s="2"/>
      <c r="H30" s="6">
        <v>11557.3807692308</v>
      </c>
      <c r="I30" s="2"/>
      <c r="J30" s="7">
        <f t="shared" si="13"/>
        <v>0.14072571467642553</v>
      </c>
      <c r="K30" s="2"/>
      <c r="L30" s="6">
        <f t="shared" si="14"/>
        <v>1013.7192307692003</v>
      </c>
      <c r="M30" s="2"/>
      <c r="N30" s="7">
        <f t="shared" si="15"/>
        <v>8.7711848472451795E-2</v>
      </c>
      <c r="O30" s="11"/>
      <c r="P30" s="6">
        <v>62291.98</v>
      </c>
      <c r="Q30" s="2"/>
      <c r="R30" s="7">
        <f t="shared" si="16"/>
        <v>0.12843643660320031</v>
      </c>
      <c r="S30" s="2"/>
      <c r="T30" s="6">
        <v>67453.042307692303</v>
      </c>
      <c r="U30" s="2"/>
      <c r="V30" s="7">
        <f t="shared" si="17"/>
        <v>0.16314876781117754</v>
      </c>
      <c r="W30" s="2"/>
      <c r="X30" s="6">
        <f t="shared" si="18"/>
        <v>-5161.0623076923002</v>
      </c>
      <c r="Y30" s="2"/>
      <c r="Z30" s="7">
        <f t="shared" si="19"/>
        <v>-7.6513410383325819E-2</v>
      </c>
    </row>
    <row r="31" spans="1:26" s="24" customFormat="1" hidden="1" outlineLevel="2" x14ac:dyDescent="0.3">
      <c r="A31" s="27"/>
      <c r="B31" s="11" t="str">
        <f>CONCATENATE("          ", "6114", " - ", "STATE UNEMPLOYMENT INSURANCE")</f>
        <v xml:space="preserve">          6114 - STATE UNEMPLOYMENT INSURANCE</v>
      </c>
      <c r="C31" s="11"/>
      <c r="D31" s="6">
        <v>171.05</v>
      </c>
      <c r="E31" s="2"/>
      <c r="F31" s="7">
        <f t="shared" si="12"/>
        <v>1.6717836636682072E-3</v>
      </c>
      <c r="G31" s="2"/>
      <c r="H31" s="6">
        <v>122.275365627692</v>
      </c>
      <c r="I31" s="2"/>
      <c r="J31" s="7">
        <f t="shared" si="13"/>
        <v>1.4888570826609032E-3</v>
      </c>
      <c r="K31" s="2"/>
      <c r="L31" s="6">
        <f t="shared" si="14"/>
        <v>48.774634372308014</v>
      </c>
      <c r="M31" s="2"/>
      <c r="N31" s="7">
        <f t="shared" si="15"/>
        <v>0.39889174832499463</v>
      </c>
      <c r="O31" s="11"/>
      <c r="P31" s="6">
        <v>877.66</v>
      </c>
      <c r="Q31" s="2"/>
      <c r="R31" s="7">
        <f t="shared" si="16"/>
        <v>1.8095992927045308E-3</v>
      </c>
      <c r="S31" s="2"/>
      <c r="T31" s="6">
        <v>695.51540733230797</v>
      </c>
      <c r="U31" s="2"/>
      <c r="V31" s="7">
        <f t="shared" si="17"/>
        <v>1.6822440888928586E-3</v>
      </c>
      <c r="W31" s="2"/>
      <c r="X31" s="6">
        <f t="shared" si="18"/>
        <v>182.144592667692</v>
      </c>
      <c r="Y31" s="2"/>
      <c r="Z31" s="7">
        <f t="shared" si="19"/>
        <v>0.26188433893408453</v>
      </c>
    </row>
    <row r="32" spans="1:26" s="24" customFormat="1" hidden="1" outlineLevel="2" x14ac:dyDescent="0.3">
      <c r="A32" s="27"/>
      <c r="B32" s="11" t="str">
        <f>CONCATENATE("          ", "6115", " - ", "P.E.R.S.")</f>
        <v xml:space="preserve">          6115 - P.E.R.S.</v>
      </c>
      <c r="C32" s="11"/>
      <c r="D32" s="6">
        <v>3325.3</v>
      </c>
      <c r="E32" s="2"/>
      <c r="F32" s="7">
        <f t="shared" si="12"/>
        <v>3.2500334503337558E-2</v>
      </c>
      <c r="G32" s="2"/>
      <c r="H32" s="6">
        <v>2348.8135430769198</v>
      </c>
      <c r="I32" s="2"/>
      <c r="J32" s="7">
        <f t="shared" si="13"/>
        <v>2.8599772828386764E-2</v>
      </c>
      <c r="K32" s="2"/>
      <c r="L32" s="6">
        <f t="shared" si="14"/>
        <v>976.48645692308037</v>
      </c>
      <c r="M32" s="2"/>
      <c r="N32" s="7">
        <f t="shared" si="15"/>
        <v>0.41573604673783254</v>
      </c>
      <c r="O32" s="11"/>
      <c r="P32" s="6">
        <v>17348.12</v>
      </c>
      <c r="Q32" s="2"/>
      <c r="R32" s="7">
        <f t="shared" si="16"/>
        <v>3.576914258568617E-2</v>
      </c>
      <c r="S32" s="2"/>
      <c r="T32" s="6">
        <v>12918.4744869231</v>
      </c>
      <c r="U32" s="2"/>
      <c r="V32" s="7">
        <f t="shared" si="17"/>
        <v>3.1245932317292748E-2</v>
      </c>
      <c r="W32" s="2"/>
      <c r="X32" s="6">
        <f t="shared" si="18"/>
        <v>4429.6455130768991</v>
      </c>
      <c r="Y32" s="2"/>
      <c r="Z32" s="7">
        <f t="shared" si="19"/>
        <v>0.34289230648408736</v>
      </c>
    </row>
    <row r="33" spans="1:26" s="24" customFormat="1" hidden="1" outlineLevel="2" x14ac:dyDescent="0.3">
      <c r="A33" s="27"/>
      <c r="B33" s="11" t="str">
        <f>CONCATENATE("          ", "6116", " - ", "EDUCATIONAL BENEFITS")</f>
        <v xml:space="preserve">          6116 - EDUCATIONAL BENEFITS</v>
      </c>
      <c r="C33" s="11"/>
      <c r="D33" s="6"/>
      <c r="E33" s="2"/>
      <c r="F33" s="7">
        <f t="shared" si="12"/>
        <v>0</v>
      </c>
      <c r="G33" s="2"/>
      <c r="H33" s="6">
        <v>0</v>
      </c>
      <c r="I33" s="2"/>
      <c r="J33" s="7">
        <f t="shared" si="13"/>
        <v>0</v>
      </c>
      <c r="K33" s="2"/>
      <c r="L33" s="6">
        <f t="shared" si="14"/>
        <v>0</v>
      </c>
      <c r="M33" s="2"/>
      <c r="N33" s="7">
        <f t="shared" si="15"/>
        <v>0</v>
      </c>
      <c r="O33" s="11"/>
      <c r="P33" s="6"/>
      <c r="Q33" s="2"/>
      <c r="R33" s="7">
        <f t="shared" si="16"/>
        <v>0</v>
      </c>
      <c r="S33" s="2"/>
      <c r="T33" s="6">
        <v>0</v>
      </c>
      <c r="U33" s="2"/>
      <c r="V33" s="7">
        <f t="shared" si="17"/>
        <v>0</v>
      </c>
      <c r="W33" s="2"/>
      <c r="X33" s="6">
        <f t="shared" si="18"/>
        <v>0</v>
      </c>
      <c r="Y33" s="2"/>
      <c r="Z33" s="7">
        <f t="shared" si="19"/>
        <v>0</v>
      </c>
    </row>
    <row r="34" spans="1:26" s="24" customFormat="1" hidden="1" outlineLevel="2" x14ac:dyDescent="0.3">
      <c r="A34" s="27"/>
      <c r="B34" s="11" t="str">
        <f>CONCATENATE("          ", "6118", " - ", "VACATION")</f>
        <v xml:space="preserve">          6118 - VACATION</v>
      </c>
      <c r="C34" s="11"/>
      <c r="D34" s="6">
        <v>3268.5</v>
      </c>
      <c r="E34" s="2"/>
      <c r="F34" s="7">
        <f t="shared" si="12"/>
        <v>3.1945190907334317E-2</v>
      </c>
      <c r="G34" s="2"/>
      <c r="H34" s="6">
        <v>2191.7401683076901</v>
      </c>
      <c r="I34" s="2"/>
      <c r="J34" s="7">
        <f t="shared" si="13"/>
        <v>2.6687206013950224E-2</v>
      </c>
      <c r="K34" s="2"/>
      <c r="L34" s="6">
        <f t="shared" si="14"/>
        <v>1076.7598316923099</v>
      </c>
      <c r="M34" s="2"/>
      <c r="N34" s="7">
        <f t="shared" si="15"/>
        <v>0.49128078558860805</v>
      </c>
      <c r="O34" s="11"/>
      <c r="P34" s="6">
        <v>16667.650000000001</v>
      </c>
      <c r="Q34" s="2"/>
      <c r="R34" s="7">
        <f t="shared" si="16"/>
        <v>3.4366118600650225E-2</v>
      </c>
      <c r="S34" s="2"/>
      <c r="T34" s="6">
        <v>12443.7289096923</v>
      </c>
      <c r="U34" s="2"/>
      <c r="V34" s="7">
        <f t="shared" si="17"/>
        <v>3.0097664525371694E-2</v>
      </c>
      <c r="W34" s="2"/>
      <c r="X34" s="6">
        <f t="shared" si="18"/>
        <v>4223.9210903077019</v>
      </c>
      <c r="Y34" s="2"/>
      <c r="Z34" s="7">
        <f t="shared" si="19"/>
        <v>0.33944174780420772</v>
      </c>
    </row>
    <row r="35" spans="1:26" s="24" customFormat="1" hidden="1" outlineLevel="2" x14ac:dyDescent="0.3">
      <c r="A35" s="27"/>
      <c r="B35" s="11" t="str">
        <f>CONCATENATE("          ", "6119", " - ", "SICK LEAVE")</f>
        <v xml:space="preserve">          6119 - SICK LEAVE</v>
      </c>
      <c r="C35" s="11"/>
      <c r="D35" s="6">
        <v>2122.29</v>
      </c>
      <c r="E35" s="2"/>
      <c r="F35" s="7">
        <f t="shared" si="12"/>
        <v>2.0742529971156966E-2</v>
      </c>
      <c r="G35" s="2"/>
      <c r="H35" s="6">
        <v>1031.9026763076899</v>
      </c>
      <c r="I35" s="2"/>
      <c r="J35" s="7">
        <f t="shared" si="13"/>
        <v>1.256471898775908E-2</v>
      </c>
      <c r="K35" s="2"/>
      <c r="L35" s="6">
        <f t="shared" si="14"/>
        <v>1090.38732369231</v>
      </c>
      <c r="M35" s="2"/>
      <c r="N35" s="7">
        <f t="shared" si="15"/>
        <v>1.0566765148762742</v>
      </c>
      <c r="O35" s="11"/>
      <c r="P35" s="6">
        <v>10756.26</v>
      </c>
      <c r="Q35" s="2"/>
      <c r="R35" s="7">
        <f t="shared" si="16"/>
        <v>2.217774592455625E-2</v>
      </c>
      <c r="S35" s="2"/>
      <c r="T35" s="6">
        <v>5861.9721256923103</v>
      </c>
      <c r="U35" s="2"/>
      <c r="V35" s="7">
        <f t="shared" si="17"/>
        <v>1.4178360182593356E-2</v>
      </c>
      <c r="W35" s="2"/>
      <c r="X35" s="6">
        <f t="shared" si="18"/>
        <v>4894.2878743076899</v>
      </c>
      <c r="Y35" s="2"/>
      <c r="Z35" s="7">
        <f t="shared" si="19"/>
        <v>0.83492172418504373</v>
      </c>
    </row>
    <row r="36" spans="1:26" s="24" customFormat="1" hidden="1" outlineLevel="2" x14ac:dyDescent="0.3">
      <c r="A36" s="27"/>
      <c r="B36" s="11" t="str">
        <f>CONCATENATE("          ", "6156", " - ", "EMPLOYEE MEALS")</f>
        <v xml:space="preserve">          6156 - EMPLOYEE MEALS</v>
      </c>
      <c r="C36" s="11"/>
      <c r="D36" s="6">
        <v>1513.56</v>
      </c>
      <c r="E36" s="2"/>
      <c r="F36" s="7">
        <f t="shared" si="12"/>
        <v>1.4793013048708866E-2</v>
      </c>
      <c r="G36" s="2"/>
      <c r="H36" s="6">
        <v>2121</v>
      </c>
      <c r="I36" s="2"/>
      <c r="J36" s="7">
        <f t="shared" si="13"/>
        <v>2.5825855078110731E-2</v>
      </c>
      <c r="K36" s="2"/>
      <c r="L36" s="6">
        <f t="shared" si="14"/>
        <v>-607.44000000000005</v>
      </c>
      <c r="M36" s="2"/>
      <c r="N36" s="7">
        <f t="shared" si="15"/>
        <v>-0.28639321074964641</v>
      </c>
      <c r="O36" s="11"/>
      <c r="P36" s="6">
        <v>7024.64</v>
      </c>
      <c r="Q36" s="2"/>
      <c r="R36" s="7">
        <f t="shared" si="16"/>
        <v>1.4483722142405894E-2</v>
      </c>
      <c r="S36" s="2"/>
      <c r="T36" s="6">
        <v>10173</v>
      </c>
      <c r="U36" s="2"/>
      <c r="V36" s="7">
        <f t="shared" si="17"/>
        <v>2.460544933425244E-2</v>
      </c>
      <c r="W36" s="2"/>
      <c r="X36" s="6">
        <f t="shared" si="18"/>
        <v>-3148.3599999999997</v>
      </c>
      <c r="Y36" s="2"/>
      <c r="Z36" s="7">
        <f t="shared" si="19"/>
        <v>-0.30948196205642381</v>
      </c>
    </row>
    <row r="37" spans="1:26" s="29" customFormat="1" outlineLevel="1" collapsed="1" x14ac:dyDescent="0.3">
      <c r="A37" s="28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61290.879999999997</v>
      </c>
      <c r="E37" s="1"/>
      <c r="F37" s="5">
        <f t="shared" ref="F37:F47" si="20">IF(D$12=0,0,D37/D$12)</f>
        <v>0.59903590713737764</v>
      </c>
      <c r="G37" s="1"/>
      <c r="H37" s="1">
        <f>SUM(OSRRefH22_1x_0)</f>
        <v>55066.711739999999</v>
      </c>
      <c r="I37" s="1"/>
      <c r="J37" s="5">
        <f t="shared" ref="J37:J47" si="21">IF(H$12=0,0,H37/H$12)</f>
        <v>0.67050679727738749</v>
      </c>
      <c r="K37" s="1"/>
      <c r="L37" s="1">
        <f t="shared" ref="L37:L47" si="22">+D37-H37</f>
        <v>6224.1682599999986</v>
      </c>
      <c r="M37" s="1"/>
      <c r="N37" s="5">
        <f t="shared" ref="N37:N47" si="23">IF(H37=0,0,L37/H37)</f>
        <v>0.11302959743424837</v>
      </c>
      <c r="O37" s="14"/>
      <c r="P37" s="1">
        <f>SUM(OSRRefP22_1x_0)</f>
        <v>321810.09999999998</v>
      </c>
      <c r="Q37" s="1"/>
      <c r="R37" s="5">
        <f t="shared" ref="R37:R47" si="24">IF(P$12=0,0,P37/P$12)</f>
        <v>0.66352269597016422</v>
      </c>
      <c r="S37" s="1"/>
      <c r="T37" s="1">
        <f>SUM(OSRRefT22_1x_0)</f>
        <v>313250.23572999996</v>
      </c>
      <c r="U37" s="1"/>
      <c r="V37" s="5">
        <f t="shared" ref="V37:V47" si="25">IF(T$12=0,0,T37/T$12)</f>
        <v>0.7576587834657571</v>
      </c>
      <c r="W37" s="1"/>
      <c r="X37" s="1">
        <f t="shared" ref="X37:X47" si="26">+P37-T37</f>
        <v>8559.86427000002</v>
      </c>
      <c r="Y37" s="1"/>
      <c r="Z37" s="5">
        <f t="shared" ref="Z37:Z47" si="27">IF(T37=0,0,X37/T37)</f>
        <v>2.7325962740465521E-2</v>
      </c>
    </row>
    <row r="38" spans="1:26" s="24" customFormat="1" hidden="1" outlineLevel="2" x14ac:dyDescent="0.3">
      <c r="A38" s="27"/>
      <c r="B38" s="11" t="str">
        <f>CONCATENATE("          ", "6001", " - ", "ADMINISTRATIVE SALARIES")</f>
        <v xml:space="preserve">          6001 - ADMINISTRATIVE SALARIES</v>
      </c>
      <c r="C38" s="11"/>
      <c r="D38" s="6">
        <v>9209.65</v>
      </c>
      <c r="E38" s="2"/>
      <c r="F38" s="7">
        <f t="shared" si="20"/>
        <v>9.0011940474141502E-2</v>
      </c>
      <c r="G38" s="2"/>
      <c r="H38" s="6">
        <v>10268.307692307701</v>
      </c>
      <c r="I38" s="2"/>
      <c r="J38" s="7">
        <f t="shared" si="21"/>
        <v>0.12502962110277618</v>
      </c>
      <c r="K38" s="2"/>
      <c r="L38" s="6">
        <f t="shared" si="22"/>
        <v>-1058.6576923077009</v>
      </c>
      <c r="M38" s="2"/>
      <c r="N38" s="7">
        <f t="shared" si="23"/>
        <v>-0.10309952954572771</v>
      </c>
      <c r="O38" s="11"/>
      <c r="P38" s="6">
        <v>52933.31</v>
      </c>
      <c r="Q38" s="2"/>
      <c r="R38" s="7">
        <f t="shared" si="24"/>
        <v>0.10914030528508724</v>
      </c>
      <c r="S38" s="2"/>
      <c r="T38" s="6">
        <v>56475.692307692298</v>
      </c>
      <c r="U38" s="2"/>
      <c r="V38" s="7">
        <f t="shared" si="25"/>
        <v>0.1365978360064635</v>
      </c>
      <c r="W38" s="2"/>
      <c r="X38" s="6">
        <f t="shared" si="26"/>
        <v>-3542.3823076922999</v>
      </c>
      <c r="Y38" s="2"/>
      <c r="Z38" s="7">
        <f t="shared" si="27"/>
        <v>-6.2724017412528615E-2</v>
      </c>
    </row>
    <row r="39" spans="1:26" s="24" customFormat="1" hidden="1" outlineLevel="2" x14ac:dyDescent="0.3">
      <c r="A39" s="27"/>
      <c r="B39" s="11" t="str">
        <f>CONCATENATE("          ", "6002", " - ", "STAFF SALARIES")</f>
        <v xml:space="preserve">          6002 - STAFF SALARIES</v>
      </c>
      <c r="C39" s="11"/>
      <c r="D39" s="6">
        <v>21413.4</v>
      </c>
      <c r="E39" s="2"/>
      <c r="F39" s="7">
        <f t="shared" si="20"/>
        <v>0.20928718096224957</v>
      </c>
      <c r="G39" s="2"/>
      <c r="H39" s="6">
        <v>14790.503807692299</v>
      </c>
      <c r="I39" s="2"/>
      <c r="J39" s="7">
        <f t="shared" si="21"/>
        <v>0.18009307301730612</v>
      </c>
      <c r="K39" s="2"/>
      <c r="L39" s="6">
        <f t="shared" si="22"/>
        <v>6622.8961923077022</v>
      </c>
      <c r="M39" s="2"/>
      <c r="N39" s="7">
        <f t="shared" si="23"/>
        <v>0.44778029730557534</v>
      </c>
      <c r="O39" s="11"/>
      <c r="P39" s="6">
        <v>110936.4</v>
      </c>
      <c r="Q39" s="2"/>
      <c r="R39" s="7">
        <f t="shared" si="24"/>
        <v>0.22873371348265492</v>
      </c>
      <c r="S39" s="2"/>
      <c r="T39" s="6">
        <v>81347.770942307703</v>
      </c>
      <c r="U39" s="2"/>
      <c r="V39" s="7">
        <f t="shared" si="25"/>
        <v>0.19675596740148679</v>
      </c>
      <c r="W39" s="2"/>
      <c r="X39" s="6">
        <f t="shared" si="26"/>
        <v>29588.629057692291</v>
      </c>
      <c r="Y39" s="2"/>
      <c r="Z39" s="7">
        <f t="shared" si="27"/>
        <v>0.36373005326325059</v>
      </c>
    </row>
    <row r="40" spans="1:26" s="24" customFormat="1" hidden="1" outlineLevel="2" x14ac:dyDescent="0.3">
      <c r="A40" s="27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3">
      <c r="A41" s="27"/>
      <c r="B41" s="11" t="str">
        <f>CONCATENATE("          ", "6004", " - ", "STAFF HOURLY")</f>
        <v xml:space="preserve">          6004 - STAFF HOURLY</v>
      </c>
      <c r="C41" s="11"/>
      <c r="D41" s="6">
        <v>9039.24</v>
      </c>
      <c r="E41" s="2"/>
      <c r="F41" s="7">
        <f t="shared" si="20"/>
        <v>8.834641194958319E-2</v>
      </c>
      <c r="G41" s="2"/>
      <c r="H41" s="6">
        <v>11345.55024</v>
      </c>
      <c r="I41" s="2"/>
      <c r="J41" s="7">
        <f t="shared" si="21"/>
        <v>0.13814641031573052</v>
      </c>
      <c r="K41" s="2"/>
      <c r="L41" s="6">
        <f t="shared" si="22"/>
        <v>-2306.3102400000007</v>
      </c>
      <c r="M41" s="2"/>
      <c r="N41" s="7">
        <f t="shared" si="23"/>
        <v>-0.20327883542120745</v>
      </c>
      <c r="O41" s="11"/>
      <c r="P41" s="6">
        <v>45390.21</v>
      </c>
      <c r="Q41" s="2"/>
      <c r="R41" s="7">
        <f t="shared" si="24"/>
        <v>9.358759874177941E-2</v>
      </c>
      <c r="S41" s="2"/>
      <c r="T41" s="6">
        <v>75487.737479999996</v>
      </c>
      <c r="U41" s="2"/>
      <c r="V41" s="7">
        <f t="shared" si="25"/>
        <v>0.18258229626673439</v>
      </c>
      <c r="W41" s="2"/>
      <c r="X41" s="6">
        <f t="shared" si="26"/>
        <v>-30097.527479999997</v>
      </c>
      <c r="Y41" s="2"/>
      <c r="Z41" s="7">
        <f t="shared" si="27"/>
        <v>-0.39870750514908659</v>
      </c>
    </row>
    <row r="42" spans="1:26" s="24" customFormat="1" hidden="1" outlineLevel="2" x14ac:dyDescent="0.3">
      <c r="A42" s="27"/>
      <c r="B42" s="11" t="str">
        <f>CONCATENATE("          ", "6005", " - ", "TEMPORARY WAGES-HOURLY")</f>
        <v xml:space="preserve">          6005 - TEMPORARY WAGES-HOURLY</v>
      </c>
      <c r="C42" s="11"/>
      <c r="D42" s="6">
        <v>7818.74</v>
      </c>
      <c r="E42" s="2"/>
      <c r="F42" s="7">
        <f t="shared" si="20"/>
        <v>7.6417666193914977E-2</v>
      </c>
      <c r="G42" s="2"/>
      <c r="H42" s="6">
        <v>8507.8700000000008</v>
      </c>
      <c r="I42" s="2"/>
      <c r="J42" s="7">
        <f t="shared" si="21"/>
        <v>0.10359406772437811</v>
      </c>
      <c r="K42" s="2"/>
      <c r="L42" s="6">
        <f t="shared" si="22"/>
        <v>-689.13000000000102</v>
      </c>
      <c r="M42" s="2"/>
      <c r="N42" s="7">
        <f t="shared" si="23"/>
        <v>-8.0999121989405218E-2</v>
      </c>
      <c r="O42" s="11"/>
      <c r="P42" s="6">
        <v>51490.79</v>
      </c>
      <c r="Q42" s="2"/>
      <c r="R42" s="7">
        <f t="shared" si="24"/>
        <v>0.10616605196180472</v>
      </c>
      <c r="S42" s="2"/>
      <c r="T42" s="6">
        <v>47260.34</v>
      </c>
      <c r="U42" s="2"/>
      <c r="V42" s="7">
        <f t="shared" si="25"/>
        <v>0.1143086504855543</v>
      </c>
      <c r="W42" s="2"/>
      <c r="X42" s="6">
        <f t="shared" si="26"/>
        <v>4230.4500000000044</v>
      </c>
      <c r="Y42" s="2"/>
      <c r="Z42" s="7">
        <f t="shared" si="27"/>
        <v>8.9513744505435311E-2</v>
      </c>
    </row>
    <row r="43" spans="1:26" s="24" customFormat="1" hidden="1" outlineLevel="2" x14ac:dyDescent="0.3">
      <c r="A43" s="27"/>
      <c r="B43" s="11" t="str">
        <f>CONCATENATE("          ", "6006", " - ", "TEMPORARY PART TIME")</f>
        <v xml:space="preserve">          6006 - TEMPORARY PART TIME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4" customFormat="1" hidden="1" outlineLevel="2" x14ac:dyDescent="0.3">
      <c r="A44" s="27"/>
      <c r="B44" s="11" t="str">
        <f>CONCATENATE("          ", "6007", " - ", "STUDENT HOURLY")</f>
        <v xml:space="preserve">          6007 - STUDENT HOURLY</v>
      </c>
      <c r="C44" s="11"/>
      <c r="D44" s="6">
        <v>13809.85</v>
      </c>
      <c r="E44" s="2"/>
      <c r="F44" s="7">
        <f t="shared" si="20"/>
        <v>0.13497270755748841</v>
      </c>
      <c r="G44" s="2"/>
      <c r="H44" s="6">
        <v>992.31</v>
      </c>
      <c r="I44" s="2"/>
      <c r="J44" s="7">
        <f t="shared" si="21"/>
        <v>1.2082628124733643E-2</v>
      </c>
      <c r="K44" s="2"/>
      <c r="L44" s="6">
        <f t="shared" si="22"/>
        <v>12817.54</v>
      </c>
      <c r="M44" s="2"/>
      <c r="N44" s="7">
        <f t="shared" si="23"/>
        <v>12.916870735959531</v>
      </c>
      <c r="O44" s="11"/>
      <c r="P44" s="6">
        <v>61059.39</v>
      </c>
      <c r="Q44" s="2"/>
      <c r="R44" s="7">
        <f t="shared" si="24"/>
        <v>0.12589502649883794</v>
      </c>
      <c r="S44" s="2"/>
      <c r="T44" s="6">
        <v>10337.950000000001</v>
      </c>
      <c r="U44" s="2"/>
      <c r="V44" s="7">
        <f t="shared" si="25"/>
        <v>2.5004414130053575E-2</v>
      </c>
      <c r="W44" s="2"/>
      <c r="X44" s="6">
        <f t="shared" si="26"/>
        <v>50721.440000000002</v>
      </c>
      <c r="Y44" s="2"/>
      <c r="Z44" s="7">
        <f t="shared" si="27"/>
        <v>4.9063344280055521</v>
      </c>
    </row>
    <row r="45" spans="1:26" s="24" customFormat="1" hidden="1" outlineLevel="2" x14ac:dyDescent="0.3">
      <c r="A45" s="27"/>
      <c r="B45" s="11" t="str">
        <f>CONCATENATE("          ", "6008", " - ", "STUDENT HOURLY-FICA EXEMPT")</f>
        <v xml:space="preserve">          6008 - STUDENT HOURLY-FICA EXEMPT</v>
      </c>
      <c r="C45" s="11"/>
      <c r="D45" s="6"/>
      <c r="E45" s="2"/>
      <c r="F45" s="7">
        <f t="shared" si="20"/>
        <v>0</v>
      </c>
      <c r="G45" s="2"/>
      <c r="H45" s="6">
        <v>9162.17</v>
      </c>
      <c r="I45" s="2"/>
      <c r="J45" s="7">
        <f t="shared" si="21"/>
        <v>0.1115609969924629</v>
      </c>
      <c r="K45" s="2"/>
      <c r="L45" s="6">
        <f t="shared" si="22"/>
        <v>-9162.17</v>
      </c>
      <c r="M45" s="2"/>
      <c r="N45" s="7">
        <f t="shared" si="23"/>
        <v>-1</v>
      </c>
      <c r="O45" s="11"/>
      <c r="P45" s="6"/>
      <c r="Q45" s="2"/>
      <c r="R45" s="7">
        <f t="shared" si="24"/>
        <v>0</v>
      </c>
      <c r="S45" s="2"/>
      <c r="T45" s="6">
        <v>42340.745000000003</v>
      </c>
      <c r="U45" s="2"/>
      <c r="V45" s="7">
        <f t="shared" si="25"/>
        <v>0.10240961917546471</v>
      </c>
      <c r="W45" s="2"/>
      <c r="X45" s="6">
        <f t="shared" si="26"/>
        <v>-42340.745000000003</v>
      </c>
      <c r="Y45" s="2"/>
      <c r="Z45" s="7">
        <f t="shared" si="27"/>
        <v>-1</v>
      </c>
    </row>
    <row r="46" spans="1:26" s="24" customFormat="1" hidden="1" outlineLevel="2" x14ac:dyDescent="0.3">
      <c r="A46" s="27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3">
      <c r="A47" s="27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9" customFormat="1" outlineLevel="1" collapsed="1" x14ac:dyDescent="0.3">
      <c r="A48" s="28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146.54</v>
      </c>
      <c r="E48" s="1"/>
      <c r="F48" s="5">
        <f t="shared" ref="F48:F56" si="28">IF(D$12=0,0,D48/D$12)</f>
        <v>1.4322313830689218E-3</v>
      </c>
      <c r="G48" s="1"/>
      <c r="H48" s="1">
        <f>SUM(OSRRefH22_2x_0)</f>
        <v>0</v>
      </c>
      <c r="I48" s="1"/>
      <c r="J48" s="5">
        <f t="shared" ref="J48:J56" si="29">IF(H$12=0,0,H48/H$12)</f>
        <v>0</v>
      </c>
      <c r="K48" s="1"/>
      <c r="L48" s="1">
        <f t="shared" ref="L48:L56" si="30">+D48-H48</f>
        <v>146.54</v>
      </c>
      <c r="M48" s="1"/>
      <c r="N48" s="5">
        <f t="shared" ref="N48:N56" si="31">IF(H48=0,0,L48/H48)</f>
        <v>0</v>
      </c>
      <c r="O48" s="14"/>
      <c r="P48" s="1">
        <f>SUM(OSRRefP22_2x_0)</f>
        <v>869.83</v>
      </c>
      <c r="Q48" s="1"/>
      <c r="R48" s="5">
        <f t="shared" ref="R48:R56" si="32">IF(P$12=0,0,P48/P$12)</f>
        <v>1.793455042696696E-3</v>
      </c>
      <c r="S48" s="1"/>
      <c r="T48" s="1">
        <f>SUM(OSRRefT22_2x_0)</f>
        <v>0</v>
      </c>
      <c r="U48" s="1"/>
      <c r="V48" s="5">
        <f t="shared" ref="V48:V56" si="33">IF(T$12=0,0,T48/T$12)</f>
        <v>0</v>
      </c>
      <c r="W48" s="1"/>
      <c r="X48" s="1">
        <f t="shared" ref="X48:X56" si="34">+P48-T48</f>
        <v>869.83</v>
      </c>
      <c r="Y48" s="1"/>
      <c r="Z48" s="5">
        <f t="shared" ref="Z48:Z56" si="35">IF(T48=0,0,X48/T48)</f>
        <v>0</v>
      </c>
    </row>
    <row r="49" spans="1:26" s="24" customFormat="1" hidden="1" outlineLevel="2" x14ac:dyDescent="0.3">
      <c r="A49" s="27"/>
      <c r="B49" s="11" t="str">
        <f>CONCATENATE("          ", "6362", " - ", "ADVERTISING EXPENSE")</f>
        <v xml:space="preserve">          6362 - ADVERTISING EXPENSE</v>
      </c>
      <c r="C49" s="11"/>
      <c r="D49" s="6">
        <v>146.54</v>
      </c>
      <c r="E49" s="2"/>
      <c r="F49" s="7">
        <f t="shared" si="28"/>
        <v>1.4322313830689218E-3</v>
      </c>
      <c r="G49" s="2"/>
      <c r="H49" s="6"/>
      <c r="I49" s="2"/>
      <c r="J49" s="7">
        <f t="shared" si="29"/>
        <v>0</v>
      </c>
      <c r="K49" s="2"/>
      <c r="L49" s="6">
        <f t="shared" si="30"/>
        <v>146.54</v>
      </c>
      <c r="M49" s="2"/>
      <c r="N49" s="7">
        <f t="shared" si="31"/>
        <v>0</v>
      </c>
      <c r="O49" s="11"/>
      <c r="P49" s="6">
        <v>869.83</v>
      </c>
      <c r="Q49" s="2"/>
      <c r="R49" s="7">
        <f t="shared" si="32"/>
        <v>1.793455042696696E-3</v>
      </c>
      <c r="S49" s="2"/>
      <c r="T49" s="6"/>
      <c r="U49" s="2"/>
      <c r="V49" s="7">
        <f t="shared" si="33"/>
        <v>0</v>
      </c>
      <c r="W49" s="2"/>
      <c r="X49" s="6">
        <f t="shared" si="34"/>
        <v>869.83</v>
      </c>
      <c r="Y49" s="2"/>
      <c r="Z49" s="7">
        <f t="shared" si="35"/>
        <v>0</v>
      </c>
    </row>
    <row r="50" spans="1:26" s="29" customFormat="1" outlineLevel="1" collapsed="1" x14ac:dyDescent="0.3">
      <c r="A50" s="28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4.1900000000000004</v>
      </c>
      <c r="E50" s="1"/>
      <c r="F50" s="5">
        <f t="shared" si="28"/>
        <v>4.0951613860098151E-5</v>
      </c>
      <c r="G50" s="1"/>
      <c r="H50" s="1">
        <f>SUM(OSRRefH22_3x_0)</f>
        <v>0</v>
      </c>
      <c r="I50" s="1"/>
      <c r="J50" s="5">
        <f t="shared" si="29"/>
        <v>0</v>
      </c>
      <c r="K50" s="1"/>
      <c r="L50" s="1">
        <f t="shared" si="30"/>
        <v>4.1900000000000004</v>
      </c>
      <c r="M50" s="1"/>
      <c r="N50" s="5">
        <f t="shared" si="31"/>
        <v>0</v>
      </c>
      <c r="O50" s="14"/>
      <c r="P50" s="1">
        <f>SUM(OSRRefP22_3x_0)</f>
        <v>-106.91</v>
      </c>
      <c r="Q50" s="1"/>
      <c r="R50" s="5">
        <f t="shared" si="32"/>
        <v>-2.2043189889369618E-4</v>
      </c>
      <c r="S50" s="1"/>
      <c r="T50" s="1">
        <f>SUM(OSRRefT22_3x_0)</f>
        <v>40</v>
      </c>
      <c r="U50" s="1"/>
      <c r="V50" s="5">
        <f t="shared" si="33"/>
        <v>9.6748055968750375E-5</v>
      </c>
      <c r="W50" s="1"/>
      <c r="X50" s="1">
        <f t="shared" si="34"/>
        <v>-146.91</v>
      </c>
      <c r="Y50" s="1"/>
      <c r="Z50" s="5">
        <f t="shared" si="35"/>
        <v>-3.6727499999999997</v>
      </c>
    </row>
    <row r="51" spans="1:26" s="24" customFormat="1" hidden="1" outlineLevel="2" x14ac:dyDescent="0.3">
      <c r="A51" s="27"/>
      <c r="B51" s="11" t="str">
        <f>CONCATENATE("          ", "6272", " - ", "CASH (OVER/SHORT)")</f>
        <v xml:space="preserve">          6272 - CASH (OVER/SHORT)</v>
      </c>
      <c r="C51" s="11"/>
      <c r="D51" s="6">
        <v>4.1900000000000004</v>
      </c>
      <c r="E51" s="2"/>
      <c r="F51" s="7">
        <f t="shared" si="28"/>
        <v>4.0951613860098151E-5</v>
      </c>
      <c r="G51" s="2"/>
      <c r="H51" s="6"/>
      <c r="I51" s="2"/>
      <c r="J51" s="7">
        <f t="shared" si="29"/>
        <v>0</v>
      </c>
      <c r="K51" s="2"/>
      <c r="L51" s="6">
        <f t="shared" si="30"/>
        <v>4.1900000000000004</v>
      </c>
      <c r="M51" s="2"/>
      <c r="N51" s="7">
        <f t="shared" si="31"/>
        <v>0</v>
      </c>
      <c r="O51" s="11"/>
      <c r="P51" s="6">
        <v>-106.91</v>
      </c>
      <c r="Q51" s="2"/>
      <c r="R51" s="7">
        <f t="shared" si="32"/>
        <v>-2.2043189889369618E-4</v>
      </c>
      <c r="S51" s="2"/>
      <c r="T51" s="6">
        <v>40</v>
      </c>
      <c r="U51" s="2"/>
      <c r="V51" s="7">
        <f t="shared" si="33"/>
        <v>9.6748055968750375E-5</v>
      </c>
      <c r="W51" s="2"/>
      <c r="X51" s="6">
        <f t="shared" si="34"/>
        <v>-146.91</v>
      </c>
      <c r="Y51" s="2"/>
      <c r="Z51" s="7">
        <f t="shared" si="35"/>
        <v>-3.6727499999999997</v>
      </c>
    </row>
    <row r="52" spans="1:26" s="29" customFormat="1" outlineLevel="1" collapsed="1" x14ac:dyDescent="0.3">
      <c r="A52" s="28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4350.6899999999996</v>
      </c>
      <c r="E52" s="1"/>
      <c r="F52" s="5">
        <f t="shared" si="28"/>
        <v>4.2522142459424914E-2</v>
      </c>
      <c r="G52" s="1"/>
      <c r="H52" s="1">
        <f>SUM(OSRRefH22_4x_0)</f>
        <v>4317</v>
      </c>
      <c r="I52" s="1"/>
      <c r="J52" s="5">
        <f t="shared" si="29"/>
        <v>5.2564929925603028E-2</v>
      </c>
      <c r="K52" s="1"/>
      <c r="L52" s="1">
        <f t="shared" si="30"/>
        <v>33.6899999999996</v>
      </c>
      <c r="M52" s="1"/>
      <c r="N52" s="5">
        <f t="shared" si="31"/>
        <v>7.8040305767893446E-3</v>
      </c>
      <c r="O52" s="14"/>
      <c r="P52" s="1">
        <f>SUM(OSRRefP22_4x_0)</f>
        <v>18679.8</v>
      </c>
      <c r="Q52" s="1"/>
      <c r="R52" s="5">
        <f t="shared" si="32"/>
        <v>3.8514860957389076E-2</v>
      </c>
      <c r="S52" s="1"/>
      <c r="T52" s="1">
        <f>SUM(OSRRefT22_4x_0)</f>
        <v>21762</v>
      </c>
      <c r="U52" s="1"/>
      <c r="V52" s="5">
        <f t="shared" si="33"/>
        <v>5.2635779849798642E-2</v>
      </c>
      <c r="W52" s="1"/>
      <c r="X52" s="1">
        <f t="shared" si="34"/>
        <v>-3082.2000000000007</v>
      </c>
      <c r="Y52" s="1"/>
      <c r="Z52" s="5">
        <f t="shared" si="35"/>
        <v>-0.14163220292252554</v>
      </c>
    </row>
    <row r="53" spans="1:26" s="24" customFormat="1" hidden="1" outlineLevel="2" x14ac:dyDescent="0.3">
      <c r="A53" s="27"/>
      <c r="B53" s="11" t="str">
        <f>CONCATENATE("          ", "6381", " - ", "BANK/CREDIT CARD FEES")</f>
        <v xml:space="preserve">          6381 - BANK/CREDIT CARD FEES</v>
      </c>
      <c r="C53" s="11"/>
      <c r="D53" s="6">
        <v>4350.6899999999996</v>
      </c>
      <c r="E53" s="2"/>
      <c r="F53" s="7">
        <f t="shared" si="28"/>
        <v>4.2522142459424914E-2</v>
      </c>
      <c r="G53" s="2"/>
      <c r="H53" s="6">
        <v>4317</v>
      </c>
      <c r="I53" s="2"/>
      <c r="J53" s="7">
        <f t="shared" si="29"/>
        <v>5.2564929925603028E-2</v>
      </c>
      <c r="K53" s="2"/>
      <c r="L53" s="6">
        <f t="shared" si="30"/>
        <v>33.6899999999996</v>
      </c>
      <c r="M53" s="2"/>
      <c r="N53" s="7">
        <f t="shared" si="31"/>
        <v>7.8040305767893446E-3</v>
      </c>
      <c r="O53" s="11"/>
      <c r="P53" s="6">
        <v>18679.8</v>
      </c>
      <c r="Q53" s="2"/>
      <c r="R53" s="7">
        <f t="shared" si="32"/>
        <v>3.8514860957389076E-2</v>
      </c>
      <c r="S53" s="2"/>
      <c r="T53" s="6">
        <v>21762</v>
      </c>
      <c r="U53" s="2"/>
      <c r="V53" s="7">
        <f t="shared" si="33"/>
        <v>5.2635779849798642E-2</v>
      </c>
      <c r="W53" s="2"/>
      <c r="X53" s="6">
        <f t="shared" si="34"/>
        <v>-3082.2000000000007</v>
      </c>
      <c r="Y53" s="2"/>
      <c r="Z53" s="7">
        <f t="shared" si="35"/>
        <v>-0.14163220292252554</v>
      </c>
    </row>
    <row r="54" spans="1:26" s="29" customFormat="1" outlineLevel="1" collapsed="1" x14ac:dyDescent="0.3">
      <c r="A54" s="28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32782.04</v>
      </c>
      <c r="E54" s="1"/>
      <c r="F54" s="5">
        <f t="shared" si="28"/>
        <v>0.32040034454088112</v>
      </c>
      <c r="G54" s="1"/>
      <c r="H54" s="1">
        <f>SUM(OSRRefH22_5x_0)</f>
        <v>32783</v>
      </c>
      <c r="I54" s="1"/>
      <c r="J54" s="5">
        <f t="shared" si="29"/>
        <v>0.39917444932847906</v>
      </c>
      <c r="K54" s="1"/>
      <c r="L54" s="1">
        <f t="shared" si="30"/>
        <v>-0.95999999999912689</v>
      </c>
      <c r="M54" s="1"/>
      <c r="N54" s="5">
        <f t="shared" si="31"/>
        <v>-2.9283470091179176E-5</v>
      </c>
      <c r="O54" s="14"/>
      <c r="P54" s="1">
        <f>SUM(OSRRefP22_5x_0)</f>
        <v>163998.34</v>
      </c>
      <c r="Q54" s="1"/>
      <c r="R54" s="5">
        <f t="shared" si="32"/>
        <v>0.33813923395018247</v>
      </c>
      <c r="S54" s="1"/>
      <c r="T54" s="1">
        <f>SUM(OSRRefT22_5x_0)</f>
        <v>164003</v>
      </c>
      <c r="U54" s="1"/>
      <c r="V54" s="5">
        <f t="shared" si="33"/>
        <v>0.3966742855760742</v>
      </c>
      <c r="W54" s="1"/>
      <c r="X54" s="1">
        <f t="shared" si="34"/>
        <v>-4.6600000000034925</v>
      </c>
      <c r="Y54" s="1"/>
      <c r="Z54" s="5">
        <f t="shared" si="35"/>
        <v>-2.8414114375977831E-5</v>
      </c>
    </row>
    <row r="55" spans="1:26" s="24" customFormat="1" hidden="1" outlineLevel="2" x14ac:dyDescent="0.3">
      <c r="A55" s="27"/>
      <c r="B55" s="11" t="str">
        <f>CONCATENATE("          ", "6321", " - ", "BUILDING DEPRECIATION")</f>
        <v xml:space="preserve">          6321 - BUILDING DEPRECIATION</v>
      </c>
      <c r="C55" s="11"/>
      <c r="D55" s="6">
        <v>23539.4</v>
      </c>
      <c r="E55" s="2"/>
      <c r="F55" s="7">
        <f t="shared" si="28"/>
        <v>0.23006597119293423</v>
      </c>
      <c r="G55" s="2"/>
      <c r="H55" s="6"/>
      <c r="I55" s="2"/>
      <c r="J55" s="7">
        <f t="shared" si="29"/>
        <v>0</v>
      </c>
      <c r="K55" s="2"/>
      <c r="L55" s="6">
        <f t="shared" si="30"/>
        <v>23539.4</v>
      </c>
      <c r="M55" s="2"/>
      <c r="N55" s="7">
        <f t="shared" si="31"/>
        <v>0</v>
      </c>
      <c r="O55" s="11"/>
      <c r="P55" s="6">
        <v>117785.14</v>
      </c>
      <c r="Q55" s="2"/>
      <c r="R55" s="7">
        <f t="shared" si="32"/>
        <v>0.24285475700738798</v>
      </c>
      <c r="S55" s="2"/>
      <c r="T55" s="6"/>
      <c r="U55" s="2"/>
      <c r="V55" s="7">
        <f t="shared" si="33"/>
        <v>0</v>
      </c>
      <c r="W55" s="2"/>
      <c r="X55" s="6">
        <f t="shared" si="34"/>
        <v>117785.14</v>
      </c>
      <c r="Y55" s="2"/>
      <c r="Z55" s="7">
        <f t="shared" si="35"/>
        <v>0</v>
      </c>
    </row>
    <row r="56" spans="1:26" s="24" customFormat="1" hidden="1" outlineLevel="2" x14ac:dyDescent="0.3">
      <c r="A56" s="27"/>
      <c r="B56" s="11" t="str">
        <f>CONCATENATE("          ", "6322", " - ", "EQUIPMENT DEPRECIATION EXPENSE")</f>
        <v xml:space="preserve">          6322 - EQUIPMENT DEPRECIATION EXPENSE</v>
      </c>
      <c r="C56" s="11"/>
      <c r="D56" s="6">
        <v>9242.64</v>
      </c>
      <c r="E56" s="2"/>
      <c r="F56" s="7">
        <f t="shared" si="28"/>
        <v>9.0334373347946903E-2</v>
      </c>
      <c r="G56" s="2"/>
      <c r="H56" s="6">
        <v>32783</v>
      </c>
      <c r="I56" s="2"/>
      <c r="J56" s="7">
        <f t="shared" si="29"/>
        <v>0.39917444932847906</v>
      </c>
      <c r="K56" s="2"/>
      <c r="L56" s="6">
        <f t="shared" si="30"/>
        <v>-23540.36</v>
      </c>
      <c r="M56" s="2"/>
      <c r="N56" s="7">
        <f t="shared" si="31"/>
        <v>-0.71806607082939333</v>
      </c>
      <c r="O56" s="11"/>
      <c r="P56" s="6">
        <v>46213.2</v>
      </c>
      <c r="Q56" s="2"/>
      <c r="R56" s="7">
        <f t="shared" si="32"/>
        <v>9.5284476942794502E-2</v>
      </c>
      <c r="S56" s="2"/>
      <c r="T56" s="6">
        <v>164003</v>
      </c>
      <c r="U56" s="2"/>
      <c r="V56" s="7">
        <f t="shared" si="33"/>
        <v>0.3966742855760742</v>
      </c>
      <c r="W56" s="2"/>
      <c r="X56" s="6">
        <f t="shared" si="34"/>
        <v>-117789.8</v>
      </c>
      <c r="Y56" s="2"/>
      <c r="Z56" s="7">
        <f t="shared" si="35"/>
        <v>-0.71821734968262774</v>
      </c>
    </row>
    <row r="57" spans="1:26" s="29" customFormat="1" outlineLevel="1" collapsed="1" x14ac:dyDescent="0.3">
      <c r="A57" s="28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SUM(OSRRefD22_6x_0)</f>
        <v>0</v>
      </c>
      <c r="E57" s="1"/>
      <c r="F57" s="5">
        <f t="shared" ref="F57:F72" si="36">IF(D$12=0,0,D57/D$12)</f>
        <v>0</v>
      </c>
      <c r="G57" s="1"/>
      <c r="H57" s="1">
        <f>SUM(OSRRefH22_6x_0)</f>
        <v>40</v>
      </c>
      <c r="I57" s="1"/>
      <c r="J57" s="5">
        <f t="shared" ref="J57:J72" si="37">IF(H$12=0,0,H57/H$12)</f>
        <v>4.8705054367016937E-4</v>
      </c>
      <c r="K57" s="1"/>
      <c r="L57" s="1">
        <f t="shared" ref="L57:L72" si="38">+D57-H57</f>
        <v>-40</v>
      </c>
      <c r="M57" s="1"/>
      <c r="N57" s="5">
        <f t="shared" ref="N57:N72" si="39">IF(H57=0,0,L57/H57)</f>
        <v>-1</v>
      </c>
      <c r="O57" s="14"/>
      <c r="P57" s="1">
        <f>SUM(OSRRefP22_6x_0)</f>
        <v>141.16999999999999</v>
      </c>
      <c r="Q57" s="1"/>
      <c r="R57" s="5">
        <f t="shared" ref="R57:R72" si="40">IF(P$12=0,0,P57/P$12)</f>
        <v>2.9107072459847615E-4</v>
      </c>
      <c r="S57" s="1"/>
      <c r="T57" s="1">
        <f>SUM(OSRRefT22_6x_0)</f>
        <v>120</v>
      </c>
      <c r="U57" s="1"/>
      <c r="V57" s="5">
        <f t="shared" ref="V57:V72" si="41">IF(T$12=0,0,T57/T$12)</f>
        <v>2.9024416790625113E-4</v>
      </c>
      <c r="W57" s="1"/>
      <c r="X57" s="1">
        <f t="shared" ref="X57:X72" si="42">+P57-T57</f>
        <v>21.169999999999987</v>
      </c>
      <c r="Y57" s="1"/>
      <c r="Z57" s="5">
        <f t="shared" ref="Z57:Z72" si="43">IF(T57=0,0,X57/T57)</f>
        <v>0.17641666666666656</v>
      </c>
    </row>
    <row r="58" spans="1:26" s="24" customFormat="1" hidden="1" outlineLevel="2" x14ac:dyDescent="0.3">
      <c r="A58" s="27"/>
      <c r="B58" s="11" t="str">
        <f>CONCATENATE("          ", "6277", " - ", "EMPLOYEE APPRECIATION")</f>
        <v xml:space="preserve">          6277 - EMPLOYEE APPRECIATION</v>
      </c>
      <c r="C58" s="11"/>
      <c r="D58" s="6"/>
      <c r="E58" s="2"/>
      <c r="F58" s="7">
        <f t="shared" si="36"/>
        <v>0</v>
      </c>
      <c r="G58" s="2"/>
      <c r="H58" s="6">
        <v>40</v>
      </c>
      <c r="I58" s="2"/>
      <c r="J58" s="7">
        <f t="shared" si="37"/>
        <v>4.8705054367016937E-4</v>
      </c>
      <c r="K58" s="2"/>
      <c r="L58" s="6">
        <f t="shared" si="38"/>
        <v>-40</v>
      </c>
      <c r="M58" s="2"/>
      <c r="N58" s="7">
        <f t="shared" si="39"/>
        <v>-1</v>
      </c>
      <c r="O58" s="11"/>
      <c r="P58" s="6">
        <v>141.16999999999999</v>
      </c>
      <c r="Q58" s="2"/>
      <c r="R58" s="7">
        <f t="shared" si="40"/>
        <v>2.9107072459847615E-4</v>
      </c>
      <c r="S58" s="2"/>
      <c r="T58" s="6">
        <v>120</v>
      </c>
      <c r="U58" s="2"/>
      <c r="V58" s="7">
        <f t="shared" si="41"/>
        <v>2.9024416790625113E-4</v>
      </c>
      <c r="W58" s="2"/>
      <c r="X58" s="6">
        <f t="shared" si="42"/>
        <v>21.169999999999987</v>
      </c>
      <c r="Y58" s="2"/>
      <c r="Z58" s="7">
        <f t="shared" si="43"/>
        <v>0.17641666666666656</v>
      </c>
    </row>
    <row r="59" spans="1:26" s="29" customFormat="1" outlineLevel="1" collapsed="1" x14ac:dyDescent="0.3">
      <c r="A59" s="28"/>
      <c r="B59" s="14" t="str">
        <f>CONCATENATE("     ","Equipment Rental                                  ")</f>
        <v xml:space="preserve">     Equipment Rental                                  </v>
      </c>
      <c r="C59" s="14"/>
      <c r="D59" s="1">
        <f>SUM(OSRRefD22_7x_0)</f>
        <v>726.98</v>
      </c>
      <c r="E59" s="1"/>
      <c r="F59" s="5">
        <f t="shared" si="36"/>
        <v>7.1052516095499165E-3</v>
      </c>
      <c r="G59" s="1"/>
      <c r="H59" s="1">
        <f>SUM(OSRRefH22_7x_0)</f>
        <v>775</v>
      </c>
      <c r="I59" s="1"/>
      <c r="J59" s="5">
        <f t="shared" si="37"/>
        <v>9.4366042836095312E-3</v>
      </c>
      <c r="K59" s="1"/>
      <c r="L59" s="1">
        <f t="shared" si="38"/>
        <v>-48.019999999999982</v>
      </c>
      <c r="M59" s="1"/>
      <c r="N59" s="5">
        <f t="shared" si="39"/>
        <v>-6.1961290322580624E-2</v>
      </c>
      <c r="O59" s="14"/>
      <c r="P59" s="1">
        <f>SUM(OSRRefP22_7x_0)</f>
        <v>3651.39</v>
      </c>
      <c r="Q59" s="1"/>
      <c r="R59" s="5">
        <f t="shared" si="40"/>
        <v>7.5286019203203939E-3</v>
      </c>
      <c r="S59" s="1"/>
      <c r="T59" s="1">
        <f>SUM(OSRRefT22_7x_0)</f>
        <v>3875</v>
      </c>
      <c r="U59" s="1"/>
      <c r="V59" s="5">
        <f t="shared" si="41"/>
        <v>9.3724679219726933E-3</v>
      </c>
      <c r="W59" s="1"/>
      <c r="X59" s="1">
        <f t="shared" si="42"/>
        <v>-223.61000000000013</v>
      </c>
      <c r="Y59" s="1"/>
      <c r="Z59" s="5">
        <f t="shared" si="43"/>
        <v>-5.7705806451612933E-2</v>
      </c>
    </row>
    <row r="60" spans="1:26" s="24" customFormat="1" hidden="1" outlineLevel="2" x14ac:dyDescent="0.3">
      <c r="A60" s="27"/>
      <c r="B60" s="11" t="str">
        <f>CONCATENATE("          ", "6351", " - ", "EQUIPMENT RENTAL")</f>
        <v xml:space="preserve">          6351 - EQUIPMENT RENTAL</v>
      </c>
      <c r="C60" s="11"/>
      <c r="D60" s="6">
        <v>726.98</v>
      </c>
      <c r="E60" s="2"/>
      <c r="F60" s="7">
        <f t="shared" si="36"/>
        <v>7.1052516095499165E-3</v>
      </c>
      <c r="G60" s="2"/>
      <c r="H60" s="6">
        <v>775</v>
      </c>
      <c r="I60" s="2"/>
      <c r="J60" s="7">
        <f t="shared" si="37"/>
        <v>9.4366042836095312E-3</v>
      </c>
      <c r="K60" s="2"/>
      <c r="L60" s="6">
        <f t="shared" si="38"/>
        <v>-48.019999999999982</v>
      </c>
      <c r="M60" s="2"/>
      <c r="N60" s="7">
        <f t="shared" si="39"/>
        <v>-6.1961290322580624E-2</v>
      </c>
      <c r="O60" s="11"/>
      <c r="P60" s="6">
        <v>3651.39</v>
      </c>
      <c r="Q60" s="2"/>
      <c r="R60" s="7">
        <f t="shared" si="40"/>
        <v>7.5286019203203939E-3</v>
      </c>
      <c r="S60" s="2"/>
      <c r="T60" s="6">
        <v>3875</v>
      </c>
      <c r="U60" s="2"/>
      <c r="V60" s="7">
        <f t="shared" si="41"/>
        <v>9.3724679219726933E-3</v>
      </c>
      <c r="W60" s="2"/>
      <c r="X60" s="6">
        <f t="shared" si="42"/>
        <v>-223.61000000000013</v>
      </c>
      <c r="Y60" s="2"/>
      <c r="Z60" s="7">
        <f t="shared" si="43"/>
        <v>-5.7705806451612933E-2</v>
      </c>
    </row>
    <row r="61" spans="1:26" s="29" customFormat="1" outlineLevel="1" collapsed="1" x14ac:dyDescent="0.3">
      <c r="A61" s="28"/>
      <c r="B61" s="14" t="str">
        <f>CONCATENATE("     ","General                                           ")</f>
        <v xml:space="preserve">     General                                           </v>
      </c>
      <c r="C61" s="14"/>
      <c r="D61" s="1">
        <f>SUM(OSRRefD22_8x_0)</f>
        <v>0</v>
      </c>
      <c r="E61" s="1"/>
      <c r="F61" s="5">
        <f t="shared" si="36"/>
        <v>0</v>
      </c>
      <c r="G61" s="1"/>
      <c r="H61" s="1">
        <f>SUM(OSRRefH22_8x_0)</f>
        <v>0</v>
      </c>
      <c r="I61" s="1"/>
      <c r="J61" s="5">
        <f t="shared" si="37"/>
        <v>0</v>
      </c>
      <c r="K61" s="1"/>
      <c r="L61" s="1">
        <f t="shared" si="38"/>
        <v>0</v>
      </c>
      <c r="M61" s="1"/>
      <c r="N61" s="5">
        <f t="shared" si="39"/>
        <v>0</v>
      </c>
      <c r="O61" s="14"/>
      <c r="P61" s="1">
        <f>SUM(OSRRefP22_8x_0)</f>
        <v>14090.26</v>
      </c>
      <c r="Q61" s="1"/>
      <c r="R61" s="5">
        <f t="shared" si="40"/>
        <v>2.9051938712055858E-2</v>
      </c>
      <c r="S61" s="1"/>
      <c r="T61" s="1">
        <f>SUM(OSRRefT22_8x_0)</f>
        <v>3235</v>
      </c>
      <c r="U61" s="1"/>
      <c r="V61" s="5">
        <f t="shared" si="41"/>
        <v>7.8244990264726873E-3</v>
      </c>
      <c r="W61" s="1"/>
      <c r="X61" s="1">
        <f t="shared" si="42"/>
        <v>10855.26</v>
      </c>
      <c r="Y61" s="1"/>
      <c r="Z61" s="5">
        <f t="shared" si="43"/>
        <v>3.3555672333848534</v>
      </c>
    </row>
    <row r="62" spans="1:26" s="24" customFormat="1" hidden="1" outlineLevel="2" x14ac:dyDescent="0.3">
      <c r="A62" s="27"/>
      <c r="B62" s="11" t="str">
        <f>CONCATENATE("          ", "6279", " - ", "GENERAL EXPENSE")</f>
        <v xml:space="preserve">          6279 - GENERAL EXPENSE</v>
      </c>
      <c r="C62" s="11"/>
      <c r="D62" s="6"/>
      <c r="E62" s="2"/>
      <c r="F62" s="7">
        <f t="shared" si="36"/>
        <v>0</v>
      </c>
      <c r="G62" s="2"/>
      <c r="H62" s="6"/>
      <c r="I62" s="2"/>
      <c r="J62" s="7">
        <f t="shared" si="37"/>
        <v>0</v>
      </c>
      <c r="K62" s="2"/>
      <c r="L62" s="6">
        <f t="shared" si="38"/>
        <v>0</v>
      </c>
      <c r="M62" s="2"/>
      <c r="N62" s="7">
        <f t="shared" si="39"/>
        <v>0</v>
      </c>
      <c r="O62" s="11"/>
      <c r="P62" s="6">
        <v>14090.26</v>
      </c>
      <c r="Q62" s="2"/>
      <c r="R62" s="7">
        <f t="shared" si="40"/>
        <v>2.9051938712055858E-2</v>
      </c>
      <c r="S62" s="2"/>
      <c r="T62" s="6">
        <v>3235</v>
      </c>
      <c r="U62" s="2"/>
      <c r="V62" s="7">
        <f t="shared" si="41"/>
        <v>7.8244990264726873E-3</v>
      </c>
      <c r="W62" s="2"/>
      <c r="X62" s="6">
        <f t="shared" si="42"/>
        <v>10855.26</v>
      </c>
      <c r="Y62" s="2"/>
      <c r="Z62" s="7">
        <f t="shared" si="43"/>
        <v>3.3555672333848534</v>
      </c>
    </row>
    <row r="63" spans="1:26" s="29" customFormat="1" outlineLevel="1" collapsed="1" x14ac:dyDescent="0.3">
      <c r="A63" s="28"/>
      <c r="B63" s="14" t="str">
        <f>CONCATENATE("     ","Insurance                                         ")</f>
        <v xml:space="preserve">     Insurance                                         </v>
      </c>
      <c r="C63" s="14"/>
      <c r="D63" s="1">
        <f>SUM(OSRRefD22_9x_0)</f>
        <v>5756.21</v>
      </c>
      <c r="E63" s="1"/>
      <c r="F63" s="5">
        <f t="shared" si="36"/>
        <v>5.6259209837144525E-2</v>
      </c>
      <c r="G63" s="1"/>
      <c r="H63" s="1">
        <f>SUM(OSRRefH22_9x_0)</f>
        <v>5670</v>
      </c>
      <c r="I63" s="1"/>
      <c r="J63" s="5">
        <f t="shared" si="37"/>
        <v>6.903941456524651E-2</v>
      </c>
      <c r="K63" s="1"/>
      <c r="L63" s="1">
        <f t="shared" si="38"/>
        <v>86.210000000000036</v>
      </c>
      <c r="M63" s="1"/>
      <c r="N63" s="5">
        <f t="shared" si="39"/>
        <v>1.5204585537918877E-2</v>
      </c>
      <c r="O63" s="14"/>
      <c r="P63" s="1">
        <f>SUM(OSRRefP22_9x_0)</f>
        <v>35664.050000000003</v>
      </c>
      <c r="Q63" s="1"/>
      <c r="R63" s="5">
        <f t="shared" si="40"/>
        <v>7.353375983294104E-2</v>
      </c>
      <c r="S63" s="1"/>
      <c r="T63" s="1">
        <f>SUM(OSRRefT22_9x_0)</f>
        <v>28350</v>
      </c>
      <c r="U63" s="1"/>
      <c r="V63" s="5">
        <f t="shared" si="41"/>
        <v>6.8570184667851836E-2</v>
      </c>
      <c r="W63" s="1"/>
      <c r="X63" s="1">
        <f t="shared" si="42"/>
        <v>7314.0500000000029</v>
      </c>
      <c r="Y63" s="1"/>
      <c r="Z63" s="5">
        <f t="shared" si="43"/>
        <v>0.2579911816578484</v>
      </c>
    </row>
    <row r="64" spans="1:26" s="24" customFormat="1" hidden="1" outlineLevel="2" x14ac:dyDescent="0.3">
      <c r="A64" s="27"/>
      <c r="B64" s="11" t="str">
        <f>CONCATENATE("          ", "6314", " - ", "LIABILITY INSURANCE")</f>
        <v xml:space="preserve">          6314 - LIABILITY INSURANCE</v>
      </c>
      <c r="C64" s="11"/>
      <c r="D64" s="6">
        <v>5756.21</v>
      </c>
      <c r="E64" s="2"/>
      <c r="F64" s="7">
        <f t="shared" si="36"/>
        <v>5.6259209837144525E-2</v>
      </c>
      <c r="G64" s="2"/>
      <c r="H64" s="6">
        <v>5670</v>
      </c>
      <c r="I64" s="2"/>
      <c r="J64" s="7">
        <f t="shared" si="37"/>
        <v>6.903941456524651E-2</v>
      </c>
      <c r="K64" s="2"/>
      <c r="L64" s="6">
        <f t="shared" si="38"/>
        <v>86.210000000000036</v>
      </c>
      <c r="M64" s="2"/>
      <c r="N64" s="7">
        <f t="shared" si="39"/>
        <v>1.5204585537918877E-2</v>
      </c>
      <c r="O64" s="11"/>
      <c r="P64" s="6">
        <v>35664.050000000003</v>
      </c>
      <c r="Q64" s="2"/>
      <c r="R64" s="7">
        <f t="shared" si="40"/>
        <v>7.353375983294104E-2</v>
      </c>
      <c r="S64" s="2"/>
      <c r="T64" s="6">
        <v>28350</v>
      </c>
      <c r="U64" s="2"/>
      <c r="V64" s="7">
        <f t="shared" si="41"/>
        <v>6.8570184667851836E-2</v>
      </c>
      <c r="W64" s="2"/>
      <c r="X64" s="6">
        <f t="shared" si="42"/>
        <v>7314.0500000000029</v>
      </c>
      <c r="Y64" s="2"/>
      <c r="Z64" s="7">
        <f t="shared" si="43"/>
        <v>0.2579911816578484</v>
      </c>
    </row>
    <row r="65" spans="1:26" s="29" customFormat="1" outlineLevel="1" collapsed="1" x14ac:dyDescent="0.3">
      <c r="A65" s="28"/>
      <c r="B65" s="14" t="str">
        <f>CONCATENATE("     ","Interest                                          ")</f>
        <v xml:space="preserve">     Interest                                          </v>
      </c>
      <c r="C65" s="14"/>
      <c r="D65" s="1">
        <f>SUM(OSRRefD22_10x_0)</f>
        <v>7253</v>
      </c>
      <c r="E65" s="1"/>
      <c r="F65" s="5">
        <f t="shared" si="36"/>
        <v>7.0888318693864402E-2</v>
      </c>
      <c r="G65" s="1"/>
      <c r="H65" s="1">
        <f>SUM(OSRRefH22_10x_0)</f>
        <v>7253</v>
      </c>
      <c r="I65" s="1"/>
      <c r="J65" s="5">
        <f t="shared" si="37"/>
        <v>8.8314439830993463E-2</v>
      </c>
      <c r="K65" s="1"/>
      <c r="L65" s="1">
        <f t="shared" si="38"/>
        <v>0</v>
      </c>
      <c r="M65" s="1"/>
      <c r="N65" s="5">
        <f t="shared" si="39"/>
        <v>0</v>
      </c>
      <c r="O65" s="14"/>
      <c r="P65" s="1">
        <f>SUM(OSRRefP22_10x_0)</f>
        <v>35751</v>
      </c>
      <c r="Q65" s="1"/>
      <c r="R65" s="5">
        <f t="shared" si="40"/>
        <v>7.3713037296310277E-2</v>
      </c>
      <c r="S65" s="1"/>
      <c r="T65" s="1">
        <f>SUM(OSRRefT22_10x_0)</f>
        <v>36265</v>
      </c>
      <c r="U65" s="1"/>
      <c r="V65" s="5">
        <f t="shared" si="41"/>
        <v>8.7714206242668305E-2</v>
      </c>
      <c r="W65" s="1"/>
      <c r="X65" s="1">
        <f t="shared" si="42"/>
        <v>-514</v>
      </c>
      <c r="Y65" s="1"/>
      <c r="Z65" s="5">
        <f t="shared" si="43"/>
        <v>-1.4173445470839652E-2</v>
      </c>
    </row>
    <row r="66" spans="1:26" s="24" customFormat="1" hidden="1" outlineLevel="2" x14ac:dyDescent="0.3">
      <c r="A66" s="27"/>
      <c r="B66" s="11" t="str">
        <f>CONCATENATE("          ", "6401", " - ", "INTEREST EXPENSE")</f>
        <v xml:space="preserve">          6401 - INTEREST EXPENSE</v>
      </c>
      <c r="C66" s="11"/>
      <c r="D66" s="6">
        <v>7253</v>
      </c>
      <c r="E66" s="2"/>
      <c r="F66" s="7">
        <f t="shared" si="36"/>
        <v>7.0888318693864402E-2</v>
      </c>
      <c r="G66" s="2"/>
      <c r="H66" s="6">
        <v>7253</v>
      </c>
      <c r="I66" s="2"/>
      <c r="J66" s="7">
        <f t="shared" si="37"/>
        <v>8.8314439830993463E-2</v>
      </c>
      <c r="K66" s="2"/>
      <c r="L66" s="6">
        <f t="shared" si="38"/>
        <v>0</v>
      </c>
      <c r="M66" s="2"/>
      <c r="N66" s="7">
        <f t="shared" si="39"/>
        <v>0</v>
      </c>
      <c r="O66" s="11"/>
      <c r="P66" s="6">
        <v>35751</v>
      </c>
      <c r="Q66" s="2"/>
      <c r="R66" s="7">
        <f t="shared" si="40"/>
        <v>7.3713037296310277E-2</v>
      </c>
      <c r="S66" s="2"/>
      <c r="T66" s="6">
        <v>36265</v>
      </c>
      <c r="U66" s="2"/>
      <c r="V66" s="7">
        <f t="shared" si="41"/>
        <v>8.7714206242668305E-2</v>
      </c>
      <c r="W66" s="2"/>
      <c r="X66" s="6">
        <f t="shared" si="42"/>
        <v>-514</v>
      </c>
      <c r="Y66" s="2"/>
      <c r="Z66" s="7">
        <f t="shared" si="43"/>
        <v>-1.4173445470839652E-2</v>
      </c>
    </row>
    <row r="67" spans="1:26" s="29" customFormat="1" outlineLevel="1" collapsed="1" x14ac:dyDescent="0.3">
      <c r="A67" s="28"/>
      <c r="B67" s="14" t="str">
        <f>CONCATENATE("     ","Rent                                              ")</f>
        <v xml:space="preserve">     Rent                                              </v>
      </c>
      <c r="C67" s="14"/>
      <c r="D67" s="1">
        <f>SUM(OSRRefD22_11x_0)</f>
        <v>1850</v>
      </c>
      <c r="E67" s="1"/>
      <c r="F67" s="5">
        <f t="shared" si="36"/>
        <v>1.8081261489542141E-2</v>
      </c>
      <c r="G67" s="1"/>
      <c r="H67" s="1">
        <f>SUM(OSRRefH22_11x_0)</f>
        <v>1850</v>
      </c>
      <c r="I67" s="1"/>
      <c r="J67" s="5">
        <f t="shared" si="37"/>
        <v>2.2526087644745334E-2</v>
      </c>
      <c r="K67" s="1"/>
      <c r="L67" s="1">
        <f t="shared" si="38"/>
        <v>0</v>
      </c>
      <c r="M67" s="1"/>
      <c r="N67" s="5">
        <f t="shared" si="39"/>
        <v>0</v>
      </c>
      <c r="O67" s="14"/>
      <c r="P67" s="1">
        <f>SUM(OSRRefP22_11x_0)</f>
        <v>9250</v>
      </c>
      <c r="Q67" s="1"/>
      <c r="R67" s="5">
        <f t="shared" si="40"/>
        <v>1.9072070571197173E-2</v>
      </c>
      <c r="S67" s="1"/>
      <c r="T67" s="1">
        <f>SUM(OSRRefT22_11x_0)</f>
        <v>9250</v>
      </c>
      <c r="U67" s="1"/>
      <c r="V67" s="5">
        <f t="shared" si="41"/>
        <v>2.2372987942773526E-2</v>
      </c>
      <c r="W67" s="1"/>
      <c r="X67" s="1">
        <f t="shared" si="42"/>
        <v>0</v>
      </c>
      <c r="Y67" s="1"/>
      <c r="Z67" s="5">
        <f t="shared" si="43"/>
        <v>0</v>
      </c>
    </row>
    <row r="68" spans="1:26" s="24" customFormat="1" hidden="1" outlineLevel="2" x14ac:dyDescent="0.3">
      <c r="A68" s="27"/>
      <c r="B68" s="11" t="str">
        <f>CONCATENATE("          ", "6273", " - ", "RENT")</f>
        <v xml:space="preserve">          6273 - RENT</v>
      </c>
      <c r="C68" s="11"/>
      <c r="D68" s="6">
        <v>1850</v>
      </c>
      <c r="E68" s="2"/>
      <c r="F68" s="7">
        <f t="shared" si="36"/>
        <v>1.8081261489542141E-2</v>
      </c>
      <c r="G68" s="2"/>
      <c r="H68" s="6">
        <v>1850</v>
      </c>
      <c r="I68" s="2"/>
      <c r="J68" s="7">
        <f t="shared" si="37"/>
        <v>2.2526087644745334E-2</v>
      </c>
      <c r="K68" s="2"/>
      <c r="L68" s="6">
        <f t="shared" si="38"/>
        <v>0</v>
      </c>
      <c r="M68" s="2"/>
      <c r="N68" s="7">
        <f t="shared" si="39"/>
        <v>0</v>
      </c>
      <c r="O68" s="11"/>
      <c r="P68" s="6">
        <v>9250</v>
      </c>
      <c r="Q68" s="2"/>
      <c r="R68" s="7">
        <f t="shared" si="40"/>
        <v>1.9072070571197173E-2</v>
      </c>
      <c r="S68" s="2"/>
      <c r="T68" s="6">
        <v>9250</v>
      </c>
      <c r="U68" s="2"/>
      <c r="V68" s="7">
        <f t="shared" si="41"/>
        <v>2.2372987942773526E-2</v>
      </c>
      <c r="W68" s="2"/>
      <c r="X68" s="6">
        <f t="shared" si="42"/>
        <v>0</v>
      </c>
      <c r="Y68" s="2"/>
      <c r="Z68" s="7">
        <f t="shared" si="43"/>
        <v>0</v>
      </c>
    </row>
    <row r="69" spans="1:26" s="29" customFormat="1" outlineLevel="1" collapsed="1" x14ac:dyDescent="0.3">
      <c r="A69" s="28"/>
      <c r="B69" s="14" t="str">
        <f>CONCATENATE("     ","Repair and Maintenance                            ")</f>
        <v xml:space="preserve">     Repair and Maintenance                            </v>
      </c>
      <c r="C69" s="14"/>
      <c r="D69" s="1">
        <f>SUM(OSRRefD22_12x_0)</f>
        <v>5673.9500000000007</v>
      </c>
      <c r="E69" s="1"/>
      <c r="F69" s="5">
        <f t="shared" si="36"/>
        <v>5.5455228988425753E-2</v>
      </c>
      <c r="G69" s="1"/>
      <c r="H69" s="1">
        <f>SUM(OSRRefH22_12x_0)</f>
        <v>2088</v>
      </c>
      <c r="I69" s="1"/>
      <c r="J69" s="5">
        <f t="shared" si="37"/>
        <v>2.542403837958284E-2</v>
      </c>
      <c r="K69" s="1"/>
      <c r="L69" s="1">
        <f t="shared" si="38"/>
        <v>3585.9500000000007</v>
      </c>
      <c r="M69" s="1"/>
      <c r="N69" s="5">
        <f t="shared" si="39"/>
        <v>1.717409003831418</v>
      </c>
      <c r="O69" s="14"/>
      <c r="P69" s="1">
        <f>SUM(OSRRefP22_12x_0)</f>
        <v>42185.41</v>
      </c>
      <c r="Q69" s="1"/>
      <c r="R69" s="5">
        <f t="shared" si="40"/>
        <v>8.6979796388636427E-2</v>
      </c>
      <c r="S69" s="1"/>
      <c r="T69" s="1">
        <f>SUM(OSRRefT22_12x_0)</f>
        <v>21878</v>
      </c>
      <c r="U69" s="1"/>
      <c r="V69" s="5">
        <f t="shared" si="41"/>
        <v>5.291634921210802E-2</v>
      </c>
      <c r="W69" s="1"/>
      <c r="X69" s="1">
        <f t="shared" si="42"/>
        <v>20307.410000000003</v>
      </c>
      <c r="Y69" s="1"/>
      <c r="Z69" s="5">
        <f t="shared" si="43"/>
        <v>0.92821144528750354</v>
      </c>
    </row>
    <row r="70" spans="1:26" s="24" customFormat="1" hidden="1" outlineLevel="2" x14ac:dyDescent="0.3">
      <c r="A70" s="27"/>
      <c r="B70" s="11" t="str">
        <f>CONCATENATE("          ", "6371", " - ", "COMPUTER SOFTWARE MAINTENANCE")</f>
        <v xml:space="preserve">          6371 - COMPUTER SOFTWARE MAINTENANCE</v>
      </c>
      <c r="C70" s="11"/>
      <c r="D70" s="6">
        <v>380.32</v>
      </c>
      <c r="E70" s="2"/>
      <c r="F70" s="7">
        <f t="shared" si="36"/>
        <v>3.7171164160554955E-3</v>
      </c>
      <c r="G70" s="2"/>
      <c r="H70" s="6"/>
      <c r="I70" s="2"/>
      <c r="J70" s="7">
        <f t="shared" si="37"/>
        <v>0</v>
      </c>
      <c r="K70" s="2"/>
      <c r="L70" s="6">
        <f t="shared" si="38"/>
        <v>380.32</v>
      </c>
      <c r="M70" s="2"/>
      <c r="N70" s="7">
        <f t="shared" si="39"/>
        <v>0</v>
      </c>
      <c r="O70" s="11"/>
      <c r="P70" s="6">
        <v>5717.72</v>
      </c>
      <c r="Q70" s="2"/>
      <c r="R70" s="7">
        <f t="shared" si="40"/>
        <v>1.1789055064469783E-2</v>
      </c>
      <c r="S70" s="2"/>
      <c r="T70" s="6"/>
      <c r="U70" s="2"/>
      <c r="V70" s="7">
        <f t="shared" si="41"/>
        <v>0</v>
      </c>
      <c r="W70" s="2"/>
      <c r="X70" s="6">
        <f t="shared" si="42"/>
        <v>5717.72</v>
      </c>
      <c r="Y70" s="2"/>
      <c r="Z70" s="7">
        <f t="shared" si="43"/>
        <v>0</v>
      </c>
    </row>
    <row r="71" spans="1:26" s="24" customFormat="1" hidden="1" outlineLevel="2" x14ac:dyDescent="0.3">
      <c r="A71" s="27"/>
      <c r="B71" s="11" t="str">
        <f>CONCATENATE("          ", "6373", " - ", "MAINTENANCE CONTRACTS")</f>
        <v xml:space="preserve">          6373 - MAINTENANCE CONTRACTS</v>
      </c>
      <c r="C71" s="11"/>
      <c r="D71" s="6">
        <v>2846.3</v>
      </c>
      <c r="E71" s="2"/>
      <c r="F71" s="7">
        <f t="shared" si="36"/>
        <v>2.7818753825775026E-2</v>
      </c>
      <c r="G71" s="2"/>
      <c r="H71" s="6">
        <v>400</v>
      </c>
      <c r="I71" s="2"/>
      <c r="J71" s="7">
        <f t="shared" si="37"/>
        <v>4.8705054367016937E-3</v>
      </c>
      <c r="K71" s="2"/>
      <c r="L71" s="6">
        <f t="shared" si="38"/>
        <v>2446.3000000000002</v>
      </c>
      <c r="M71" s="2"/>
      <c r="N71" s="7">
        <f t="shared" si="39"/>
        <v>6.1157500000000002</v>
      </c>
      <c r="O71" s="11"/>
      <c r="P71" s="6">
        <v>6659.5</v>
      </c>
      <c r="Q71" s="2"/>
      <c r="R71" s="7">
        <f t="shared" si="40"/>
        <v>1.3730859888528386E-2</v>
      </c>
      <c r="S71" s="2"/>
      <c r="T71" s="6">
        <v>2460</v>
      </c>
      <c r="U71" s="2"/>
      <c r="V71" s="7">
        <f t="shared" si="41"/>
        <v>5.9500054420781479E-3</v>
      </c>
      <c r="W71" s="2"/>
      <c r="X71" s="6">
        <f t="shared" si="42"/>
        <v>4199.5</v>
      </c>
      <c r="Y71" s="2"/>
      <c r="Z71" s="7">
        <f t="shared" si="43"/>
        <v>1.7071138211382113</v>
      </c>
    </row>
    <row r="72" spans="1:26" s="24" customFormat="1" hidden="1" outlineLevel="2" x14ac:dyDescent="0.3">
      <c r="A72" s="27"/>
      <c r="B72" s="11" t="str">
        <f>CONCATENATE("          ", "6375", " - ", "OUTSIDE REPAIRS &amp; MAINTENANCE")</f>
        <v xml:space="preserve">          6375 - OUTSIDE REPAIRS &amp; MAINTENANCE</v>
      </c>
      <c r="C72" s="11"/>
      <c r="D72" s="6">
        <v>2447.33</v>
      </c>
      <c r="E72" s="2"/>
      <c r="F72" s="7">
        <f t="shared" si="36"/>
        <v>2.3919358746595225E-2</v>
      </c>
      <c r="G72" s="2"/>
      <c r="H72" s="6">
        <v>1688</v>
      </c>
      <c r="I72" s="2"/>
      <c r="J72" s="7">
        <f t="shared" si="37"/>
        <v>2.0553532942881148E-2</v>
      </c>
      <c r="K72" s="2"/>
      <c r="L72" s="6">
        <f t="shared" si="38"/>
        <v>759.32999999999993</v>
      </c>
      <c r="M72" s="2"/>
      <c r="N72" s="7">
        <f t="shared" si="39"/>
        <v>0.44984004739336486</v>
      </c>
      <c r="O72" s="11"/>
      <c r="P72" s="6">
        <v>29808.19</v>
      </c>
      <c r="Q72" s="2"/>
      <c r="R72" s="7">
        <f t="shared" si="40"/>
        <v>6.1459881435638249E-2</v>
      </c>
      <c r="S72" s="2"/>
      <c r="T72" s="6">
        <v>19418</v>
      </c>
      <c r="U72" s="2"/>
      <c r="V72" s="7">
        <f t="shared" si="41"/>
        <v>4.6966343770029874E-2</v>
      </c>
      <c r="W72" s="2"/>
      <c r="X72" s="6">
        <f t="shared" si="42"/>
        <v>10390.189999999999</v>
      </c>
      <c r="Y72" s="2"/>
      <c r="Z72" s="7">
        <f t="shared" si="43"/>
        <v>0.53508033783087849</v>
      </c>
    </row>
    <row r="73" spans="1:26" s="29" customFormat="1" outlineLevel="1" collapsed="1" x14ac:dyDescent="0.3">
      <c r="A73" s="28"/>
      <c r="B73" s="14" t="str">
        <f>CONCATENATE("     ","Royalty &amp; Commissions                             ")</f>
        <v xml:space="preserve">     Royalty &amp; Commissions                             </v>
      </c>
      <c r="C73" s="14"/>
      <c r="D73" s="1">
        <f>SUM(OSRRefD22_13x_0)</f>
        <v>366.22</v>
      </c>
      <c r="E73" s="1"/>
      <c r="F73" s="5">
        <f t="shared" ref="F73:F80" si="44">IF(D$12=0,0,D73/D$12)</f>
        <v>3.5793078825406073E-3</v>
      </c>
      <c r="G73" s="1"/>
      <c r="H73" s="1">
        <f>SUM(OSRRefH22_13x_0)</f>
        <v>0</v>
      </c>
      <c r="I73" s="1"/>
      <c r="J73" s="5">
        <f t="shared" ref="J73:J80" si="45">IF(H$12=0,0,H73/H$12)</f>
        <v>0</v>
      </c>
      <c r="K73" s="1"/>
      <c r="L73" s="1">
        <f t="shared" ref="L73:L80" si="46">+D73-H73</f>
        <v>366.22</v>
      </c>
      <c r="M73" s="1"/>
      <c r="N73" s="5">
        <f t="shared" ref="N73:N80" si="47">IF(H73=0,0,L73/H73)</f>
        <v>0</v>
      </c>
      <c r="O73" s="14"/>
      <c r="P73" s="1">
        <f>SUM(OSRRefP22_13x_0)</f>
        <v>1432.44</v>
      </c>
      <c r="Q73" s="1"/>
      <c r="R73" s="5">
        <f t="shared" ref="R73:R80" si="48">IF(P$12=0,0,P73/P$12)</f>
        <v>2.9534699209735867E-3</v>
      </c>
      <c r="S73" s="1"/>
      <c r="T73" s="1">
        <f>SUM(OSRRefT22_13x_0)</f>
        <v>0</v>
      </c>
      <c r="U73" s="1"/>
      <c r="V73" s="5">
        <f t="shared" ref="V73:V80" si="49">IF(T$12=0,0,T73/T$12)</f>
        <v>0</v>
      </c>
      <c r="W73" s="1"/>
      <c r="X73" s="1">
        <f t="shared" ref="X73:X80" si="50">+P73-T73</f>
        <v>1432.44</v>
      </c>
      <c r="Y73" s="1"/>
      <c r="Z73" s="5">
        <f t="shared" ref="Z73:Z80" si="51">IF(T73=0,0,X73/T73)</f>
        <v>0</v>
      </c>
    </row>
    <row r="74" spans="1:26" s="24" customFormat="1" hidden="1" outlineLevel="2" x14ac:dyDescent="0.3">
      <c r="A74" s="27"/>
      <c r="B74" s="11" t="str">
        <f>CONCATENATE("          ", "6254", " - ", "ROYALTY &amp; COMMISSIONS")</f>
        <v xml:space="preserve">          6254 - ROYALTY &amp; COMMISSIONS</v>
      </c>
      <c r="C74" s="11"/>
      <c r="D74" s="6">
        <v>366.22</v>
      </c>
      <c r="E74" s="2"/>
      <c r="F74" s="7">
        <f t="shared" si="44"/>
        <v>3.5793078825406073E-3</v>
      </c>
      <c r="G74" s="2"/>
      <c r="H74" s="6"/>
      <c r="I74" s="2"/>
      <c r="J74" s="7">
        <f t="shared" si="45"/>
        <v>0</v>
      </c>
      <c r="K74" s="2"/>
      <c r="L74" s="6">
        <f t="shared" si="46"/>
        <v>366.22</v>
      </c>
      <c r="M74" s="2"/>
      <c r="N74" s="7">
        <f t="shared" si="47"/>
        <v>0</v>
      </c>
      <c r="O74" s="11"/>
      <c r="P74" s="6">
        <v>1432.44</v>
      </c>
      <c r="Q74" s="2"/>
      <c r="R74" s="7">
        <f t="shared" si="48"/>
        <v>2.9534699209735867E-3</v>
      </c>
      <c r="S74" s="2"/>
      <c r="T74" s="6"/>
      <c r="U74" s="2"/>
      <c r="V74" s="7">
        <f t="shared" si="49"/>
        <v>0</v>
      </c>
      <c r="W74" s="2"/>
      <c r="X74" s="6">
        <f t="shared" si="50"/>
        <v>1432.44</v>
      </c>
      <c r="Y74" s="2"/>
      <c r="Z74" s="7">
        <f t="shared" si="51"/>
        <v>0</v>
      </c>
    </row>
    <row r="75" spans="1:26" s="29" customFormat="1" outlineLevel="1" collapsed="1" x14ac:dyDescent="0.3">
      <c r="A75" s="28"/>
      <c r="B75" s="14" t="str">
        <f>CONCATENATE("     ","Services                                          ")</f>
        <v xml:space="preserve">     Services                                          </v>
      </c>
      <c r="C75" s="14"/>
      <c r="D75" s="1">
        <f>SUM(OSRRefD22_14x_0)</f>
        <v>4708.99</v>
      </c>
      <c r="E75" s="1"/>
      <c r="F75" s="5">
        <f t="shared" si="44"/>
        <v>4.6024042995480567E-2</v>
      </c>
      <c r="G75" s="1"/>
      <c r="H75" s="1">
        <f>SUM(OSRRefH22_14x_0)</f>
        <v>10995</v>
      </c>
      <c r="I75" s="1"/>
      <c r="J75" s="5">
        <f t="shared" si="45"/>
        <v>0.13387801819133779</v>
      </c>
      <c r="K75" s="1"/>
      <c r="L75" s="1">
        <f t="shared" si="46"/>
        <v>-6286.01</v>
      </c>
      <c r="M75" s="1"/>
      <c r="N75" s="5">
        <f t="shared" si="47"/>
        <v>-0.57171532514779444</v>
      </c>
      <c r="O75" s="14"/>
      <c r="P75" s="1">
        <f>SUM(OSRRefP22_14x_0)</f>
        <v>39724.910000000003</v>
      </c>
      <c r="Q75" s="1"/>
      <c r="R75" s="5">
        <f t="shared" si="48"/>
        <v>8.1906625616697981E-2</v>
      </c>
      <c r="S75" s="1"/>
      <c r="T75" s="1">
        <f>SUM(OSRRefT22_14x_0)</f>
        <v>51006</v>
      </c>
      <c r="U75" s="1"/>
      <c r="V75" s="5">
        <f t="shared" si="49"/>
        <v>0.12336828356855205</v>
      </c>
      <c r="W75" s="1"/>
      <c r="X75" s="1">
        <f t="shared" si="50"/>
        <v>-11281.089999999997</v>
      </c>
      <c r="Y75" s="1"/>
      <c r="Z75" s="5">
        <f t="shared" si="51"/>
        <v>-0.22117182292279333</v>
      </c>
    </row>
    <row r="76" spans="1:26" s="24" customFormat="1" hidden="1" outlineLevel="2" x14ac:dyDescent="0.3">
      <c r="A76" s="27"/>
      <c r="B76" s="11" t="str">
        <f>CONCATENATE("          ", "6282", " - ", "JANITORIAL/EXTERMINATOR EXPENS")</f>
        <v xml:space="preserve">          6282 - JANITORIAL/EXTERMINATOR EXPENS</v>
      </c>
      <c r="C76" s="11"/>
      <c r="D76" s="6">
        <v>1021.65</v>
      </c>
      <c r="E76" s="2"/>
      <c r="F76" s="7">
        <f t="shared" si="44"/>
        <v>9.9852544869139075E-3</v>
      </c>
      <c r="G76" s="2"/>
      <c r="H76" s="6">
        <v>1128</v>
      </c>
      <c r="I76" s="2"/>
      <c r="J76" s="7">
        <f t="shared" si="45"/>
        <v>1.3734825331498775E-2</v>
      </c>
      <c r="K76" s="2"/>
      <c r="L76" s="6">
        <f t="shared" si="46"/>
        <v>-106.35000000000002</v>
      </c>
      <c r="M76" s="2"/>
      <c r="N76" s="7">
        <f t="shared" si="47"/>
        <v>-9.4281914893617036E-2</v>
      </c>
      <c r="O76" s="11"/>
      <c r="P76" s="6">
        <v>5172.1099999999997</v>
      </c>
      <c r="Q76" s="2"/>
      <c r="R76" s="7">
        <f t="shared" si="48"/>
        <v>1.0664091559134552E-2</v>
      </c>
      <c r="S76" s="2"/>
      <c r="T76" s="6">
        <v>5540</v>
      </c>
      <c r="U76" s="2"/>
      <c r="V76" s="7">
        <f t="shared" si="49"/>
        <v>1.3399605751671928E-2</v>
      </c>
      <c r="W76" s="2"/>
      <c r="X76" s="6">
        <f t="shared" si="50"/>
        <v>-367.89000000000033</v>
      </c>
      <c r="Y76" s="2"/>
      <c r="Z76" s="7">
        <f t="shared" si="51"/>
        <v>-6.6406137184115588E-2</v>
      </c>
    </row>
    <row r="77" spans="1:26" s="24" customFormat="1" hidden="1" outlineLevel="2" x14ac:dyDescent="0.3">
      <c r="A77" s="27"/>
      <c r="B77" s="11" t="str">
        <f>CONCATENATE("          ", "6283", " - ", "PLANT SERVICE")</f>
        <v xml:space="preserve">          6283 - PLANT SERVICE</v>
      </c>
      <c r="C77" s="11"/>
      <c r="D77" s="6"/>
      <c r="E77" s="2"/>
      <c r="F77" s="7">
        <f t="shared" si="44"/>
        <v>0</v>
      </c>
      <c r="G77" s="2"/>
      <c r="H77" s="6">
        <v>100</v>
      </c>
      <c r="I77" s="2"/>
      <c r="J77" s="7">
        <f t="shared" si="45"/>
        <v>1.2176263591754234E-3</v>
      </c>
      <c r="K77" s="2"/>
      <c r="L77" s="6">
        <f t="shared" si="46"/>
        <v>-100</v>
      </c>
      <c r="M77" s="2"/>
      <c r="N77" s="7">
        <f t="shared" si="47"/>
        <v>-1</v>
      </c>
      <c r="O77" s="11"/>
      <c r="P77" s="6"/>
      <c r="Q77" s="2"/>
      <c r="R77" s="7">
        <f t="shared" si="48"/>
        <v>0</v>
      </c>
      <c r="S77" s="2"/>
      <c r="T77" s="6">
        <v>500</v>
      </c>
      <c r="U77" s="2"/>
      <c r="V77" s="7">
        <f t="shared" si="49"/>
        <v>1.2093506996093796E-3</v>
      </c>
      <c r="W77" s="2"/>
      <c r="X77" s="6">
        <f t="shared" si="50"/>
        <v>-500</v>
      </c>
      <c r="Y77" s="2"/>
      <c r="Z77" s="7">
        <f t="shared" si="51"/>
        <v>-1</v>
      </c>
    </row>
    <row r="78" spans="1:26" s="24" customFormat="1" hidden="1" outlineLevel="2" x14ac:dyDescent="0.3">
      <c r="A78" s="27"/>
      <c r="B78" s="11" t="str">
        <f>CONCATENATE("          ", "6284", " - ", "TRASH REMOVAL EXPENSE")</f>
        <v xml:space="preserve">          6284 - TRASH REMOVAL EXPENSE</v>
      </c>
      <c r="C78" s="11"/>
      <c r="D78" s="6"/>
      <c r="E78" s="2"/>
      <c r="F78" s="7">
        <f t="shared" si="44"/>
        <v>0</v>
      </c>
      <c r="G78" s="2"/>
      <c r="H78" s="6">
        <v>1000</v>
      </c>
      <c r="I78" s="2"/>
      <c r="J78" s="7">
        <f t="shared" si="45"/>
        <v>1.2176263591754234E-2</v>
      </c>
      <c r="K78" s="2"/>
      <c r="L78" s="6">
        <f t="shared" si="46"/>
        <v>-1000</v>
      </c>
      <c r="M78" s="2"/>
      <c r="N78" s="7">
        <f t="shared" si="47"/>
        <v>-1</v>
      </c>
      <c r="O78" s="11"/>
      <c r="P78" s="6"/>
      <c r="Q78" s="2"/>
      <c r="R78" s="7">
        <f t="shared" si="48"/>
        <v>0</v>
      </c>
      <c r="S78" s="2"/>
      <c r="T78" s="6">
        <v>5000</v>
      </c>
      <c r="U78" s="2"/>
      <c r="V78" s="7">
        <f t="shared" si="49"/>
        <v>1.2093506996093796E-2</v>
      </c>
      <c r="W78" s="2"/>
      <c r="X78" s="6">
        <f t="shared" si="50"/>
        <v>-5000</v>
      </c>
      <c r="Y78" s="2"/>
      <c r="Z78" s="7">
        <f t="shared" si="51"/>
        <v>-1</v>
      </c>
    </row>
    <row r="79" spans="1:26" s="24" customFormat="1" hidden="1" outlineLevel="2" x14ac:dyDescent="0.3">
      <c r="A79" s="27"/>
      <c r="B79" s="11" t="str">
        <f>CONCATENATE("          ", "6285", " - ", "JANITORIAL SERVICES")</f>
        <v xml:space="preserve">          6285 - JANITORIAL SERVICES</v>
      </c>
      <c r="C79" s="11"/>
      <c r="D79" s="6">
        <v>3385.52</v>
      </c>
      <c r="E79" s="2"/>
      <c r="F79" s="7">
        <f t="shared" si="44"/>
        <v>3.30889039989593E-2</v>
      </c>
      <c r="G79" s="2"/>
      <c r="H79" s="6">
        <v>8224</v>
      </c>
      <c r="I79" s="2"/>
      <c r="J79" s="7">
        <f t="shared" si="45"/>
        <v>0.10013759177858682</v>
      </c>
      <c r="K79" s="2"/>
      <c r="L79" s="6">
        <f t="shared" si="46"/>
        <v>-4838.4799999999996</v>
      </c>
      <c r="M79" s="2"/>
      <c r="N79" s="7">
        <f t="shared" si="47"/>
        <v>-0.58833657587548638</v>
      </c>
      <c r="O79" s="11"/>
      <c r="P79" s="6">
        <v>32947.800000000003</v>
      </c>
      <c r="Q79" s="2"/>
      <c r="R79" s="7">
        <f t="shared" si="48"/>
        <v>6.793327208277733E-2</v>
      </c>
      <c r="S79" s="2"/>
      <c r="T79" s="6">
        <v>36812</v>
      </c>
      <c r="U79" s="2"/>
      <c r="V79" s="7">
        <f t="shared" si="49"/>
        <v>8.9037235908040968E-2</v>
      </c>
      <c r="W79" s="2"/>
      <c r="X79" s="6">
        <f t="shared" si="50"/>
        <v>-3864.1999999999971</v>
      </c>
      <c r="Y79" s="2"/>
      <c r="Z79" s="7">
        <f t="shared" si="51"/>
        <v>-0.1049712050418341</v>
      </c>
    </row>
    <row r="80" spans="1:26" s="24" customFormat="1" hidden="1" outlineLevel="2" x14ac:dyDescent="0.3">
      <c r="A80" s="27"/>
      <c r="B80" s="11" t="str">
        <f>CONCATENATE("          ", "6286", " - ", "LAUNDRY EXPENSE")</f>
        <v xml:space="preserve">          6286 - LAUNDRY EXPENSE</v>
      </c>
      <c r="C80" s="11"/>
      <c r="D80" s="6">
        <v>301.82</v>
      </c>
      <c r="E80" s="2"/>
      <c r="F80" s="7">
        <f t="shared" si="44"/>
        <v>2.9498845096073562E-3</v>
      </c>
      <c r="G80" s="2"/>
      <c r="H80" s="6">
        <v>543</v>
      </c>
      <c r="I80" s="2"/>
      <c r="J80" s="7">
        <f t="shared" si="45"/>
        <v>6.6117111303225489E-3</v>
      </c>
      <c r="K80" s="2"/>
      <c r="L80" s="6">
        <f t="shared" si="46"/>
        <v>-241.18</v>
      </c>
      <c r="M80" s="2"/>
      <c r="N80" s="7">
        <f t="shared" si="47"/>
        <v>-0.44416206261510133</v>
      </c>
      <c r="O80" s="11"/>
      <c r="P80" s="6">
        <v>1605</v>
      </c>
      <c r="Q80" s="2"/>
      <c r="R80" s="7">
        <f t="shared" si="48"/>
        <v>3.3092619747861038E-3</v>
      </c>
      <c r="S80" s="2"/>
      <c r="T80" s="6">
        <v>3154</v>
      </c>
      <c r="U80" s="2"/>
      <c r="V80" s="7">
        <f t="shared" si="49"/>
        <v>7.6285842131359671E-3</v>
      </c>
      <c r="W80" s="2"/>
      <c r="X80" s="6">
        <f t="shared" si="50"/>
        <v>-1549</v>
      </c>
      <c r="Y80" s="2"/>
      <c r="Z80" s="7">
        <f t="shared" si="51"/>
        <v>-0.49112238427393784</v>
      </c>
    </row>
    <row r="81" spans="1:26" s="29" customFormat="1" outlineLevel="1" collapsed="1" x14ac:dyDescent="0.3">
      <c r="A81" s="28"/>
      <c r="B81" s="14" t="str">
        <f>CONCATENATE("     ","Subscriptions &amp; Dues                              ")</f>
        <v xml:space="preserve">     Subscriptions &amp; Dues                              </v>
      </c>
      <c r="C81" s="14"/>
      <c r="D81" s="1">
        <f>SUM(OSRRefD22_15x_0)</f>
        <v>569.5</v>
      </c>
      <c r="E81" s="1"/>
      <c r="F81" s="5">
        <f t="shared" ref="F81:F92" si="52">IF(D$12=0,0,D81/D$12)</f>
        <v>5.5660964423212157E-3</v>
      </c>
      <c r="G81" s="1"/>
      <c r="H81" s="1">
        <f>SUM(OSRRefH22_15x_0)</f>
        <v>610</v>
      </c>
      <c r="I81" s="1"/>
      <c r="J81" s="5">
        <f t="shared" ref="J81:J92" si="53">IF(H$12=0,0,H81/H$12)</f>
        <v>7.4275207909700828E-3</v>
      </c>
      <c r="K81" s="1"/>
      <c r="L81" s="1">
        <f t="shared" ref="L81:L92" si="54">+D81-H81</f>
        <v>-40.5</v>
      </c>
      <c r="M81" s="1"/>
      <c r="N81" s="5">
        <f t="shared" ref="N81:N92" si="55">IF(H81=0,0,L81/H81)</f>
        <v>-6.6393442622950813E-2</v>
      </c>
      <c r="O81" s="14"/>
      <c r="P81" s="1">
        <f>SUM(OSRRefP22_15x_0)</f>
        <v>2516.5</v>
      </c>
      <c r="Q81" s="1"/>
      <c r="R81" s="5">
        <f t="shared" ref="R81:R92" si="56">IF(P$12=0,0,P81/P$12)</f>
        <v>5.1886341180992094E-3</v>
      </c>
      <c r="S81" s="1"/>
      <c r="T81" s="1">
        <f>SUM(OSRRefT22_15x_0)</f>
        <v>2820</v>
      </c>
      <c r="U81" s="1"/>
      <c r="V81" s="5">
        <f t="shared" ref="V81:V92" si="57">IF(T$12=0,0,T81/T$12)</f>
        <v>6.8207379457969021E-3</v>
      </c>
      <c r="W81" s="1"/>
      <c r="X81" s="1">
        <f t="shared" ref="X81:X92" si="58">+P81-T81</f>
        <v>-303.5</v>
      </c>
      <c r="Y81" s="1"/>
      <c r="Z81" s="5">
        <f t="shared" ref="Z81:Z92" si="59">IF(T81=0,0,X81/T81)</f>
        <v>-0.10762411347517731</v>
      </c>
    </row>
    <row r="82" spans="1:26" s="24" customFormat="1" hidden="1" outlineLevel="2" x14ac:dyDescent="0.3">
      <c r="A82" s="27"/>
      <c r="B82" s="11" t="str">
        <f>CONCATENATE("          ", "6275", " - ", "SUBSCRIPTIONS")</f>
        <v xml:space="preserve">          6275 - SUBSCRIPTIONS</v>
      </c>
      <c r="C82" s="11"/>
      <c r="D82" s="6">
        <v>569.5</v>
      </c>
      <c r="E82" s="2"/>
      <c r="F82" s="7">
        <f t="shared" si="52"/>
        <v>5.5660964423212157E-3</v>
      </c>
      <c r="G82" s="2"/>
      <c r="H82" s="6">
        <v>610</v>
      </c>
      <c r="I82" s="2"/>
      <c r="J82" s="7">
        <f t="shared" si="53"/>
        <v>7.4275207909700828E-3</v>
      </c>
      <c r="K82" s="2"/>
      <c r="L82" s="6">
        <f t="shared" si="54"/>
        <v>-40.5</v>
      </c>
      <c r="M82" s="2"/>
      <c r="N82" s="7">
        <f t="shared" si="55"/>
        <v>-6.6393442622950813E-2</v>
      </c>
      <c r="O82" s="11"/>
      <c r="P82" s="6">
        <v>2516.5</v>
      </c>
      <c r="Q82" s="2"/>
      <c r="R82" s="7">
        <f t="shared" si="56"/>
        <v>5.1886341180992094E-3</v>
      </c>
      <c r="S82" s="2"/>
      <c r="T82" s="6">
        <v>2820</v>
      </c>
      <c r="U82" s="2"/>
      <c r="V82" s="7">
        <f t="shared" si="57"/>
        <v>6.8207379457969021E-3</v>
      </c>
      <c r="W82" s="2"/>
      <c r="X82" s="6">
        <f t="shared" si="58"/>
        <v>-303.5</v>
      </c>
      <c r="Y82" s="2"/>
      <c r="Z82" s="7">
        <f t="shared" si="59"/>
        <v>-0.10762411347517731</v>
      </c>
    </row>
    <row r="83" spans="1:26" s="29" customFormat="1" outlineLevel="1" collapsed="1" x14ac:dyDescent="0.3">
      <c r="A83" s="28"/>
      <c r="B83" s="14" t="str">
        <f>CONCATENATE("     ","Supplies                                          ")</f>
        <v xml:space="preserve">     Supplies                                          </v>
      </c>
      <c r="C83" s="14"/>
      <c r="D83" s="1">
        <f>SUM(OSRRefD22_16x_0)</f>
        <v>1318.71</v>
      </c>
      <c r="E83" s="1"/>
      <c r="F83" s="5">
        <f t="shared" si="52"/>
        <v>1.2888616399391414E-2</v>
      </c>
      <c r="G83" s="1"/>
      <c r="H83" s="1">
        <f>SUM(OSRRefH22_16x_0)</f>
        <v>1175</v>
      </c>
      <c r="I83" s="1"/>
      <c r="J83" s="5">
        <f t="shared" si="53"/>
        <v>1.4307109720311226E-2</v>
      </c>
      <c r="K83" s="1"/>
      <c r="L83" s="1">
        <f t="shared" si="54"/>
        <v>143.71000000000004</v>
      </c>
      <c r="M83" s="1"/>
      <c r="N83" s="5">
        <f t="shared" si="55"/>
        <v>0.12230638297872344</v>
      </c>
      <c r="O83" s="14"/>
      <c r="P83" s="1">
        <f>SUM(OSRRefP22_16x_0)</f>
        <v>16946.190000000002</v>
      </c>
      <c r="Q83" s="1"/>
      <c r="R83" s="5">
        <f t="shared" si="56"/>
        <v>3.4940425037071982E-2</v>
      </c>
      <c r="S83" s="1"/>
      <c r="T83" s="1">
        <f>SUM(OSRRefT22_16x_0)</f>
        <v>20473</v>
      </c>
      <c r="U83" s="1"/>
      <c r="V83" s="5">
        <f t="shared" si="57"/>
        <v>4.9518073746205662E-2</v>
      </c>
      <c r="W83" s="1"/>
      <c r="X83" s="1">
        <f t="shared" si="58"/>
        <v>-3526.8099999999977</v>
      </c>
      <c r="Y83" s="1"/>
      <c r="Z83" s="5">
        <f t="shared" si="59"/>
        <v>-0.17226639964831719</v>
      </c>
    </row>
    <row r="84" spans="1:26" s="24" customFormat="1" hidden="1" outlineLevel="2" x14ac:dyDescent="0.3">
      <c r="A84" s="27"/>
      <c r="B84" s="11" t="str">
        <f>CONCATENATE("          ", "6235", " - ", "COVID-19 EXPENSES")</f>
        <v xml:space="preserve">          6235 - COVID-19 EXPENSES</v>
      </c>
      <c r="C84" s="11"/>
      <c r="D84" s="6"/>
      <c r="E84" s="2"/>
      <c r="F84" s="7">
        <f t="shared" si="52"/>
        <v>0</v>
      </c>
      <c r="G84" s="2"/>
      <c r="H84" s="6">
        <v>250</v>
      </c>
      <c r="I84" s="2"/>
      <c r="J84" s="7">
        <f t="shared" si="53"/>
        <v>3.0440658979385585E-3</v>
      </c>
      <c r="K84" s="2"/>
      <c r="L84" s="6">
        <f t="shared" si="54"/>
        <v>-250</v>
      </c>
      <c r="M84" s="2"/>
      <c r="N84" s="7">
        <f t="shared" si="55"/>
        <v>-1</v>
      </c>
      <c r="O84" s="11"/>
      <c r="P84" s="6">
        <v>193.5</v>
      </c>
      <c r="Q84" s="2"/>
      <c r="R84" s="7">
        <f t="shared" si="56"/>
        <v>3.9896709789477331E-4</v>
      </c>
      <c r="S84" s="2"/>
      <c r="T84" s="6">
        <v>1500</v>
      </c>
      <c r="U84" s="2"/>
      <c r="V84" s="7">
        <f t="shared" si="57"/>
        <v>3.6280520988281393E-3</v>
      </c>
      <c r="W84" s="2"/>
      <c r="X84" s="6">
        <f t="shared" si="58"/>
        <v>-1306.5</v>
      </c>
      <c r="Y84" s="2"/>
      <c r="Z84" s="7">
        <f t="shared" si="59"/>
        <v>-0.871</v>
      </c>
    </row>
    <row r="85" spans="1:26" s="24" customFormat="1" hidden="1" outlineLevel="2" x14ac:dyDescent="0.3">
      <c r="A85" s="27"/>
      <c r="B85" s="11" t="str">
        <f>CONCATENATE("          ", "6237", " - ", "JANITORIAL SUPPLIES")</f>
        <v xml:space="preserve">          6237 - JANITORIAL SUPPLIES</v>
      </c>
      <c r="C85" s="11"/>
      <c r="D85" s="6">
        <v>583.25</v>
      </c>
      <c r="E85" s="2"/>
      <c r="F85" s="7">
        <f t="shared" si="52"/>
        <v>5.7004841966353803E-3</v>
      </c>
      <c r="G85" s="2"/>
      <c r="H85" s="6">
        <v>225</v>
      </c>
      <c r="I85" s="2"/>
      <c r="J85" s="7">
        <f t="shared" si="53"/>
        <v>2.7396593081447027E-3</v>
      </c>
      <c r="K85" s="2"/>
      <c r="L85" s="6">
        <f t="shared" si="54"/>
        <v>358.25</v>
      </c>
      <c r="M85" s="2"/>
      <c r="N85" s="7">
        <f t="shared" si="55"/>
        <v>1.5922222222222222</v>
      </c>
      <c r="O85" s="11"/>
      <c r="P85" s="6">
        <v>5032.1000000000004</v>
      </c>
      <c r="Q85" s="2"/>
      <c r="R85" s="7">
        <f t="shared" si="56"/>
        <v>1.0375412575277979E-2</v>
      </c>
      <c r="S85" s="2"/>
      <c r="T85" s="6">
        <v>2603</v>
      </c>
      <c r="U85" s="2"/>
      <c r="V85" s="7">
        <f t="shared" si="57"/>
        <v>6.2958797421664306E-3</v>
      </c>
      <c r="W85" s="2"/>
      <c r="X85" s="6">
        <f t="shared" si="58"/>
        <v>2429.1000000000004</v>
      </c>
      <c r="Y85" s="2"/>
      <c r="Z85" s="7">
        <f t="shared" si="59"/>
        <v>0.93319247022666163</v>
      </c>
    </row>
    <row r="86" spans="1:26" s="24" customFormat="1" hidden="1" outlineLevel="2" x14ac:dyDescent="0.3">
      <c r="A86" s="27"/>
      <c r="B86" s="11" t="str">
        <f>CONCATENATE("          ", "6239", " - ", "KITCHEN SUPPLIES")</f>
        <v xml:space="preserve">          6239 - KITCHEN SUPPLIES</v>
      </c>
      <c r="C86" s="11"/>
      <c r="D86" s="6">
        <v>291.81</v>
      </c>
      <c r="E86" s="2"/>
      <c r="F86" s="7">
        <f t="shared" si="52"/>
        <v>2.8520502244666446E-3</v>
      </c>
      <c r="G86" s="2"/>
      <c r="H86" s="6"/>
      <c r="I86" s="2"/>
      <c r="J86" s="7">
        <f t="shared" si="53"/>
        <v>0</v>
      </c>
      <c r="K86" s="2"/>
      <c r="L86" s="6">
        <f t="shared" si="54"/>
        <v>291.81</v>
      </c>
      <c r="M86" s="2"/>
      <c r="N86" s="7">
        <f t="shared" si="55"/>
        <v>0</v>
      </c>
      <c r="O86" s="11"/>
      <c r="P86" s="6">
        <v>2283.86</v>
      </c>
      <c r="Q86" s="2"/>
      <c r="R86" s="7">
        <f t="shared" si="56"/>
        <v>4.7089663886199324E-3</v>
      </c>
      <c r="S86" s="2"/>
      <c r="T86" s="6">
        <v>5249</v>
      </c>
      <c r="U86" s="2"/>
      <c r="V86" s="7">
        <f t="shared" si="57"/>
        <v>1.2695763644499269E-2</v>
      </c>
      <c r="W86" s="2"/>
      <c r="X86" s="6">
        <f t="shared" si="58"/>
        <v>-2965.14</v>
      </c>
      <c r="Y86" s="2"/>
      <c r="Z86" s="7">
        <f t="shared" si="59"/>
        <v>-0.56489617069918074</v>
      </c>
    </row>
    <row r="87" spans="1:26" s="24" customFormat="1" hidden="1" outlineLevel="2" x14ac:dyDescent="0.3">
      <c r="A87" s="27"/>
      <c r="B87" s="11" t="str">
        <f>CONCATENATE("          ", "6241", " - ", "OFFICE EXPENSE")</f>
        <v xml:space="preserve">          6241 - OFFICE EXPENSE</v>
      </c>
      <c r="C87" s="11"/>
      <c r="D87" s="6">
        <v>250.7</v>
      </c>
      <c r="E87" s="2"/>
      <c r="F87" s="7">
        <f t="shared" si="52"/>
        <v>2.4502552732044401E-3</v>
      </c>
      <c r="G87" s="2"/>
      <c r="H87" s="6"/>
      <c r="I87" s="2"/>
      <c r="J87" s="7">
        <f t="shared" si="53"/>
        <v>0</v>
      </c>
      <c r="K87" s="2"/>
      <c r="L87" s="6">
        <f t="shared" si="54"/>
        <v>250.7</v>
      </c>
      <c r="M87" s="2"/>
      <c r="N87" s="7">
        <f t="shared" si="55"/>
        <v>0</v>
      </c>
      <c r="O87" s="11"/>
      <c r="P87" s="6">
        <v>6426.58</v>
      </c>
      <c r="Q87" s="2"/>
      <c r="R87" s="7">
        <f t="shared" si="56"/>
        <v>1.3250614842318304E-2</v>
      </c>
      <c r="S87" s="2"/>
      <c r="T87" s="6">
        <v>2927</v>
      </c>
      <c r="U87" s="2"/>
      <c r="V87" s="7">
        <f t="shared" si="57"/>
        <v>7.0795389955133087E-3</v>
      </c>
      <c r="W87" s="2"/>
      <c r="X87" s="6">
        <f t="shared" si="58"/>
        <v>3499.58</v>
      </c>
      <c r="Y87" s="2"/>
      <c r="Z87" s="7">
        <f t="shared" si="59"/>
        <v>1.1956200888281516</v>
      </c>
    </row>
    <row r="88" spans="1:26" s="24" customFormat="1" hidden="1" outlineLevel="2" x14ac:dyDescent="0.3">
      <c r="A88" s="27"/>
      <c r="B88" s="11" t="str">
        <f>CONCATENATE("          ", "6243", " - ", "PAPER SUPPLIES")</f>
        <v xml:space="preserve">          6243 - PAPER SUPPLIES</v>
      </c>
      <c r="C88" s="11"/>
      <c r="D88" s="6"/>
      <c r="E88" s="2"/>
      <c r="F88" s="7">
        <f t="shared" si="52"/>
        <v>0</v>
      </c>
      <c r="G88" s="2"/>
      <c r="H88" s="6">
        <v>600</v>
      </c>
      <c r="I88" s="2"/>
      <c r="J88" s="7">
        <f t="shared" si="53"/>
        <v>7.305758155052541E-3</v>
      </c>
      <c r="K88" s="2"/>
      <c r="L88" s="6">
        <f t="shared" si="54"/>
        <v>-600</v>
      </c>
      <c r="M88" s="2"/>
      <c r="N88" s="7">
        <f t="shared" si="55"/>
        <v>-1</v>
      </c>
      <c r="O88" s="11"/>
      <c r="P88" s="6">
        <v>1185.5899999999999</v>
      </c>
      <c r="Q88" s="2"/>
      <c r="R88" s="7">
        <f t="shared" si="56"/>
        <v>2.4445033674060168E-3</v>
      </c>
      <c r="S88" s="2"/>
      <c r="T88" s="6">
        <v>4133</v>
      </c>
      <c r="U88" s="2"/>
      <c r="V88" s="7">
        <f t="shared" si="57"/>
        <v>9.9964928829711329E-3</v>
      </c>
      <c r="W88" s="2"/>
      <c r="X88" s="6">
        <f t="shared" si="58"/>
        <v>-2947.41</v>
      </c>
      <c r="Y88" s="2"/>
      <c r="Z88" s="7">
        <f t="shared" si="59"/>
        <v>-0.71314057585289137</v>
      </c>
    </row>
    <row r="89" spans="1:26" s="24" customFormat="1" hidden="1" outlineLevel="2" x14ac:dyDescent="0.3">
      <c r="A89" s="27"/>
      <c r="B89" s="11" t="str">
        <f>CONCATENATE("          ", "6244", " - ", "SAFETY SUPPLY EXPENSE")</f>
        <v xml:space="preserve">          6244 - SAFETY SUPPLY EXPENSE</v>
      </c>
      <c r="C89" s="11"/>
      <c r="D89" s="6"/>
      <c r="E89" s="2"/>
      <c r="F89" s="7">
        <f t="shared" si="52"/>
        <v>0</v>
      </c>
      <c r="G89" s="2"/>
      <c r="H89" s="6"/>
      <c r="I89" s="2"/>
      <c r="J89" s="7">
        <f t="shared" si="53"/>
        <v>0</v>
      </c>
      <c r="K89" s="2"/>
      <c r="L89" s="6">
        <f t="shared" si="54"/>
        <v>0</v>
      </c>
      <c r="M89" s="2"/>
      <c r="N89" s="7">
        <f t="shared" si="55"/>
        <v>0</v>
      </c>
      <c r="O89" s="11"/>
      <c r="P89" s="6"/>
      <c r="Q89" s="2"/>
      <c r="R89" s="7">
        <f t="shared" si="56"/>
        <v>0</v>
      </c>
      <c r="S89" s="2"/>
      <c r="T89" s="6">
        <v>50</v>
      </c>
      <c r="U89" s="2"/>
      <c r="V89" s="7">
        <f t="shared" si="57"/>
        <v>1.2093506996093797E-4</v>
      </c>
      <c r="W89" s="2"/>
      <c r="X89" s="6">
        <f t="shared" si="58"/>
        <v>-50</v>
      </c>
      <c r="Y89" s="2"/>
      <c r="Z89" s="7">
        <f t="shared" si="59"/>
        <v>-1</v>
      </c>
    </row>
    <row r="90" spans="1:26" s="24" customFormat="1" hidden="1" outlineLevel="2" x14ac:dyDescent="0.3">
      <c r="A90" s="27"/>
      <c r="B90" s="11" t="str">
        <f>CONCATENATE("          ", "6245", " - ", "PRINTING")</f>
        <v xml:space="preserve">          6245 - PRINTING</v>
      </c>
      <c r="C90" s="11"/>
      <c r="D90" s="6"/>
      <c r="E90" s="2"/>
      <c r="F90" s="7">
        <f t="shared" si="52"/>
        <v>0</v>
      </c>
      <c r="G90" s="2"/>
      <c r="H90" s="6">
        <v>100</v>
      </c>
      <c r="I90" s="2"/>
      <c r="J90" s="7">
        <f t="shared" si="53"/>
        <v>1.2176263591754234E-3</v>
      </c>
      <c r="K90" s="2"/>
      <c r="L90" s="6">
        <f t="shared" si="54"/>
        <v>-100</v>
      </c>
      <c r="M90" s="2"/>
      <c r="N90" s="7">
        <f t="shared" si="55"/>
        <v>-1</v>
      </c>
      <c r="O90" s="11"/>
      <c r="P90" s="6">
        <v>1071</v>
      </c>
      <c r="Q90" s="2"/>
      <c r="R90" s="7">
        <f t="shared" si="56"/>
        <v>2.2082364953245593E-3</v>
      </c>
      <c r="S90" s="2"/>
      <c r="T90" s="6">
        <v>1000</v>
      </c>
      <c r="U90" s="2"/>
      <c r="V90" s="7">
        <f t="shared" si="57"/>
        <v>2.4187013992187593E-3</v>
      </c>
      <c r="W90" s="2"/>
      <c r="X90" s="6">
        <f t="shared" si="58"/>
        <v>71</v>
      </c>
      <c r="Y90" s="2"/>
      <c r="Z90" s="7">
        <f t="shared" si="59"/>
        <v>7.0999999999999994E-2</v>
      </c>
    </row>
    <row r="91" spans="1:26" s="24" customFormat="1" hidden="1" outlineLevel="2" x14ac:dyDescent="0.3">
      <c r="A91" s="27"/>
      <c r="B91" s="11" t="str">
        <f>CONCATENATE("          ", "6247", " - ", "STORE SUPPLIES")</f>
        <v xml:space="preserve">          6247 - STORE SUPPLIES</v>
      </c>
      <c r="C91" s="11"/>
      <c r="D91" s="6">
        <v>-60</v>
      </c>
      <c r="E91" s="2"/>
      <c r="F91" s="7">
        <f t="shared" si="52"/>
        <v>-5.8641929155271808E-4</v>
      </c>
      <c r="G91" s="2"/>
      <c r="H91" s="6"/>
      <c r="I91" s="2"/>
      <c r="J91" s="7">
        <f t="shared" si="53"/>
        <v>0</v>
      </c>
      <c r="K91" s="2"/>
      <c r="L91" s="6">
        <f t="shared" si="54"/>
        <v>-60</v>
      </c>
      <c r="M91" s="2"/>
      <c r="N91" s="7">
        <f t="shared" si="55"/>
        <v>0</v>
      </c>
      <c r="O91" s="11"/>
      <c r="P91" s="6">
        <v>500.61</v>
      </c>
      <c r="Q91" s="2"/>
      <c r="R91" s="7">
        <f t="shared" si="56"/>
        <v>1.0321804593131909E-3</v>
      </c>
      <c r="S91" s="2"/>
      <c r="T91" s="6">
        <v>411</v>
      </c>
      <c r="U91" s="2"/>
      <c r="V91" s="7">
        <f t="shared" si="57"/>
        <v>9.940862750789101E-4</v>
      </c>
      <c r="W91" s="2"/>
      <c r="X91" s="6">
        <f t="shared" si="58"/>
        <v>89.610000000000014</v>
      </c>
      <c r="Y91" s="2"/>
      <c r="Z91" s="7">
        <f t="shared" si="59"/>
        <v>0.218029197080292</v>
      </c>
    </row>
    <row r="92" spans="1:26" s="24" customFormat="1" hidden="1" outlineLevel="2" x14ac:dyDescent="0.3">
      <c r="A92" s="27"/>
      <c r="B92" s="11" t="str">
        <f>CONCATENATE("          ", "6248", " - ", "UNIFORMS")</f>
        <v xml:space="preserve">          6248 - UNIFORMS</v>
      </c>
      <c r="C92" s="11"/>
      <c r="D92" s="6">
        <v>252.95</v>
      </c>
      <c r="E92" s="2"/>
      <c r="F92" s="7">
        <f t="shared" si="52"/>
        <v>2.4722459966376674E-3</v>
      </c>
      <c r="G92" s="2"/>
      <c r="H92" s="6"/>
      <c r="I92" s="2"/>
      <c r="J92" s="7">
        <f t="shared" si="53"/>
        <v>0</v>
      </c>
      <c r="K92" s="2"/>
      <c r="L92" s="6">
        <f t="shared" si="54"/>
        <v>252.95</v>
      </c>
      <c r="M92" s="2"/>
      <c r="N92" s="7">
        <f t="shared" si="55"/>
        <v>0</v>
      </c>
      <c r="O92" s="11"/>
      <c r="P92" s="6">
        <v>252.95</v>
      </c>
      <c r="Q92" s="2"/>
      <c r="R92" s="7">
        <f t="shared" si="56"/>
        <v>5.2154381091722428E-4</v>
      </c>
      <c r="S92" s="2"/>
      <c r="T92" s="6">
        <v>2600</v>
      </c>
      <c r="U92" s="2"/>
      <c r="V92" s="7">
        <f t="shared" si="57"/>
        <v>6.2886236379687743E-3</v>
      </c>
      <c r="W92" s="2"/>
      <c r="X92" s="6">
        <f t="shared" si="58"/>
        <v>-2347.0500000000002</v>
      </c>
      <c r="Y92" s="2"/>
      <c r="Z92" s="7">
        <f t="shared" si="59"/>
        <v>-0.90271153846153851</v>
      </c>
    </row>
    <row r="93" spans="1:26" s="29" customFormat="1" outlineLevel="1" collapsed="1" x14ac:dyDescent="0.3">
      <c r="A93" s="28"/>
      <c r="B93" s="14" t="str">
        <f>CONCATENATE("     ","Telephone/Data Lines                              ")</f>
        <v xml:space="preserve">     Telephone/Data Lines                              </v>
      </c>
      <c r="C93" s="14"/>
      <c r="D93" s="1">
        <f>SUM(OSRRefD22_17x_0)</f>
        <v>586.1</v>
      </c>
      <c r="E93" s="1"/>
      <c r="F93" s="5">
        <f t="shared" ref="F93:F95" si="60">IF(D$12=0,0,D93/D$12)</f>
        <v>5.7283391129841349E-3</v>
      </c>
      <c r="G93" s="1"/>
      <c r="H93" s="1">
        <f>SUM(OSRRefH22_17x_0)</f>
        <v>360</v>
      </c>
      <c r="I93" s="1"/>
      <c r="J93" s="5">
        <f t="shared" ref="J93:J95" si="61">IF(H$12=0,0,H93/H$12)</f>
        <v>4.3834548930315248E-3</v>
      </c>
      <c r="K93" s="1"/>
      <c r="L93" s="1">
        <f t="shared" ref="L93:L95" si="62">+D93-H93</f>
        <v>226.10000000000002</v>
      </c>
      <c r="M93" s="1"/>
      <c r="N93" s="5">
        <f t="shared" ref="N93:N95" si="63">IF(H93=0,0,L93/H93)</f>
        <v>0.62805555555555559</v>
      </c>
      <c r="O93" s="14"/>
      <c r="P93" s="1">
        <f>SUM(OSRRefP22_17x_0)</f>
        <v>3467.49</v>
      </c>
      <c r="Q93" s="1"/>
      <c r="R93" s="5">
        <f t="shared" ref="R93:R95" si="64">IF(P$12=0,0,P93/P$12)</f>
        <v>7.149428538910322E-3</v>
      </c>
      <c r="S93" s="1"/>
      <c r="T93" s="1">
        <f>SUM(OSRRefT22_17x_0)</f>
        <v>2100</v>
      </c>
      <c r="U93" s="1"/>
      <c r="V93" s="5">
        <f t="shared" ref="V93:V95" si="65">IF(T$12=0,0,T93/T$12)</f>
        <v>5.0792729383593947E-3</v>
      </c>
      <c r="W93" s="1"/>
      <c r="X93" s="1">
        <f t="shared" ref="X93:X95" si="66">+P93-T93</f>
        <v>1367.4899999999998</v>
      </c>
      <c r="Y93" s="1"/>
      <c r="Z93" s="5">
        <f t="shared" ref="Z93:Z95" si="67">IF(T93=0,0,X93/T93)</f>
        <v>0.65118571428571415</v>
      </c>
    </row>
    <row r="94" spans="1:26" s="24" customFormat="1" hidden="1" outlineLevel="2" x14ac:dyDescent="0.3">
      <c r="A94" s="27"/>
      <c r="B94" s="11" t="str">
        <f>CONCATENATE("          ", "6303", " - ", "DATA PHONE LINES")</f>
        <v xml:space="preserve">          6303 - DATA PHONE LINES</v>
      </c>
      <c r="C94" s="11"/>
      <c r="D94" s="6"/>
      <c r="E94" s="2"/>
      <c r="F94" s="7">
        <f t="shared" si="60"/>
        <v>0</v>
      </c>
      <c r="G94" s="2"/>
      <c r="H94" s="6">
        <v>135</v>
      </c>
      <c r="I94" s="2"/>
      <c r="J94" s="7">
        <f t="shared" si="61"/>
        <v>1.6437955848868217E-3</v>
      </c>
      <c r="K94" s="2"/>
      <c r="L94" s="6">
        <f t="shared" si="62"/>
        <v>-135</v>
      </c>
      <c r="M94" s="2"/>
      <c r="N94" s="7">
        <f t="shared" si="63"/>
        <v>-1</v>
      </c>
      <c r="O94" s="11"/>
      <c r="P94" s="6"/>
      <c r="Q94" s="2"/>
      <c r="R94" s="7">
        <f t="shared" si="64"/>
        <v>0</v>
      </c>
      <c r="S94" s="2"/>
      <c r="T94" s="6">
        <v>675</v>
      </c>
      <c r="U94" s="2"/>
      <c r="V94" s="7">
        <f t="shared" si="65"/>
        <v>1.6326234444726626E-3</v>
      </c>
      <c r="W94" s="2"/>
      <c r="X94" s="6">
        <f t="shared" si="66"/>
        <v>-675</v>
      </c>
      <c r="Y94" s="2"/>
      <c r="Z94" s="7">
        <f t="shared" si="67"/>
        <v>-1</v>
      </c>
    </row>
    <row r="95" spans="1:26" s="24" customFormat="1" hidden="1" outlineLevel="2" x14ac:dyDescent="0.3">
      <c r="A95" s="27"/>
      <c r="B95" s="11" t="str">
        <f>CONCATENATE("          ", "6309", " - ", "TELEPHONE")</f>
        <v xml:space="preserve">          6309 - TELEPHONE</v>
      </c>
      <c r="C95" s="11"/>
      <c r="D95" s="6">
        <v>586.1</v>
      </c>
      <c r="E95" s="2"/>
      <c r="F95" s="7">
        <f t="shared" si="60"/>
        <v>5.7283391129841349E-3</v>
      </c>
      <c r="G95" s="2"/>
      <c r="H95" s="6">
        <v>225</v>
      </c>
      <c r="I95" s="2"/>
      <c r="J95" s="7">
        <f t="shared" si="61"/>
        <v>2.7396593081447027E-3</v>
      </c>
      <c r="K95" s="2"/>
      <c r="L95" s="6">
        <f t="shared" si="62"/>
        <v>361.1</v>
      </c>
      <c r="M95" s="2"/>
      <c r="N95" s="7">
        <f t="shared" si="63"/>
        <v>1.604888888888889</v>
      </c>
      <c r="O95" s="11"/>
      <c r="P95" s="6">
        <v>3467.49</v>
      </c>
      <c r="Q95" s="2"/>
      <c r="R95" s="7">
        <f t="shared" si="64"/>
        <v>7.149428538910322E-3</v>
      </c>
      <c r="S95" s="2"/>
      <c r="T95" s="6">
        <v>1425</v>
      </c>
      <c r="U95" s="2"/>
      <c r="V95" s="7">
        <f t="shared" si="65"/>
        <v>3.4466494938867323E-3</v>
      </c>
      <c r="W95" s="2"/>
      <c r="X95" s="6">
        <f t="shared" si="66"/>
        <v>2042.4899999999998</v>
      </c>
      <c r="Y95" s="2"/>
      <c r="Z95" s="7">
        <f t="shared" si="67"/>
        <v>1.4333263157894736</v>
      </c>
    </row>
    <row r="96" spans="1:26" s="29" customFormat="1" outlineLevel="1" collapsed="1" x14ac:dyDescent="0.3">
      <c r="A96" s="28"/>
      <c r="B96" s="14" t="str">
        <f>CONCATENATE("     ","Training                                          ")</f>
        <v xml:space="preserve">     Training                                          </v>
      </c>
      <c r="C96" s="14"/>
      <c r="D96" s="1">
        <f>SUM(OSRRefD22_18x_0)</f>
        <v>0</v>
      </c>
      <c r="E96" s="1"/>
      <c r="F96" s="5">
        <f t="shared" ref="F96:F101" si="68">IF(D$12=0,0,D96/D$12)</f>
        <v>0</v>
      </c>
      <c r="G96" s="1"/>
      <c r="H96" s="1">
        <f>SUM(OSRRefH22_18x_0)</f>
        <v>0</v>
      </c>
      <c r="I96" s="1"/>
      <c r="J96" s="5">
        <f t="shared" ref="J96:J101" si="69">IF(H$12=0,0,H96/H$12)</f>
        <v>0</v>
      </c>
      <c r="K96" s="1"/>
      <c r="L96" s="1">
        <f t="shared" ref="L96:L101" si="70">+D96-H96</f>
        <v>0</v>
      </c>
      <c r="M96" s="1"/>
      <c r="N96" s="5">
        <f t="shared" ref="N96:N101" si="71">IF(H96=0,0,L96/H96)</f>
        <v>0</v>
      </c>
      <c r="O96" s="14"/>
      <c r="P96" s="1">
        <f>SUM(OSRRefP22_18x_0)</f>
        <v>0</v>
      </c>
      <c r="Q96" s="1"/>
      <c r="R96" s="5">
        <f t="shared" ref="R96:R101" si="72">IF(P$12=0,0,P96/P$12)</f>
        <v>0</v>
      </c>
      <c r="S96" s="1"/>
      <c r="T96" s="1">
        <f>SUM(OSRRefT22_18x_0)</f>
        <v>800</v>
      </c>
      <c r="U96" s="1"/>
      <c r="V96" s="5">
        <f t="shared" ref="V96:V101" si="73">IF(T$12=0,0,T96/T$12)</f>
        <v>1.9349611193750075E-3</v>
      </c>
      <c r="W96" s="1"/>
      <c r="X96" s="1">
        <f t="shared" ref="X96:X101" si="74">+P96-T96</f>
        <v>-800</v>
      </c>
      <c r="Y96" s="1"/>
      <c r="Z96" s="5">
        <f t="shared" ref="Z96:Z101" si="75">IF(T96=0,0,X96/T96)</f>
        <v>-1</v>
      </c>
    </row>
    <row r="97" spans="1:26" s="24" customFormat="1" hidden="1" outlineLevel="2" x14ac:dyDescent="0.3">
      <c r="A97" s="27"/>
      <c r="B97" s="11" t="str">
        <f>CONCATENATE("          ", "6376", " - ", "TRAINING")</f>
        <v xml:space="preserve">          6376 - TRAINING</v>
      </c>
      <c r="C97" s="11"/>
      <c r="D97" s="6"/>
      <c r="E97" s="2"/>
      <c r="F97" s="7">
        <f t="shared" si="68"/>
        <v>0</v>
      </c>
      <c r="G97" s="2"/>
      <c r="H97" s="6"/>
      <c r="I97" s="2"/>
      <c r="J97" s="7">
        <f t="shared" si="69"/>
        <v>0</v>
      </c>
      <c r="K97" s="2"/>
      <c r="L97" s="6">
        <f t="shared" si="70"/>
        <v>0</v>
      </c>
      <c r="M97" s="2"/>
      <c r="N97" s="7">
        <f t="shared" si="71"/>
        <v>0</v>
      </c>
      <c r="O97" s="11"/>
      <c r="P97" s="6"/>
      <c r="Q97" s="2"/>
      <c r="R97" s="7">
        <f t="shared" si="72"/>
        <v>0</v>
      </c>
      <c r="S97" s="2"/>
      <c r="T97" s="6">
        <v>800</v>
      </c>
      <c r="U97" s="2"/>
      <c r="V97" s="7">
        <f t="shared" si="73"/>
        <v>1.9349611193750075E-3</v>
      </c>
      <c r="W97" s="2"/>
      <c r="X97" s="6">
        <f t="shared" si="74"/>
        <v>-800</v>
      </c>
      <c r="Y97" s="2"/>
      <c r="Z97" s="7">
        <f t="shared" si="75"/>
        <v>-1</v>
      </c>
    </row>
    <row r="98" spans="1:26" s="29" customFormat="1" outlineLevel="1" collapsed="1" x14ac:dyDescent="0.3">
      <c r="A98" s="28"/>
      <c r="B98" s="14" t="str">
        <f>CONCATENATE("     ","Travel                                            ")</f>
        <v xml:space="preserve">     Travel                                            </v>
      </c>
      <c r="C98" s="14"/>
      <c r="D98" s="1">
        <f>SUM(OSRRefD22_19x_0)</f>
        <v>18.59</v>
      </c>
      <c r="E98" s="1"/>
      <c r="F98" s="5">
        <f t="shared" si="68"/>
        <v>1.8169224383275049E-4</v>
      </c>
      <c r="G98" s="1"/>
      <c r="H98" s="1">
        <f>SUM(OSRRefH22_19x_0)</f>
        <v>0</v>
      </c>
      <c r="I98" s="1"/>
      <c r="J98" s="5">
        <f t="shared" si="69"/>
        <v>0</v>
      </c>
      <c r="K98" s="1"/>
      <c r="L98" s="1">
        <f t="shared" si="70"/>
        <v>18.59</v>
      </c>
      <c r="M98" s="1"/>
      <c r="N98" s="5">
        <f t="shared" si="71"/>
        <v>0</v>
      </c>
      <c r="O98" s="14"/>
      <c r="P98" s="1">
        <f>SUM(OSRRefP22_19x_0)</f>
        <v>18.59</v>
      </c>
      <c r="Q98" s="1"/>
      <c r="R98" s="5">
        <f t="shared" si="72"/>
        <v>3.8329707234438424E-5</v>
      </c>
      <c r="S98" s="1"/>
      <c r="T98" s="1">
        <f>SUM(OSRRefT22_19x_0)</f>
        <v>0</v>
      </c>
      <c r="U98" s="1"/>
      <c r="V98" s="5">
        <f t="shared" si="73"/>
        <v>0</v>
      </c>
      <c r="W98" s="1"/>
      <c r="X98" s="1">
        <f t="shared" si="74"/>
        <v>18.59</v>
      </c>
      <c r="Y98" s="1"/>
      <c r="Z98" s="5">
        <f t="shared" si="75"/>
        <v>0</v>
      </c>
    </row>
    <row r="99" spans="1:26" s="24" customFormat="1" hidden="1" outlineLevel="2" x14ac:dyDescent="0.3">
      <c r="A99" s="27"/>
      <c r="B99" s="11" t="str">
        <f>CONCATENATE("          ", "6292", " - ", "TRAVEL/CONFERENCE")</f>
        <v xml:space="preserve">          6292 - TRAVEL/CONFERENCE</v>
      </c>
      <c r="C99" s="11"/>
      <c r="D99" s="6">
        <v>18.59</v>
      </c>
      <c r="E99" s="2"/>
      <c r="F99" s="7">
        <f t="shared" si="68"/>
        <v>1.8169224383275049E-4</v>
      </c>
      <c r="G99" s="2"/>
      <c r="H99" s="6"/>
      <c r="I99" s="2"/>
      <c r="J99" s="7">
        <f t="shared" si="69"/>
        <v>0</v>
      </c>
      <c r="K99" s="2"/>
      <c r="L99" s="6">
        <f t="shared" si="70"/>
        <v>18.59</v>
      </c>
      <c r="M99" s="2"/>
      <c r="N99" s="7">
        <f t="shared" si="71"/>
        <v>0</v>
      </c>
      <c r="O99" s="11"/>
      <c r="P99" s="6">
        <v>18.59</v>
      </c>
      <c r="Q99" s="2"/>
      <c r="R99" s="7">
        <f t="shared" si="72"/>
        <v>3.8329707234438424E-5</v>
      </c>
      <c r="S99" s="2"/>
      <c r="T99" s="6"/>
      <c r="U99" s="2"/>
      <c r="V99" s="7">
        <f t="shared" si="73"/>
        <v>0</v>
      </c>
      <c r="W99" s="2"/>
      <c r="X99" s="6">
        <f t="shared" si="74"/>
        <v>18.59</v>
      </c>
      <c r="Y99" s="2"/>
      <c r="Z99" s="7">
        <f t="shared" si="75"/>
        <v>0</v>
      </c>
    </row>
    <row r="100" spans="1:26" s="29" customFormat="1" outlineLevel="1" collapsed="1" x14ac:dyDescent="0.3">
      <c r="A100" s="28"/>
      <c r="B100" s="14" t="str">
        <f>CONCATENATE("     ","Utilities                                         ")</f>
        <v xml:space="preserve">     Utilities                                         </v>
      </c>
      <c r="C100" s="14"/>
      <c r="D100" s="1">
        <f>SUM(OSRRefD22_20x_0)</f>
        <v>8150</v>
      </c>
      <c r="E100" s="1"/>
      <c r="F100" s="5">
        <f t="shared" si="68"/>
        <v>7.9655287102577535E-2</v>
      </c>
      <c r="G100" s="1"/>
      <c r="H100" s="1">
        <f>SUM(OSRRefH22_20x_0)</f>
        <v>8667</v>
      </c>
      <c r="I100" s="1"/>
      <c r="J100" s="5">
        <f t="shared" si="69"/>
        <v>0.10553167654973394</v>
      </c>
      <c r="K100" s="1"/>
      <c r="L100" s="1">
        <f t="shared" si="70"/>
        <v>-517</v>
      </c>
      <c r="M100" s="1"/>
      <c r="N100" s="5">
        <f t="shared" si="71"/>
        <v>-5.9651551863389871E-2</v>
      </c>
      <c r="O100" s="14"/>
      <c r="P100" s="1">
        <f>SUM(OSRRefP22_20x_0)</f>
        <v>38350</v>
      </c>
      <c r="Q100" s="1"/>
      <c r="R100" s="5">
        <f t="shared" si="72"/>
        <v>7.9071773665449901E-2</v>
      </c>
      <c r="S100" s="1"/>
      <c r="T100" s="1">
        <f>SUM(OSRRefT22_20x_0)</f>
        <v>43335</v>
      </c>
      <c r="U100" s="1"/>
      <c r="V100" s="5">
        <f t="shared" si="73"/>
        <v>0.10481442513514494</v>
      </c>
      <c r="W100" s="1"/>
      <c r="X100" s="1">
        <f t="shared" si="74"/>
        <v>-4985</v>
      </c>
      <c r="Y100" s="1"/>
      <c r="Z100" s="5">
        <f t="shared" si="75"/>
        <v>-0.11503403715241721</v>
      </c>
    </row>
    <row r="101" spans="1:26" s="24" customFormat="1" hidden="1" outlineLevel="2" x14ac:dyDescent="0.3">
      <c r="A101" s="27"/>
      <c r="B101" s="11" t="str">
        <f>CONCATENATE("          ", "6274", " - ", "UTILITIES")</f>
        <v xml:space="preserve">          6274 - UTILITIES</v>
      </c>
      <c r="C101" s="11"/>
      <c r="D101" s="6">
        <v>8150</v>
      </c>
      <c r="E101" s="2"/>
      <c r="F101" s="7">
        <f t="shared" si="68"/>
        <v>7.9655287102577535E-2</v>
      </c>
      <c r="G101" s="2"/>
      <c r="H101" s="6">
        <v>8667</v>
      </c>
      <c r="I101" s="2"/>
      <c r="J101" s="7">
        <f t="shared" si="69"/>
        <v>0.10553167654973394</v>
      </c>
      <c r="K101" s="2"/>
      <c r="L101" s="6">
        <f t="shared" si="70"/>
        <v>-517</v>
      </c>
      <c r="M101" s="2"/>
      <c r="N101" s="7">
        <f t="shared" si="71"/>
        <v>-5.9651551863389871E-2</v>
      </c>
      <c r="O101" s="11"/>
      <c r="P101" s="6">
        <v>38350</v>
      </c>
      <c r="Q101" s="2"/>
      <c r="R101" s="7">
        <f t="shared" si="72"/>
        <v>7.9071773665449901E-2</v>
      </c>
      <c r="S101" s="2"/>
      <c r="T101" s="6">
        <v>43335</v>
      </c>
      <c r="U101" s="2"/>
      <c r="V101" s="7">
        <f t="shared" si="73"/>
        <v>0.10481442513514494</v>
      </c>
      <c r="W101" s="2"/>
      <c r="X101" s="6">
        <f t="shared" si="74"/>
        <v>-4985</v>
      </c>
      <c r="Y101" s="2"/>
      <c r="Z101" s="7">
        <f t="shared" si="75"/>
        <v>-0.11503403715241721</v>
      </c>
    </row>
    <row r="102" spans="1:26" s="63" customFormat="1" x14ac:dyDescent="0.3">
      <c r="A102" s="36"/>
      <c r="B102" s="36"/>
      <c r="C102" s="36"/>
      <c r="D102" s="1"/>
      <c r="E102" s="1"/>
      <c r="F102" s="5"/>
      <c r="G102" s="1"/>
      <c r="H102" s="1"/>
      <c r="I102" s="1"/>
      <c r="J102" s="5"/>
      <c r="K102" s="1"/>
      <c r="L102" s="1"/>
      <c r="M102" s="1"/>
      <c r="N102" s="5"/>
      <c r="O102" s="36"/>
      <c r="P102" s="1"/>
      <c r="Q102" s="1"/>
      <c r="R102" s="5"/>
      <c r="S102" s="1"/>
      <c r="T102" s="1"/>
      <c r="U102" s="1"/>
      <c r="V102" s="5"/>
      <c r="W102" s="1"/>
      <c r="X102" s="1"/>
      <c r="Y102" s="1"/>
      <c r="Z102" s="5"/>
    </row>
    <row r="103" spans="1:26" s="23" customFormat="1" collapsed="1" x14ac:dyDescent="0.3">
      <c r="A103" s="10"/>
      <c r="B103" s="25" t="s">
        <v>293</v>
      </c>
      <c r="C103" s="10"/>
      <c r="D103" s="4">
        <f>SUM(OSRRefD25x_0)</f>
        <v>6011.63</v>
      </c>
      <c r="E103" s="4"/>
      <c r="F103" s="12">
        <f t="shared" ref="F103:F106" si="76">IF(D$12=0,0,D103/D$12)</f>
        <v>5.8755596761284445E-2</v>
      </c>
      <c r="G103" s="4"/>
      <c r="H103" s="4">
        <f>SUM(OSRRefH25x_0)</f>
        <v>250</v>
      </c>
      <c r="I103" s="4"/>
      <c r="J103" s="12">
        <f t="shared" ref="J103:J106" si="77">IF(H$12=0,0,H103/H$12)</f>
        <v>3.0440658979385585E-3</v>
      </c>
      <c r="K103" s="4"/>
      <c r="L103" s="4">
        <f t="shared" ref="L103:L106" si="78">+D103-H103</f>
        <v>5761.63</v>
      </c>
      <c r="M103" s="4"/>
      <c r="N103" s="12">
        <f t="shared" ref="N103:N106" si="79">IF(H103=0,0,L103/H103)</f>
        <v>23.046520000000001</v>
      </c>
      <c r="O103" s="10"/>
      <c r="P103" s="4">
        <f>SUM(OSRRefP25x_0)</f>
        <v>30018.35</v>
      </c>
      <c r="Q103" s="4"/>
      <c r="R103" s="12">
        <f t="shared" ref="R103:R106" si="80">IF(P$12=0,0,P103/P$12)</f>
        <v>6.189319887901585E-2</v>
      </c>
      <c r="S103" s="4"/>
      <c r="T103" s="4">
        <f>SUM(OSRRefT25x_0)</f>
        <v>750</v>
      </c>
      <c r="U103" s="4"/>
      <c r="V103" s="12">
        <f t="shared" ref="V103:V106" si="81">IF(T$12=0,0,T103/T$12)</f>
        <v>1.8140260494140697E-3</v>
      </c>
      <c r="W103" s="4"/>
      <c r="X103" s="4">
        <f t="shared" ref="X103:X106" si="82">+P103-T103</f>
        <v>29268.35</v>
      </c>
      <c r="Y103" s="4"/>
      <c r="Z103" s="12">
        <f t="shared" ref="Z103:Z106" si="83">IF(T103=0,0,X103/T103)</f>
        <v>39.024466666666662</v>
      </c>
    </row>
    <row r="104" spans="1:26" s="24" customFormat="1" hidden="1" outlineLevel="1" x14ac:dyDescent="0.3">
      <c r="A104" s="44"/>
      <c r="B104" s="11" t="str">
        <f>CONCATENATE("          ", "9150", " - ", "MISC. INCOME")</f>
        <v xml:space="preserve">          9150 - MISC. INCOME</v>
      </c>
      <c r="C104" s="11"/>
      <c r="D104" s="2">
        <f>--6011.63</f>
        <v>6011.63</v>
      </c>
      <c r="E104" s="2"/>
      <c r="F104" s="19">
        <f t="shared" si="76"/>
        <v>5.8755596761284445E-2</v>
      </c>
      <c r="G104" s="2"/>
      <c r="H104" s="2">
        <v>250</v>
      </c>
      <c r="I104" s="2"/>
      <c r="J104" s="19">
        <f t="shared" si="77"/>
        <v>3.0440658979385585E-3</v>
      </c>
      <c r="K104" s="2"/>
      <c r="L104" s="2">
        <f t="shared" si="78"/>
        <v>5761.63</v>
      </c>
      <c r="M104" s="2"/>
      <c r="N104" s="19">
        <f t="shared" si="79"/>
        <v>23.046520000000001</v>
      </c>
      <c r="O104" s="11"/>
      <c r="P104" s="2">
        <f>--30018.35</f>
        <v>30018.35</v>
      </c>
      <c r="Q104" s="2"/>
      <c r="R104" s="19">
        <f t="shared" si="80"/>
        <v>6.189319887901585E-2</v>
      </c>
      <c r="S104" s="2"/>
      <c r="T104" s="2">
        <v>750</v>
      </c>
      <c r="U104" s="2"/>
      <c r="V104" s="19">
        <f t="shared" si="81"/>
        <v>1.8140260494140697E-3</v>
      </c>
      <c r="W104" s="2"/>
      <c r="X104" s="2">
        <f t="shared" si="82"/>
        <v>29268.35</v>
      </c>
      <c r="Y104" s="2"/>
      <c r="Z104" s="19">
        <f t="shared" si="83"/>
        <v>39.024466666666662</v>
      </c>
    </row>
    <row r="105" spans="1:26" s="24" customFormat="1" hidden="1" outlineLevel="1" x14ac:dyDescent="0.3">
      <c r="A105" s="44"/>
      <c r="B105" s="11" t="str">
        <f>CONCATENATE("          ", "9160", " - ", "MISC. INCOME")</f>
        <v xml:space="preserve">          9160 - MISC. INCOME</v>
      </c>
      <c r="C105" s="11"/>
      <c r="D105" s="2">
        <f t="shared" ref="D105:D106" si="84">0</f>
        <v>0</v>
      </c>
      <c r="E105" s="2"/>
      <c r="F105" s="19">
        <f t="shared" si="76"/>
        <v>0</v>
      </c>
      <c r="G105" s="2"/>
      <c r="H105" s="2"/>
      <c r="I105" s="2"/>
      <c r="J105" s="19">
        <f t="shared" si="77"/>
        <v>0</v>
      </c>
      <c r="K105" s="2"/>
      <c r="L105" s="2">
        <f t="shared" si="78"/>
        <v>0</v>
      </c>
      <c r="M105" s="2"/>
      <c r="N105" s="19">
        <f t="shared" si="79"/>
        <v>0</v>
      </c>
      <c r="O105" s="11"/>
      <c r="P105" s="2">
        <f t="shared" ref="P105:P106" si="85">0</f>
        <v>0</v>
      </c>
      <c r="Q105" s="2"/>
      <c r="R105" s="19">
        <f t="shared" si="80"/>
        <v>0</v>
      </c>
      <c r="S105" s="2"/>
      <c r="T105" s="2"/>
      <c r="U105" s="2"/>
      <c r="V105" s="19">
        <f t="shared" si="81"/>
        <v>0</v>
      </c>
      <c r="W105" s="2"/>
      <c r="X105" s="2">
        <f t="shared" si="82"/>
        <v>0</v>
      </c>
      <c r="Y105" s="2"/>
      <c r="Z105" s="19">
        <f t="shared" si="83"/>
        <v>0</v>
      </c>
    </row>
    <row r="106" spans="1:26" s="24" customFormat="1" hidden="1" outlineLevel="1" x14ac:dyDescent="0.3">
      <c r="A106" s="44"/>
      <c r="B106" s="11" t="str">
        <f>CONCATENATE("          ", "9165", " - ", "OTHER INCOME")</f>
        <v xml:space="preserve">          9165 - OTHER INCOME</v>
      </c>
      <c r="C106" s="11"/>
      <c r="D106" s="2">
        <f t="shared" si="84"/>
        <v>0</v>
      </c>
      <c r="E106" s="2"/>
      <c r="F106" s="19">
        <f t="shared" si="76"/>
        <v>0</v>
      </c>
      <c r="G106" s="2"/>
      <c r="H106" s="2"/>
      <c r="I106" s="2"/>
      <c r="J106" s="19">
        <f t="shared" si="77"/>
        <v>0</v>
      </c>
      <c r="K106" s="2"/>
      <c r="L106" s="2">
        <f t="shared" si="78"/>
        <v>0</v>
      </c>
      <c r="M106" s="2"/>
      <c r="N106" s="19">
        <f t="shared" si="79"/>
        <v>0</v>
      </c>
      <c r="O106" s="11"/>
      <c r="P106" s="2">
        <f t="shared" si="85"/>
        <v>0</v>
      </c>
      <c r="Q106" s="2"/>
      <c r="R106" s="19">
        <f t="shared" si="80"/>
        <v>0</v>
      </c>
      <c r="S106" s="2"/>
      <c r="T106" s="2"/>
      <c r="U106" s="2"/>
      <c r="V106" s="19">
        <f t="shared" si="81"/>
        <v>0</v>
      </c>
      <c r="W106" s="2"/>
      <c r="X106" s="2">
        <f t="shared" si="82"/>
        <v>0</v>
      </c>
      <c r="Y106" s="2"/>
      <c r="Z106" s="19">
        <f t="shared" si="83"/>
        <v>0</v>
      </c>
    </row>
    <row r="107" spans="1:26" x14ac:dyDescent="0.3">
      <c r="A107" s="9"/>
      <c r="B107" s="10"/>
      <c r="C107" s="10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O107" s="10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x14ac:dyDescent="0.3">
      <c r="A108" s="10"/>
      <c r="B108" s="26" t="s">
        <v>277</v>
      </c>
      <c r="C108" s="26"/>
      <c r="D108" s="20">
        <f>+D24-D26+D103</f>
        <v>-98959.03</v>
      </c>
      <c r="E108" s="13"/>
      <c r="F108" s="22">
        <f>IF(D$12=0,0,D108/D$12)</f>
        <v>-0.96719140442240292</v>
      </c>
      <c r="G108" s="13"/>
      <c r="H108" s="20">
        <f>+H24-H26+H103</f>
        <v>-102239.09662196832</v>
      </c>
      <c r="I108" s="13"/>
      <c r="J108" s="22">
        <f>IF(H$12=0,0,H108/H$12)</f>
        <v>-1.2448901898519162</v>
      </c>
      <c r="K108" s="15"/>
      <c r="L108" s="20">
        <f>+D108-H108</f>
        <v>3280.0666219683189</v>
      </c>
      <c r="M108" s="15"/>
      <c r="N108" s="22">
        <f>IF(H108=0,0,L108/H108)</f>
        <v>-3.2082312249847526E-2</v>
      </c>
      <c r="O108" s="25"/>
      <c r="P108" s="20">
        <f>+P24-P26+P103</f>
        <v>-571012.30999999982</v>
      </c>
      <c r="Q108" s="13"/>
      <c r="R108" s="22">
        <f>IF(P$12=0,0,P108/P$12)</f>
        <v>-1.1773391430640339</v>
      </c>
      <c r="S108" s="13"/>
      <c r="T108" s="20">
        <f>+T24-T26+T103</f>
        <v>-591626.92717568297</v>
      </c>
      <c r="U108" s="13"/>
      <c r="V108" s="22">
        <f>IF(T$12=0,0,T108/T$12)</f>
        <v>-1.4309688765753195</v>
      </c>
      <c r="W108" s="15"/>
      <c r="X108" s="20">
        <f>+P108-T108</f>
        <v>20614.617175683146</v>
      </c>
      <c r="Y108" s="15"/>
      <c r="Z108" s="22">
        <f>IF(T108=0,0,X108/T108)</f>
        <v>-3.4843946799537166E-2</v>
      </c>
    </row>
    <row r="109" spans="1:26" x14ac:dyDescent="0.3">
      <c r="A109" s="9"/>
      <c r="B109" s="10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x14ac:dyDescent="0.3">
      <c r="A110" s="52"/>
      <c r="B110" s="10" t="s">
        <v>128</v>
      </c>
      <c r="C110" s="10"/>
      <c r="D110" s="4">
        <v>13534.08</v>
      </c>
      <c r="E110" s="4"/>
      <c r="F110" s="12">
        <f>IF(D$12=0,0,D110/D$12)</f>
        <v>0.13227742675696352</v>
      </c>
      <c r="G110" s="4"/>
      <c r="H110" s="4">
        <v>13588</v>
      </c>
      <c r="I110" s="4"/>
      <c r="J110" s="12">
        <f>IF(H$12=0,0,H110/H$12)</f>
        <v>0.16545106968475654</v>
      </c>
      <c r="K110" s="4"/>
      <c r="L110" s="4">
        <f>+D110-H110</f>
        <v>-53.920000000000073</v>
      </c>
      <c r="M110" s="4"/>
      <c r="N110" s="12">
        <f>IF(H110=0,0,L110/H110)</f>
        <v>-3.9682072416838444E-3</v>
      </c>
      <c r="O110" s="10"/>
      <c r="P110" s="4">
        <v>57769.48</v>
      </c>
      <c r="Q110" s="4"/>
      <c r="R110" s="12">
        <f>IF(P$12=0,0,P110/P$12)</f>
        <v>0.11911174047798527</v>
      </c>
      <c r="S110" s="4"/>
      <c r="T110" s="4">
        <v>51685</v>
      </c>
      <c r="U110" s="4"/>
      <c r="V110" s="12">
        <f>IF(T$12=0,0,T110/T$12)</f>
        <v>0.12501058181862157</v>
      </c>
      <c r="W110" s="4"/>
      <c r="X110" s="4">
        <f>+P110-T110</f>
        <v>6084.4800000000032</v>
      </c>
      <c r="Y110" s="4"/>
      <c r="Z110" s="12">
        <f>IF(T110=0,0,X110/T110)</f>
        <v>0.11772235658314797</v>
      </c>
    </row>
    <row r="111" spans="1:26" x14ac:dyDescent="0.3">
      <c r="A111" s="9"/>
      <c r="B111" s="10"/>
      <c r="C111" s="10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O111" s="10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ht="15" thickBot="1" x14ac:dyDescent="0.35">
      <c r="A112" s="10"/>
      <c r="B112" s="26" t="s">
        <v>126</v>
      </c>
      <c r="C112" s="26"/>
      <c r="D112" s="33">
        <f>+D108-D110</f>
        <v>-112493.11</v>
      </c>
      <c r="E112" s="13"/>
      <c r="F112" s="34">
        <f>IF(D$12=0,0,D112/D$12)</f>
        <v>-1.0994688311793666</v>
      </c>
      <c r="G112" s="13"/>
      <c r="H112" s="33">
        <f>+H108-H110</f>
        <v>-115827.09662196832</v>
      </c>
      <c r="I112" s="13"/>
      <c r="J112" s="34">
        <f>IF(H$12=0,0,H112/H$12)</f>
        <v>-1.4103412595366727</v>
      </c>
      <c r="K112" s="15"/>
      <c r="L112" s="33">
        <f>D112-H112</f>
        <v>3333.9866219683172</v>
      </c>
      <c r="M112" s="15"/>
      <c r="N112" s="34">
        <f>IF(H112=0,0,L112/H112)</f>
        <v>-2.8784168119569159E-2</v>
      </c>
      <c r="O112" s="25"/>
      <c r="P112" s="33">
        <f>+P108-P110</f>
        <v>-628781.7899999998</v>
      </c>
      <c r="Q112" s="13"/>
      <c r="R112" s="34">
        <f>IF(P$12=0,0,P112/P$12)</f>
        <v>-1.2964508835420192</v>
      </c>
      <c r="S112" s="13"/>
      <c r="T112" s="33">
        <f>+T108-T110</f>
        <v>-643311.92717568297</v>
      </c>
      <c r="U112" s="13"/>
      <c r="V112" s="34">
        <f>IF(T$12=0,0,T112/T$12)</f>
        <v>-1.555979458393941</v>
      </c>
      <c r="W112" s="15"/>
      <c r="X112" s="33">
        <f>P112-T112</f>
        <v>14530.137175683165</v>
      </c>
      <c r="Y112" s="15"/>
      <c r="Z112" s="34">
        <f>IF(T112=0,0,X112/T112)</f>
        <v>-2.2586456992138293E-2</v>
      </c>
    </row>
    <row r="113" spans="1:26" ht="15" thickTop="1" x14ac:dyDescent="0.3">
      <c r="A113" s="9"/>
      <c r="B113" s="9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x14ac:dyDescent="0.3">
      <c r="A114" s="9"/>
      <c r="B114" s="9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ht="15" thickBot="1" x14ac:dyDescent="0.35">
      <c r="A115" s="10"/>
      <c r="B115" s="26" t="s">
        <v>294</v>
      </c>
      <c r="C115" s="26"/>
      <c r="D115" s="35">
        <f>SUM(D112:D114)</f>
        <v>-112493.11</v>
      </c>
      <c r="E115" s="13"/>
      <c r="F115" s="32">
        <f>IF(D$12=0,0,D115/D$12)</f>
        <v>-1.0994688311793666</v>
      </c>
      <c r="G115" s="13"/>
      <c r="H115" s="35">
        <f>SUM(H112:H114)</f>
        <v>-115827.09662196832</v>
      </c>
      <c r="I115" s="13"/>
      <c r="J115" s="32">
        <f>IF(H$12=0,0,H115/H$12)</f>
        <v>-1.4103412595366727</v>
      </c>
      <c r="K115" s="15"/>
      <c r="L115" s="35">
        <f>+D115-H115</f>
        <v>3333.9866219683172</v>
      </c>
      <c r="M115" s="15"/>
      <c r="N115" s="32">
        <f>IF(H115=0,0,L115/H115)</f>
        <v>-2.8784168119569159E-2</v>
      </c>
      <c r="O115" s="25"/>
      <c r="P115" s="35">
        <f>SUM(P112:P114)</f>
        <v>-628781.7899999998</v>
      </c>
      <c r="Q115" s="13"/>
      <c r="R115" s="32">
        <f>IF(P$12=0,0,P115/P$12)</f>
        <v>-1.2964508835420192</v>
      </c>
      <c r="S115" s="13"/>
      <c r="T115" s="35">
        <f>SUM(T112:T114)</f>
        <v>-643311.92717568297</v>
      </c>
      <c r="U115" s="13"/>
      <c r="V115" s="32">
        <f>IF(T$12=0,0,T115/T$12)</f>
        <v>-1.555979458393941</v>
      </c>
      <c r="W115" s="15"/>
      <c r="X115" s="35">
        <f>+P115-T115</f>
        <v>14530.137175683165</v>
      </c>
      <c r="Y115" s="15"/>
      <c r="Z115" s="32">
        <f>IF(T115=0,0,X115/T115)</f>
        <v>-2.2586456992138293E-2</v>
      </c>
    </row>
    <row r="116" spans="1:26" ht="15" thickTop="1" x14ac:dyDescent="0.3">
      <c r="A116" s="9"/>
      <c r="C116" s="9"/>
      <c r="D116" s="17"/>
      <c r="E116" s="17"/>
      <c r="G116" s="17"/>
      <c r="H116" s="17"/>
      <c r="I116" s="17"/>
      <c r="J116" s="42"/>
      <c r="K116" s="17"/>
      <c r="L116" s="17"/>
      <c r="M116" s="17"/>
      <c r="P116" s="17"/>
      <c r="Q116" s="17"/>
      <c r="R116" s="42"/>
      <c r="S116" s="17"/>
      <c r="T116" s="17"/>
      <c r="U116" s="17"/>
      <c r="V116" s="42"/>
      <c r="W116" s="17"/>
      <c r="X116" s="17"/>
    </row>
    <row r="117" spans="1:26" x14ac:dyDescent="0.3">
      <c r="A117" s="9"/>
      <c r="B117" s="60">
        <v>44543.753096180553</v>
      </c>
      <c r="D117" s="17"/>
      <c r="E117" s="17"/>
      <c r="G117" s="17"/>
      <c r="H117" s="17"/>
      <c r="I117" s="17"/>
      <c r="J117" s="42"/>
      <c r="K117" s="17"/>
      <c r="L117" s="17"/>
      <c r="M117" s="17"/>
      <c r="P117" s="17"/>
      <c r="Q117" s="17"/>
      <c r="R117" s="42"/>
      <c r="S117" s="17"/>
      <c r="T117" s="17"/>
      <c r="U117" s="17"/>
      <c r="V117" s="42"/>
      <c r="W117" s="17"/>
      <c r="X117" s="17"/>
    </row>
    <row r="118" spans="1:26" x14ac:dyDescent="0.3">
      <c r="A118" s="9"/>
      <c r="B118" s="58" t="s">
        <v>56</v>
      </c>
      <c r="D118" s="17"/>
      <c r="E118" s="17"/>
      <c r="G118" s="17"/>
      <c r="H118" s="17"/>
      <c r="I118" s="17"/>
      <c r="J118" s="42"/>
      <c r="K118" s="17"/>
      <c r="L118" s="17"/>
      <c r="M118" s="17"/>
      <c r="P118" s="17"/>
      <c r="Q118" s="17"/>
      <c r="R118" s="42"/>
      <c r="S118" s="17"/>
      <c r="T118" s="17"/>
      <c r="U118" s="17"/>
      <c r="V118" s="42"/>
      <c r="W118" s="17"/>
      <c r="X118" s="17"/>
    </row>
    <row r="119" spans="1:26" x14ac:dyDescent="0.3">
      <c r="A119" s="9"/>
      <c r="B119" s="55"/>
      <c r="D119" s="17"/>
      <c r="E119" s="17"/>
      <c r="G119" s="17"/>
      <c r="H119" s="17"/>
      <c r="I119" s="17"/>
      <c r="J119" s="42"/>
      <c r="K119" s="17"/>
      <c r="L119" s="17"/>
      <c r="M119" s="17"/>
      <c r="P119" s="17"/>
      <c r="Q119" s="17"/>
      <c r="R119" s="42"/>
      <c r="S119" s="17"/>
      <c r="T119" s="17"/>
      <c r="U119" s="17"/>
      <c r="V119" s="42"/>
      <c r="W119" s="17"/>
      <c r="X119" s="17"/>
    </row>
    <row r="120" spans="1:26" x14ac:dyDescent="0.3">
      <c r="D120" s="17"/>
      <c r="E120" s="17"/>
      <c r="G120" s="17"/>
      <c r="H120" s="17"/>
      <c r="I120" s="17"/>
      <c r="J120" s="42"/>
      <c r="K120" s="17"/>
      <c r="L120" s="17"/>
      <c r="M120" s="17"/>
      <c r="P120" s="17"/>
      <c r="Q120" s="17"/>
      <c r="R120" s="42"/>
      <c r="S120" s="17"/>
      <c r="T120" s="17"/>
      <c r="U120" s="17"/>
      <c r="V120" s="42"/>
      <c r="W120" s="17"/>
      <c r="X120" s="17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rgb="FF92D050"/>
    <outlinePr summaryBelow="0" summaryRight="0"/>
  </sheetPr>
  <dimension ref="A2:Z10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","405", " - ", "Caffeine Lab")</f>
        <v>Department 405 - Caffeine Lab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46287.99</v>
      </c>
      <c r="E12" s="4"/>
      <c r="F12" s="12"/>
      <c r="G12" s="4"/>
      <c r="H12" s="4">
        <f>SUM(OSRRefH13x_0)</f>
        <v>24302</v>
      </c>
      <c r="I12" s="4"/>
      <c r="J12" s="12"/>
      <c r="K12" s="4"/>
      <c r="L12" s="4">
        <f t="shared" ref="L12:L16" si="0">+D12-H12</f>
        <v>21985.989999999998</v>
      </c>
      <c r="M12" s="4"/>
      <c r="N12" s="12">
        <f t="shared" ref="N12:N16" si="1">IF(H12=0,0,L12/H12)</f>
        <v>0.90469879022302679</v>
      </c>
      <c r="O12" s="10"/>
      <c r="P12" s="4">
        <f>SUM(OSRRefP13x_0)</f>
        <v>215312.21</v>
      </c>
      <c r="Q12" s="4"/>
      <c r="R12" s="12"/>
      <c r="S12" s="4"/>
      <c r="T12" s="4">
        <f>SUM(OSRRefT13x_0)</f>
        <v>107403</v>
      </c>
      <c r="U12" s="4"/>
      <c r="V12" s="12"/>
      <c r="W12" s="4"/>
      <c r="X12" s="4">
        <f t="shared" ref="X12:X16" si="2">+P12-T12</f>
        <v>107909.20999999999</v>
      </c>
      <c r="Y12" s="4"/>
      <c r="Z12" s="12">
        <f t="shared" ref="Z12:Z16" si="3">IF(T12=0,0,X12/T12)</f>
        <v>1.0047131830582012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5089</v>
      </c>
      <c r="I13" s="2"/>
      <c r="J13" s="19"/>
      <c r="K13" s="2"/>
      <c r="L13" s="2">
        <f t="shared" si="0"/>
        <v>-5089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22491</v>
      </c>
      <c r="U13" s="2"/>
      <c r="V13" s="19"/>
      <c r="W13" s="2"/>
      <c r="X13" s="2">
        <f t="shared" si="2"/>
        <v>-22491</v>
      </c>
      <c r="Y13" s="2"/>
      <c r="Z13" s="19">
        <f t="shared" si="3"/>
        <v>-1</v>
      </c>
    </row>
    <row r="14" spans="1:26" s="24" customFormat="1" hidden="1" outlineLevel="1" x14ac:dyDescent="0.3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--2650.64</f>
        <v>2650.64</v>
      </c>
      <c r="E14" s="2"/>
      <c r="F14" s="19"/>
      <c r="G14" s="2"/>
      <c r="H14" s="2"/>
      <c r="I14" s="2"/>
      <c r="J14" s="19"/>
      <c r="K14" s="2"/>
      <c r="L14" s="2">
        <f t="shared" si="0"/>
        <v>2650.64</v>
      </c>
      <c r="M14" s="2"/>
      <c r="N14" s="19">
        <f t="shared" si="1"/>
        <v>0</v>
      </c>
      <c r="O14" s="11"/>
      <c r="P14" s="2">
        <f>--20499.15</f>
        <v>20499.150000000001</v>
      </c>
      <c r="Q14" s="2"/>
      <c r="R14" s="19"/>
      <c r="S14" s="2"/>
      <c r="T14" s="2"/>
      <c r="U14" s="2"/>
      <c r="V14" s="19"/>
      <c r="W14" s="2"/>
      <c r="X14" s="2">
        <f t="shared" si="2"/>
        <v>20499.150000000001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19213</v>
      </c>
      <c r="I15" s="2"/>
      <c r="J15" s="19"/>
      <c r="K15" s="2"/>
      <c r="L15" s="2">
        <f t="shared" si="0"/>
        <v>-19213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84912</v>
      </c>
      <c r="U15" s="2"/>
      <c r="V15" s="19"/>
      <c r="W15" s="2"/>
      <c r="X15" s="2">
        <f t="shared" si="2"/>
        <v>-84912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>--43637.35</f>
        <v>43637.35</v>
      </c>
      <c r="E16" s="2"/>
      <c r="F16" s="19"/>
      <c r="G16" s="2"/>
      <c r="H16" s="2"/>
      <c r="I16" s="2"/>
      <c r="J16" s="19"/>
      <c r="K16" s="2"/>
      <c r="L16" s="2">
        <f t="shared" si="0"/>
        <v>43637.35</v>
      </c>
      <c r="M16" s="2"/>
      <c r="N16" s="19">
        <f t="shared" si="1"/>
        <v>0</v>
      </c>
      <c r="O16" s="11"/>
      <c r="P16" s="2">
        <f>--194813.06</f>
        <v>194813.06</v>
      </c>
      <c r="Q16" s="2"/>
      <c r="R16" s="19"/>
      <c r="S16" s="2"/>
      <c r="T16" s="2"/>
      <c r="U16" s="2"/>
      <c r="V16" s="19"/>
      <c r="W16" s="2"/>
      <c r="X16" s="2">
        <f t="shared" si="2"/>
        <v>194813.06</v>
      </c>
      <c r="Y16" s="2"/>
      <c r="Z16" s="19">
        <f t="shared" si="3"/>
        <v>0</v>
      </c>
    </row>
    <row r="17" spans="1:26" x14ac:dyDescent="0.3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">
      <c r="A18" s="10"/>
      <c r="B18" s="25" t="s">
        <v>257</v>
      </c>
      <c r="C18" s="10"/>
      <c r="D18" s="4">
        <f>SUM(OSRRefD16x_0)</f>
        <v>20948.899999999998</v>
      </c>
      <c r="E18" s="4"/>
      <c r="F18" s="12">
        <f t="shared" ref="F18:F21" si="4">IF(D$12=0,0,D18/D$12)</f>
        <v>0.45257743963390934</v>
      </c>
      <c r="G18" s="4"/>
      <c r="H18" s="4">
        <f>SUM(OSRRefH16x_0)</f>
        <v>9235</v>
      </c>
      <c r="I18" s="4"/>
      <c r="J18" s="12">
        <f t="shared" ref="J18:J21" si="5">IF(H$12=0,0,H18/H$12)</f>
        <v>0.38000987573039258</v>
      </c>
      <c r="K18" s="4"/>
      <c r="L18" s="4">
        <f t="shared" ref="L18:L21" si="6">+D18-H18</f>
        <v>11713.899999999998</v>
      </c>
      <c r="M18" s="4"/>
      <c r="N18" s="12">
        <f t="shared" ref="N18:N21" si="7">IF(H18=0,0,L18/H18)</f>
        <v>1.2684244721169462</v>
      </c>
      <c r="O18" s="10"/>
      <c r="P18" s="4">
        <f>SUM(OSRRefP16x_0)</f>
        <v>90053.62</v>
      </c>
      <c r="Q18" s="4"/>
      <c r="R18" s="12">
        <f t="shared" ref="R18:R21" si="8">IF(P$12=0,0,P18/P$12)</f>
        <v>0.41824669395200575</v>
      </c>
      <c r="S18" s="4"/>
      <c r="T18" s="4">
        <f>SUM(OSRRefT16x_0)</f>
        <v>40813</v>
      </c>
      <c r="U18" s="4"/>
      <c r="V18" s="12">
        <f t="shared" ref="V18:V21" si="9">IF(T$12=0,0,T18/T$12)</f>
        <v>0.37999869649823564</v>
      </c>
      <c r="W18" s="4"/>
      <c r="X18" s="4">
        <f t="shared" ref="X18:X21" si="10">+P18-T18</f>
        <v>49240.619999999995</v>
      </c>
      <c r="Y18" s="4"/>
      <c r="Z18" s="12">
        <f t="shared" ref="Z18:Z21" si="11">IF(T18=0,0,X18/T18)</f>
        <v>1.2064935192218165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9235</v>
      </c>
      <c r="I19" s="2"/>
      <c r="J19" s="19">
        <f t="shared" si="5"/>
        <v>0.38000987573039258</v>
      </c>
      <c r="K19" s="2"/>
      <c r="L19" s="2">
        <f t="shared" si="6"/>
        <v>-9235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40813</v>
      </c>
      <c r="U19" s="2"/>
      <c r="V19" s="19">
        <f t="shared" si="9"/>
        <v>0.37999869649823564</v>
      </c>
      <c r="W19" s="2"/>
      <c r="X19" s="2">
        <f t="shared" si="10"/>
        <v>-40813</v>
      </c>
      <c r="Y19" s="2"/>
      <c r="Z19" s="19">
        <f t="shared" si="11"/>
        <v>-1</v>
      </c>
    </row>
    <row r="20" spans="1:26" s="24" customFormat="1" hidden="1" outlineLevel="1" x14ac:dyDescent="0.3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18261.009999999998</v>
      </c>
      <c r="E20" s="2"/>
      <c r="F20" s="19">
        <f t="shared" si="4"/>
        <v>0.39450859715446707</v>
      </c>
      <c r="G20" s="2"/>
      <c r="H20" s="2"/>
      <c r="I20" s="2"/>
      <c r="J20" s="19">
        <f t="shared" si="5"/>
        <v>0</v>
      </c>
      <c r="K20" s="2"/>
      <c r="L20" s="2">
        <f t="shared" si="6"/>
        <v>18261.009999999998</v>
      </c>
      <c r="M20" s="2"/>
      <c r="N20" s="19">
        <f t="shared" si="7"/>
        <v>0</v>
      </c>
      <c r="O20" s="11"/>
      <c r="P20" s="2">
        <v>85343.59</v>
      </c>
      <c r="Q20" s="2"/>
      <c r="R20" s="19">
        <f t="shared" si="8"/>
        <v>0.39637134373382726</v>
      </c>
      <c r="S20" s="2"/>
      <c r="T20" s="2"/>
      <c r="U20" s="2"/>
      <c r="V20" s="19">
        <f t="shared" si="9"/>
        <v>0</v>
      </c>
      <c r="W20" s="2"/>
      <c r="X20" s="2">
        <f t="shared" si="10"/>
        <v>85343.59</v>
      </c>
      <c r="Y20" s="2"/>
      <c r="Z20" s="19">
        <f t="shared" si="11"/>
        <v>0</v>
      </c>
    </row>
    <row r="21" spans="1:26" s="24" customFormat="1" hidden="1" outlineLevel="1" x14ac:dyDescent="0.3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2687.89</v>
      </c>
      <c r="E21" s="2"/>
      <c r="F21" s="19">
        <f t="shared" si="4"/>
        <v>5.8068842479442294E-2</v>
      </c>
      <c r="G21" s="2"/>
      <c r="H21" s="2"/>
      <c r="I21" s="2"/>
      <c r="J21" s="19">
        <f t="shared" si="5"/>
        <v>0</v>
      </c>
      <c r="K21" s="2"/>
      <c r="L21" s="2">
        <f t="shared" si="6"/>
        <v>2687.89</v>
      </c>
      <c r="M21" s="2"/>
      <c r="N21" s="19">
        <f t="shared" si="7"/>
        <v>0</v>
      </c>
      <c r="O21" s="11"/>
      <c r="P21" s="2">
        <v>4710.03</v>
      </c>
      <c r="Q21" s="2"/>
      <c r="R21" s="19">
        <f t="shared" si="8"/>
        <v>2.1875350218178522E-2</v>
      </c>
      <c r="S21" s="2"/>
      <c r="T21" s="2"/>
      <c r="U21" s="2"/>
      <c r="V21" s="19">
        <f t="shared" si="9"/>
        <v>0</v>
      </c>
      <c r="W21" s="2"/>
      <c r="X21" s="2">
        <f t="shared" si="10"/>
        <v>4710.03</v>
      </c>
      <c r="Y21" s="2"/>
      <c r="Z21" s="19">
        <f t="shared" si="11"/>
        <v>0</v>
      </c>
    </row>
    <row r="22" spans="1:26" x14ac:dyDescent="0.3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3">
      <c r="A23" s="10"/>
      <c r="B23" s="26" t="s">
        <v>108</v>
      </c>
      <c r="C23" s="26"/>
      <c r="D23" s="20">
        <f>D12-D18</f>
        <v>25339.09</v>
      </c>
      <c r="E23" s="13"/>
      <c r="F23" s="22">
        <f>IF(D$12=0,0,D23/D$12)</f>
        <v>0.54742256036609072</v>
      </c>
      <c r="G23" s="13"/>
      <c r="H23" s="20">
        <f>H12-H18</f>
        <v>15067</v>
      </c>
      <c r="I23" s="13"/>
      <c r="J23" s="22">
        <f>IF(H$12=0,0,H23/H$12)</f>
        <v>0.61999012426960742</v>
      </c>
      <c r="K23" s="15"/>
      <c r="L23" s="20">
        <f>+D23-H23</f>
        <v>10272.09</v>
      </c>
      <c r="M23" s="15"/>
      <c r="N23" s="22">
        <f>IF(H23=0,0,L23/H23)</f>
        <v>0.68176080175217368</v>
      </c>
      <c r="O23" s="25"/>
      <c r="P23" s="20">
        <f>P12-P18</f>
        <v>125258.59</v>
      </c>
      <c r="Q23" s="13"/>
      <c r="R23" s="22">
        <f>IF(P$12=0,0,P23/P$12)</f>
        <v>0.58175330604799425</v>
      </c>
      <c r="S23" s="13"/>
      <c r="T23" s="20">
        <f>T12-T18</f>
        <v>66590</v>
      </c>
      <c r="U23" s="13"/>
      <c r="V23" s="22">
        <f>IF(T$12=0,0,T23/T$12)</f>
        <v>0.62000130350176441</v>
      </c>
      <c r="W23" s="15"/>
      <c r="X23" s="20">
        <f>+P23-T23</f>
        <v>58668.59</v>
      </c>
      <c r="Y23" s="15"/>
      <c r="Z23" s="22">
        <f>IF(T23=0,0,X23/T23)</f>
        <v>0.88104204835560895</v>
      </c>
    </row>
    <row r="24" spans="1:26" x14ac:dyDescent="0.3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">
      <c r="A25" s="10"/>
      <c r="B25" s="25" t="s">
        <v>295</v>
      </c>
      <c r="C25" s="10"/>
      <c r="D25" s="21">
        <f>SUM(OSRRefD22x_0)</f>
        <v>34887.849999999991</v>
      </c>
      <c r="E25" s="21"/>
      <c r="F25" s="30">
        <f t="shared" ref="F25:F35" si="12">IF(D$12=0,0,D25/D$12)</f>
        <v>0.75371278813359566</v>
      </c>
      <c r="G25" s="21"/>
      <c r="H25" s="21">
        <f>SUM(OSRRefH22x_0)</f>
        <v>29473.314307692304</v>
      </c>
      <c r="I25" s="21"/>
      <c r="J25" s="30">
        <f t="shared" ref="J25:J35" si="13">IF(H$12=0,0,H25/H$12)</f>
        <v>1.2127937744914947</v>
      </c>
      <c r="K25" s="4"/>
      <c r="L25" s="21">
        <f t="shared" ref="L25:L35" si="14">+D25-H25</f>
        <v>5414.535692307687</v>
      </c>
      <c r="M25" s="4"/>
      <c r="N25" s="30">
        <f t="shared" ref="N25:N35" si="15">IF(H25=0,0,L25/H25)</f>
        <v>0.18370976659705135</v>
      </c>
      <c r="O25" s="10"/>
      <c r="P25" s="21">
        <f>SUM(OSRRefP22x_0)</f>
        <v>159816.66999999993</v>
      </c>
      <c r="Q25" s="21"/>
      <c r="R25" s="30">
        <f t="shared" ref="R25:R35" si="16">IF(P$12=0,0,P25/P$12)</f>
        <v>0.74225549029476745</v>
      </c>
      <c r="S25" s="21"/>
      <c r="T25" s="21">
        <f>SUM(OSRRefT22x_0)</f>
        <v>152999.87356230774</v>
      </c>
      <c r="U25" s="21"/>
      <c r="V25" s="30">
        <f t="shared" ref="V25:V35" si="17">IF(T$12=0,0,T25/T$12)</f>
        <v>1.4245400367057506</v>
      </c>
      <c r="W25" s="4"/>
      <c r="X25" s="21">
        <f t="shared" ref="X25:X35" si="18">+P25-T25</f>
        <v>6816.7964376921882</v>
      </c>
      <c r="Y25" s="4"/>
      <c r="Z25" s="30">
        <f t="shared" ref="Z25:Z35" si="19">IF(T25=0,0,X25/T25)</f>
        <v>4.4554261902158457E-2</v>
      </c>
    </row>
    <row r="26" spans="1:26" s="29" customFormat="1" outlineLevel="1" collapsed="1" x14ac:dyDescent="0.3">
      <c r="A26" s="28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5263.17</v>
      </c>
      <c r="E26" s="1"/>
      <c r="F26" s="5">
        <f t="shared" si="12"/>
        <v>0.11370487247339969</v>
      </c>
      <c r="G26" s="1"/>
      <c r="H26" s="1">
        <f>SUM(OSRRefH22_0x_0)</f>
        <v>3845.4973846153853</v>
      </c>
      <c r="I26" s="1"/>
      <c r="J26" s="5">
        <f t="shared" si="13"/>
        <v>0.15823789748232184</v>
      </c>
      <c r="K26" s="1"/>
      <c r="L26" s="1">
        <f t="shared" si="14"/>
        <v>1417.6726153846148</v>
      </c>
      <c r="M26" s="1"/>
      <c r="N26" s="5">
        <f t="shared" si="15"/>
        <v>0.36865780251373281</v>
      </c>
      <c r="O26" s="14"/>
      <c r="P26" s="1">
        <f>SUM(OSRRefP22_0x_0)</f>
        <v>19561.489999999998</v>
      </c>
      <c r="Q26" s="1"/>
      <c r="R26" s="5">
        <f t="shared" si="16"/>
        <v>9.0851745007865553E-2</v>
      </c>
      <c r="S26" s="1"/>
      <c r="T26" s="1">
        <f>SUM(OSRRefT22_0x_0)</f>
        <v>20356.895485384626</v>
      </c>
      <c r="U26" s="1"/>
      <c r="V26" s="5">
        <f t="shared" si="17"/>
        <v>0.18953749416110002</v>
      </c>
      <c r="W26" s="1"/>
      <c r="X26" s="1">
        <f t="shared" si="18"/>
        <v>-795.40548538462826</v>
      </c>
      <c r="Y26" s="1"/>
      <c r="Z26" s="5">
        <f t="shared" si="19"/>
        <v>-3.9073024958825135E-2</v>
      </c>
    </row>
    <row r="27" spans="1:26" s="24" customFormat="1" hidden="1" outlineLevel="2" x14ac:dyDescent="0.3">
      <c r="A27" s="27"/>
      <c r="B27" s="11" t="str">
        <f>CONCATENATE("          ", "6111", " - ", "F.I.C.A.")</f>
        <v xml:space="preserve">          6111 - F.I.C.A.</v>
      </c>
      <c r="C27" s="11"/>
      <c r="D27" s="6">
        <v>781.67</v>
      </c>
      <c r="E27" s="2"/>
      <c r="F27" s="7">
        <f t="shared" si="12"/>
        <v>1.6887101816259464E-2</v>
      </c>
      <c r="G27" s="2"/>
      <c r="H27" s="6">
        <v>342.61892307692301</v>
      </c>
      <c r="I27" s="2"/>
      <c r="J27" s="7">
        <f t="shared" si="13"/>
        <v>1.4098383798737676E-2</v>
      </c>
      <c r="K27" s="2"/>
      <c r="L27" s="6">
        <f t="shared" si="14"/>
        <v>439.05107692307695</v>
      </c>
      <c r="M27" s="2"/>
      <c r="N27" s="7">
        <f t="shared" si="15"/>
        <v>1.2814560065163227</v>
      </c>
      <c r="O27" s="11"/>
      <c r="P27" s="6">
        <v>3792.4</v>
      </c>
      <c r="Q27" s="2"/>
      <c r="R27" s="7">
        <f t="shared" si="16"/>
        <v>1.7613492518608213E-2</v>
      </c>
      <c r="S27" s="2"/>
      <c r="T27" s="6">
        <v>2219.5289469230802</v>
      </c>
      <c r="U27" s="2"/>
      <c r="V27" s="7">
        <f t="shared" si="17"/>
        <v>2.0665427845805797E-2</v>
      </c>
      <c r="W27" s="2"/>
      <c r="X27" s="6">
        <f t="shared" si="18"/>
        <v>1572.8710530769199</v>
      </c>
      <c r="Y27" s="2"/>
      <c r="Z27" s="7">
        <f t="shared" si="19"/>
        <v>0.70865084019624147</v>
      </c>
    </row>
    <row r="28" spans="1:26" s="24" customFormat="1" hidden="1" outlineLevel="2" x14ac:dyDescent="0.3">
      <c r="A28" s="27"/>
      <c r="B28" s="11" t="str">
        <f>CONCATENATE("          ", "6112", " - ", "COMPENSATION INSURANCE")</f>
        <v xml:space="preserve">          6112 - COMPENSATION INSURANCE</v>
      </c>
      <c r="C28" s="11"/>
      <c r="D28" s="6">
        <v>700.9</v>
      </c>
      <c r="E28" s="2"/>
      <c r="F28" s="7">
        <f t="shared" si="12"/>
        <v>1.5142156745194596E-2</v>
      </c>
      <c r="G28" s="2"/>
      <c r="H28" s="6">
        <v>569.21718461538501</v>
      </c>
      <c r="I28" s="2"/>
      <c r="J28" s="7">
        <f t="shared" si="13"/>
        <v>2.3422647708640647E-2</v>
      </c>
      <c r="K28" s="2"/>
      <c r="L28" s="6">
        <f t="shared" si="14"/>
        <v>131.68281538461497</v>
      </c>
      <c r="M28" s="2"/>
      <c r="N28" s="7">
        <f t="shared" si="15"/>
        <v>0.23134019657820393</v>
      </c>
      <c r="O28" s="11"/>
      <c r="P28" s="6">
        <v>3093.68</v>
      </c>
      <c r="Q28" s="2"/>
      <c r="R28" s="7">
        <f t="shared" si="16"/>
        <v>1.4368344461282526E-2</v>
      </c>
      <c r="S28" s="2"/>
      <c r="T28" s="6">
        <v>3054.9134653846199</v>
      </c>
      <c r="U28" s="2"/>
      <c r="V28" s="7">
        <f t="shared" si="17"/>
        <v>2.8443464944038994E-2</v>
      </c>
      <c r="W28" s="2"/>
      <c r="X28" s="6">
        <f t="shared" si="18"/>
        <v>38.766534615379896</v>
      </c>
      <c r="Y28" s="2"/>
      <c r="Z28" s="7">
        <f t="shared" si="19"/>
        <v>1.268989614751628E-2</v>
      </c>
    </row>
    <row r="29" spans="1:26" s="24" customFormat="1" hidden="1" outlineLevel="2" x14ac:dyDescent="0.3">
      <c r="A29" s="27"/>
      <c r="B29" s="11" t="str">
        <f>CONCATENATE("          ", "6113", " - ", "GROUP INSURANCE")</f>
        <v xml:space="preserve">          6113 - GROUP INSURANCE</v>
      </c>
      <c r="C29" s="11"/>
      <c r="D29" s="6">
        <v>2055.31</v>
      </c>
      <c r="E29" s="2"/>
      <c r="F29" s="7">
        <f t="shared" si="12"/>
        <v>4.4402662548103732E-2</v>
      </c>
      <c r="G29" s="2"/>
      <c r="H29" s="6">
        <v>1977</v>
      </c>
      <c r="I29" s="2"/>
      <c r="J29" s="7">
        <f t="shared" si="13"/>
        <v>8.1351329108715328E-2</v>
      </c>
      <c r="K29" s="2"/>
      <c r="L29" s="6">
        <f t="shared" si="14"/>
        <v>78.309999999999945</v>
      </c>
      <c r="M29" s="2"/>
      <c r="N29" s="7">
        <f t="shared" si="15"/>
        <v>3.9610520991401083E-2</v>
      </c>
      <c r="O29" s="11"/>
      <c r="P29" s="6">
        <v>5520.22</v>
      </c>
      <c r="Q29" s="2"/>
      <c r="R29" s="7">
        <f t="shared" si="16"/>
        <v>2.5638211599797338E-2</v>
      </c>
      <c r="S29" s="2"/>
      <c r="T29" s="6">
        <v>9885</v>
      </c>
      <c r="U29" s="2"/>
      <c r="V29" s="7">
        <f t="shared" si="17"/>
        <v>9.2036535292310276E-2</v>
      </c>
      <c r="W29" s="2"/>
      <c r="X29" s="6">
        <f t="shared" si="18"/>
        <v>-4364.78</v>
      </c>
      <c r="Y29" s="2"/>
      <c r="Z29" s="7">
        <f t="shared" si="19"/>
        <v>-0.44155589276681839</v>
      </c>
    </row>
    <row r="30" spans="1:26" s="24" customFormat="1" hidden="1" outlineLevel="2" x14ac:dyDescent="0.3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50.62</v>
      </c>
      <c r="E30" s="2"/>
      <c r="F30" s="7">
        <f t="shared" si="12"/>
        <v>1.093588207221787E-3</v>
      </c>
      <c r="G30" s="2"/>
      <c r="H30" s="6">
        <v>31.539738461538501</v>
      </c>
      <c r="I30" s="2"/>
      <c r="J30" s="7">
        <f t="shared" si="13"/>
        <v>1.2978248070750762E-3</v>
      </c>
      <c r="K30" s="2"/>
      <c r="L30" s="6">
        <f t="shared" si="14"/>
        <v>19.080261538461496</v>
      </c>
      <c r="M30" s="2"/>
      <c r="N30" s="7">
        <f t="shared" si="15"/>
        <v>0.60495940896051315</v>
      </c>
      <c r="O30" s="11"/>
      <c r="P30" s="6">
        <v>223.43</v>
      </c>
      <c r="Q30" s="2"/>
      <c r="R30" s="7">
        <f t="shared" si="16"/>
        <v>1.0377024136253119E-3</v>
      </c>
      <c r="S30" s="2"/>
      <c r="T30" s="6">
        <v>169.26961153846199</v>
      </c>
      <c r="U30" s="2"/>
      <c r="V30" s="7">
        <f t="shared" si="17"/>
        <v>1.5760231235483365E-3</v>
      </c>
      <c r="W30" s="2"/>
      <c r="X30" s="6">
        <f t="shared" si="18"/>
        <v>54.16038846153802</v>
      </c>
      <c r="Y30" s="2"/>
      <c r="Z30" s="7">
        <f t="shared" si="19"/>
        <v>0.31996521980102449</v>
      </c>
    </row>
    <row r="31" spans="1:26" s="24" customFormat="1" hidden="1" outlineLevel="2" x14ac:dyDescent="0.3">
      <c r="A31" s="27"/>
      <c r="B31" s="11" t="str">
        <f>CONCATENATE("          ", "6115", " - ", "P.E.R.S.")</f>
        <v xml:space="preserve">          6115 - P.E.R.S.</v>
      </c>
      <c r="C31" s="11"/>
      <c r="D31" s="6">
        <v>408.69</v>
      </c>
      <c r="E31" s="2"/>
      <c r="F31" s="7">
        <f t="shared" si="12"/>
        <v>8.8292881155565411E-3</v>
      </c>
      <c r="G31" s="2"/>
      <c r="H31" s="6">
        <v>385.01538461538502</v>
      </c>
      <c r="I31" s="2"/>
      <c r="J31" s="7">
        <f t="shared" si="13"/>
        <v>1.5842950564372685E-2</v>
      </c>
      <c r="K31" s="2"/>
      <c r="L31" s="6">
        <f t="shared" si="14"/>
        <v>23.674615384614981</v>
      </c>
      <c r="M31" s="2"/>
      <c r="N31" s="7">
        <f t="shared" si="15"/>
        <v>6.149005034763734E-2</v>
      </c>
      <c r="O31" s="11"/>
      <c r="P31" s="6">
        <v>2084.3200000000002</v>
      </c>
      <c r="Q31" s="2"/>
      <c r="R31" s="7">
        <f t="shared" si="16"/>
        <v>9.6804542575639353E-3</v>
      </c>
      <c r="S31" s="2"/>
      <c r="T31" s="6">
        <v>2117.5846153846201</v>
      </c>
      <c r="U31" s="2"/>
      <c r="V31" s="7">
        <f t="shared" si="17"/>
        <v>1.9716252017025784E-2</v>
      </c>
      <c r="W31" s="2"/>
      <c r="X31" s="6">
        <f t="shared" si="18"/>
        <v>-33.264615384619901</v>
      </c>
      <c r="Y31" s="2"/>
      <c r="Z31" s="7">
        <f t="shared" si="19"/>
        <v>-1.5708753805135669E-2</v>
      </c>
    </row>
    <row r="32" spans="1:26" s="24" customFormat="1" hidden="1" outlineLevel="2" x14ac:dyDescent="0.3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3">
      <c r="A33" s="27"/>
      <c r="B33" s="11" t="str">
        <f>CONCATENATE("          ", "6118", " - ", "VACATION")</f>
        <v xml:space="preserve">          6118 - VACATION</v>
      </c>
      <c r="C33" s="11"/>
      <c r="D33" s="6">
        <v>393.94</v>
      </c>
      <c r="E33" s="2"/>
      <c r="F33" s="7">
        <f t="shared" si="12"/>
        <v>8.5106309433613352E-3</v>
      </c>
      <c r="G33" s="2"/>
      <c r="H33" s="6">
        <v>134.30769230769201</v>
      </c>
      <c r="I33" s="2"/>
      <c r="J33" s="7">
        <f t="shared" si="13"/>
        <v>5.5266106619904541E-3</v>
      </c>
      <c r="K33" s="2"/>
      <c r="L33" s="6">
        <f t="shared" si="14"/>
        <v>259.63230769230802</v>
      </c>
      <c r="M33" s="2"/>
      <c r="N33" s="7">
        <f t="shared" si="15"/>
        <v>1.933115693012607</v>
      </c>
      <c r="O33" s="11"/>
      <c r="P33" s="6">
        <v>1573.19</v>
      </c>
      <c r="Q33" s="2"/>
      <c r="R33" s="7">
        <f t="shared" si="16"/>
        <v>7.3065526567211402E-3</v>
      </c>
      <c r="S33" s="2"/>
      <c r="T33" s="6">
        <v>738.69230769230603</v>
      </c>
      <c r="U33" s="2"/>
      <c r="V33" s="7">
        <f t="shared" si="17"/>
        <v>6.8777623315205913E-3</v>
      </c>
      <c r="W33" s="2"/>
      <c r="X33" s="6">
        <f t="shared" si="18"/>
        <v>834.49769230769402</v>
      </c>
      <c r="Y33" s="2"/>
      <c r="Z33" s="7">
        <f t="shared" si="19"/>
        <v>1.1296959283557271</v>
      </c>
    </row>
    <row r="34" spans="1:26" s="24" customFormat="1" hidden="1" outlineLevel="2" x14ac:dyDescent="0.3">
      <c r="A34" s="27"/>
      <c r="B34" s="11" t="str">
        <f>CONCATENATE("          ", "6119", " - ", "SICK LEAVE")</f>
        <v xml:space="preserve">          6119 - SICK LEAVE</v>
      </c>
      <c r="C34" s="11"/>
      <c r="D34" s="6">
        <v>395.22</v>
      </c>
      <c r="E34" s="2"/>
      <c r="F34" s="7">
        <f t="shared" si="12"/>
        <v>8.5382839047450539E-3</v>
      </c>
      <c r="G34" s="2"/>
      <c r="H34" s="6">
        <v>405.79846153846199</v>
      </c>
      <c r="I34" s="2"/>
      <c r="J34" s="7">
        <f t="shared" si="13"/>
        <v>1.6698150832789974E-2</v>
      </c>
      <c r="K34" s="2"/>
      <c r="L34" s="6">
        <f t="shared" si="14"/>
        <v>-10.578461538461966</v>
      </c>
      <c r="M34" s="2"/>
      <c r="N34" s="7">
        <f t="shared" si="15"/>
        <v>-2.6068264276697679E-2</v>
      </c>
      <c r="O34" s="11"/>
      <c r="P34" s="6">
        <v>1808.04</v>
      </c>
      <c r="Q34" s="2"/>
      <c r="R34" s="7">
        <f t="shared" si="16"/>
        <v>8.3972943290118104E-3</v>
      </c>
      <c r="S34" s="2"/>
      <c r="T34" s="6">
        <v>2171.9065384615401</v>
      </c>
      <c r="U34" s="2"/>
      <c r="V34" s="7">
        <f t="shared" si="17"/>
        <v>2.0222028606850274E-2</v>
      </c>
      <c r="W34" s="2"/>
      <c r="X34" s="6">
        <f t="shared" si="18"/>
        <v>-363.86653846154013</v>
      </c>
      <c r="Y34" s="2"/>
      <c r="Z34" s="7">
        <f t="shared" si="19"/>
        <v>-0.16753323958372687</v>
      </c>
    </row>
    <row r="35" spans="1:26" s="24" customFormat="1" hidden="1" outlineLevel="2" x14ac:dyDescent="0.3">
      <c r="A35" s="27"/>
      <c r="B35" s="11" t="str">
        <f>CONCATENATE("          ", "6156", " - ", "EMPLOYEE MEALS")</f>
        <v xml:space="preserve">          6156 - EMPLOYEE MEALS</v>
      </c>
      <c r="C35" s="11"/>
      <c r="D35" s="6">
        <v>476.82</v>
      </c>
      <c r="E35" s="2"/>
      <c r="F35" s="7">
        <f t="shared" si="12"/>
        <v>1.030116019295718E-2</v>
      </c>
      <c r="G35" s="2"/>
      <c r="H35" s="6"/>
      <c r="I35" s="2"/>
      <c r="J35" s="7">
        <f t="shared" si="13"/>
        <v>0</v>
      </c>
      <c r="K35" s="2"/>
      <c r="L35" s="6">
        <f t="shared" si="14"/>
        <v>476.82</v>
      </c>
      <c r="M35" s="2"/>
      <c r="N35" s="7">
        <f t="shared" si="15"/>
        <v>0</v>
      </c>
      <c r="O35" s="11"/>
      <c r="P35" s="6">
        <v>1466.21</v>
      </c>
      <c r="Q35" s="2"/>
      <c r="R35" s="7">
        <f t="shared" si="16"/>
        <v>6.8096927712552862E-3</v>
      </c>
      <c r="S35" s="2"/>
      <c r="T35" s="6"/>
      <c r="U35" s="2"/>
      <c r="V35" s="7">
        <f t="shared" si="17"/>
        <v>0</v>
      </c>
      <c r="W35" s="2"/>
      <c r="X35" s="6">
        <f t="shared" si="18"/>
        <v>1466.21</v>
      </c>
      <c r="Y35" s="2"/>
      <c r="Z35" s="7">
        <f t="shared" si="19"/>
        <v>0</v>
      </c>
    </row>
    <row r="36" spans="1:26" s="29" customFormat="1" outlineLevel="1" collapsed="1" x14ac:dyDescent="0.3">
      <c r="A36" s="28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SUM(OSRRefD22_1x_0)</f>
        <v>19197.949999999997</v>
      </c>
      <c r="E36" s="1"/>
      <c r="F36" s="5">
        <f t="shared" ref="F36:F46" si="20">IF(D$12=0,0,D36/D$12)</f>
        <v>0.41475013280982814</v>
      </c>
      <c r="G36" s="1"/>
      <c r="H36" s="1">
        <f>SUM(OSRRefH22_1x_0)</f>
        <v>14478.81692307692</v>
      </c>
      <c r="I36" s="1"/>
      <c r="J36" s="5">
        <f t="shared" ref="J36:J46" si="21">IF(H$12=0,0,H36/H$12)</f>
        <v>0.59578705139811206</v>
      </c>
      <c r="K36" s="1"/>
      <c r="L36" s="1">
        <f t="shared" ref="L36:L46" si="22">+D36-H36</f>
        <v>4719.1330769230772</v>
      </c>
      <c r="M36" s="1"/>
      <c r="N36" s="5">
        <f t="shared" ref="N36:N46" si="23">IF(H36=0,0,L36/H36)</f>
        <v>0.32593361059780607</v>
      </c>
      <c r="O36" s="14"/>
      <c r="P36" s="1">
        <f>SUM(OSRRefP22_1x_0)</f>
        <v>83934.97</v>
      </c>
      <c r="Q36" s="1"/>
      <c r="R36" s="5">
        <f t="shared" ref="R36:R46" si="24">IF(P$12=0,0,P36/P$12)</f>
        <v>0.38982912302093786</v>
      </c>
      <c r="S36" s="1"/>
      <c r="T36" s="1">
        <f>SUM(OSRRefT22_1x_0)</f>
        <v>77693.9780769231</v>
      </c>
      <c r="U36" s="1"/>
      <c r="V36" s="5">
        <f t="shared" ref="V36:V46" si="25">IF(T$12=0,0,T36/T$12)</f>
        <v>0.72338741075131141</v>
      </c>
      <c r="W36" s="1"/>
      <c r="X36" s="1">
        <f t="shared" ref="X36:X46" si="26">+P36-T36</f>
        <v>6240.991923076901</v>
      </c>
      <c r="Y36" s="1"/>
      <c r="Z36" s="5">
        <f t="shared" ref="Z36:Z46" si="27">IF(T36=0,0,X36/T36)</f>
        <v>8.0327871960653524E-2</v>
      </c>
    </row>
    <row r="37" spans="1:26" s="24" customFormat="1" hidden="1" outlineLevel="2" x14ac:dyDescent="0.3">
      <c r="A37" s="27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3">
      <c r="A38" s="27"/>
      <c r="B38" s="11" t="str">
        <f>CONCATENATE("          ", "6002", " - ", "STAFF SALARIES")</f>
        <v xml:space="preserve">          6002 - STAFF SALARIES</v>
      </c>
      <c r="C38" s="11"/>
      <c r="D38" s="6">
        <v>5384.62</v>
      </c>
      <c r="E38" s="2"/>
      <c r="F38" s="7">
        <f t="shared" si="20"/>
        <v>0.1163286632234409</v>
      </c>
      <c r="G38" s="2"/>
      <c r="H38" s="6">
        <v>4253.0769230769201</v>
      </c>
      <c r="I38" s="2"/>
      <c r="J38" s="7">
        <f t="shared" si="21"/>
        <v>0.17500933762969798</v>
      </c>
      <c r="K38" s="2"/>
      <c r="L38" s="6">
        <f t="shared" si="22"/>
        <v>1131.5430769230798</v>
      </c>
      <c r="M38" s="2"/>
      <c r="N38" s="7">
        <f t="shared" si="23"/>
        <v>0.26605281244348067</v>
      </c>
      <c r="O38" s="11"/>
      <c r="P38" s="6">
        <v>27192.32</v>
      </c>
      <c r="Q38" s="2"/>
      <c r="R38" s="7">
        <f t="shared" si="24"/>
        <v>0.12629251262619989</v>
      </c>
      <c r="S38" s="2"/>
      <c r="T38" s="6">
        <v>23391.9230769231</v>
      </c>
      <c r="U38" s="2"/>
      <c r="V38" s="7">
        <f t="shared" si="25"/>
        <v>0.21779580716481942</v>
      </c>
      <c r="W38" s="2"/>
      <c r="X38" s="6">
        <f t="shared" si="26"/>
        <v>3800.3969230768998</v>
      </c>
      <c r="Y38" s="2"/>
      <c r="Z38" s="7">
        <f t="shared" si="27"/>
        <v>0.16246620299577319</v>
      </c>
    </row>
    <row r="39" spans="1:26" s="24" customFormat="1" hidden="1" outlineLevel="2" x14ac:dyDescent="0.3">
      <c r="A39" s="27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3">
      <c r="A40" s="27"/>
      <c r="B40" s="11" t="str">
        <f>CONCATENATE("          ", "6004", " - ", "STAFF HOURLY")</f>
        <v xml:space="preserve">          6004 - STAFF HOURLY</v>
      </c>
      <c r="C40" s="11"/>
      <c r="D40" s="6">
        <v>3121.85</v>
      </c>
      <c r="E40" s="2"/>
      <c r="F40" s="7">
        <f t="shared" si="20"/>
        <v>6.7444060543566484E-2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3121.85</v>
      </c>
      <c r="M40" s="2"/>
      <c r="N40" s="7">
        <f t="shared" si="23"/>
        <v>0</v>
      </c>
      <c r="O40" s="11"/>
      <c r="P40" s="6">
        <v>7408.83</v>
      </c>
      <c r="Q40" s="2"/>
      <c r="R40" s="7">
        <f t="shared" si="24"/>
        <v>3.4409706723088303E-2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7408.83</v>
      </c>
      <c r="Y40" s="2"/>
      <c r="Z40" s="7">
        <f t="shared" si="27"/>
        <v>0</v>
      </c>
    </row>
    <row r="41" spans="1:26" s="24" customFormat="1" hidden="1" outlineLevel="2" x14ac:dyDescent="0.3">
      <c r="A41" s="27"/>
      <c r="B41" s="11" t="str">
        <f>CONCATENATE("          ", "6005", " - ", "TEMPORARY WAGES-HOURLY")</f>
        <v xml:space="preserve">          6005 - TEMPORARY WAGES-HOURLY</v>
      </c>
      <c r="C41" s="11"/>
      <c r="D41" s="6">
        <v>1355.73</v>
      </c>
      <c r="E41" s="2"/>
      <c r="F41" s="7">
        <f t="shared" si="20"/>
        <v>2.9289022919336098E-2</v>
      </c>
      <c r="G41" s="2"/>
      <c r="H41" s="6">
        <v>5077.95</v>
      </c>
      <c r="I41" s="2"/>
      <c r="J41" s="7">
        <f t="shared" si="21"/>
        <v>0.20895193811208954</v>
      </c>
      <c r="K41" s="2"/>
      <c r="L41" s="6">
        <f t="shared" si="22"/>
        <v>-3722.22</v>
      </c>
      <c r="M41" s="2"/>
      <c r="N41" s="7">
        <f t="shared" si="23"/>
        <v>-0.73301627625321242</v>
      </c>
      <c r="O41" s="11"/>
      <c r="P41" s="6">
        <v>9531.7999999999993</v>
      </c>
      <c r="Q41" s="2"/>
      <c r="R41" s="7">
        <f t="shared" si="24"/>
        <v>4.4269667753630879E-2</v>
      </c>
      <c r="S41" s="2"/>
      <c r="T41" s="6">
        <v>28380.26</v>
      </c>
      <c r="U41" s="2"/>
      <c r="V41" s="7">
        <f t="shared" si="25"/>
        <v>0.26424084988315039</v>
      </c>
      <c r="W41" s="2"/>
      <c r="X41" s="6">
        <f t="shared" si="26"/>
        <v>-18848.46</v>
      </c>
      <c r="Y41" s="2"/>
      <c r="Z41" s="7">
        <f t="shared" si="27"/>
        <v>-0.66413979294058623</v>
      </c>
    </row>
    <row r="42" spans="1:26" s="24" customFormat="1" hidden="1" outlineLevel="2" x14ac:dyDescent="0.3">
      <c r="A42" s="27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/>
      <c r="Q42" s="2"/>
      <c r="R42" s="7">
        <f t="shared" si="24"/>
        <v>0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0</v>
      </c>
      <c r="Y42" s="2"/>
      <c r="Z42" s="7">
        <f t="shared" si="27"/>
        <v>0</v>
      </c>
    </row>
    <row r="43" spans="1:26" s="24" customFormat="1" hidden="1" outlineLevel="2" x14ac:dyDescent="0.3">
      <c r="A43" s="27"/>
      <c r="B43" s="11" t="str">
        <f>CONCATENATE("          ", "6007", " - ", "STUDENT HOURLY")</f>
        <v xml:space="preserve">          6007 - STUDENT HOURLY</v>
      </c>
      <c r="C43" s="11"/>
      <c r="D43" s="6">
        <v>9335.75</v>
      </c>
      <c r="E43" s="2"/>
      <c r="F43" s="7">
        <f t="shared" si="20"/>
        <v>0.20168838612348475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9335.75</v>
      </c>
      <c r="M43" s="2"/>
      <c r="N43" s="7">
        <f t="shared" si="23"/>
        <v>0</v>
      </c>
      <c r="O43" s="11"/>
      <c r="P43" s="6">
        <v>39802.019999999997</v>
      </c>
      <c r="Q43" s="2"/>
      <c r="R43" s="7">
        <f t="shared" si="24"/>
        <v>0.18485723591801875</v>
      </c>
      <c r="S43" s="2"/>
      <c r="T43" s="6">
        <v>4247.63</v>
      </c>
      <c r="U43" s="2"/>
      <c r="V43" s="7">
        <f t="shared" si="25"/>
        <v>3.9548522853179148E-2</v>
      </c>
      <c r="W43" s="2"/>
      <c r="X43" s="6">
        <f t="shared" si="26"/>
        <v>35554.39</v>
      </c>
      <c r="Y43" s="2"/>
      <c r="Z43" s="7">
        <f t="shared" si="27"/>
        <v>8.3704065561265928</v>
      </c>
    </row>
    <row r="44" spans="1:26" s="24" customFormat="1" hidden="1" outlineLevel="2" x14ac:dyDescent="0.3">
      <c r="A44" s="27"/>
      <c r="B44" s="11" t="str">
        <f>CONCATENATE("          ", "6008", " - ", "STUDENT HOURLY-FICA EXEMPT")</f>
        <v xml:space="preserve">          6008 - STUDENT HOURLY-FICA EXEMPT</v>
      </c>
      <c r="C44" s="11"/>
      <c r="D44" s="6"/>
      <c r="E44" s="2"/>
      <c r="F44" s="7">
        <f t="shared" si="20"/>
        <v>0</v>
      </c>
      <c r="G44" s="2"/>
      <c r="H44" s="6">
        <v>5147.79</v>
      </c>
      <c r="I44" s="2"/>
      <c r="J44" s="7">
        <f t="shared" si="21"/>
        <v>0.21182577565632457</v>
      </c>
      <c r="K44" s="2"/>
      <c r="L44" s="6">
        <f t="shared" si="22"/>
        <v>-5147.79</v>
      </c>
      <c r="M44" s="2"/>
      <c r="N44" s="7">
        <f t="shared" si="23"/>
        <v>-1</v>
      </c>
      <c r="O44" s="11"/>
      <c r="P44" s="6"/>
      <c r="Q44" s="2"/>
      <c r="R44" s="7">
        <f t="shared" si="24"/>
        <v>0</v>
      </c>
      <c r="S44" s="2"/>
      <c r="T44" s="6">
        <v>21674.165000000001</v>
      </c>
      <c r="U44" s="2"/>
      <c r="V44" s="7">
        <f t="shared" si="25"/>
        <v>0.20180223085016247</v>
      </c>
      <c r="W44" s="2"/>
      <c r="X44" s="6">
        <f t="shared" si="26"/>
        <v>-21674.165000000001</v>
      </c>
      <c r="Y44" s="2"/>
      <c r="Z44" s="7">
        <f t="shared" si="27"/>
        <v>-1</v>
      </c>
    </row>
    <row r="45" spans="1:26" s="24" customFormat="1" hidden="1" outlineLevel="2" x14ac:dyDescent="0.3">
      <c r="A45" s="27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3">
      <c r="A46" s="27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9" customFormat="1" outlineLevel="1" collapsed="1" x14ac:dyDescent="0.3">
      <c r="A47" s="28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SUM(OSRRefD22_2x_0)</f>
        <v>8.4700000000000006</v>
      </c>
      <c r="E47" s="1"/>
      <c r="F47" s="5">
        <f t="shared" ref="F47:F55" si="28">IF(D$12=0,0,D47/D$12)</f>
        <v>1.8298483040633221E-4</v>
      </c>
      <c r="G47" s="1"/>
      <c r="H47" s="1">
        <f>SUM(OSRRefH22_2x_0)</f>
        <v>0</v>
      </c>
      <c r="I47" s="1"/>
      <c r="J47" s="5">
        <f t="shared" ref="J47:J55" si="29">IF(H$12=0,0,H47/H$12)</f>
        <v>0</v>
      </c>
      <c r="K47" s="1"/>
      <c r="L47" s="1">
        <f t="shared" ref="L47:L55" si="30">+D47-H47</f>
        <v>8.4700000000000006</v>
      </c>
      <c r="M47" s="1"/>
      <c r="N47" s="5">
        <f t="shared" ref="N47:N55" si="31">IF(H47=0,0,L47/H47)</f>
        <v>0</v>
      </c>
      <c r="O47" s="14"/>
      <c r="P47" s="1">
        <f>SUM(OSRRefP22_2x_0)</f>
        <v>218.26</v>
      </c>
      <c r="Q47" s="1"/>
      <c r="R47" s="5">
        <f t="shared" ref="R47:R55" si="32">IF(P$12=0,0,P47/P$12)</f>
        <v>1.0136907702540418E-3</v>
      </c>
      <c r="S47" s="1"/>
      <c r="T47" s="1">
        <f>SUM(OSRRefT22_2x_0)</f>
        <v>0</v>
      </c>
      <c r="U47" s="1"/>
      <c r="V47" s="5">
        <f t="shared" ref="V47:V55" si="33">IF(T$12=0,0,T47/T$12)</f>
        <v>0</v>
      </c>
      <c r="W47" s="1"/>
      <c r="X47" s="1">
        <f t="shared" ref="X47:X55" si="34">+P47-T47</f>
        <v>218.26</v>
      </c>
      <c r="Y47" s="1"/>
      <c r="Z47" s="5">
        <f t="shared" ref="Z47:Z55" si="35">IF(T47=0,0,X47/T47)</f>
        <v>0</v>
      </c>
    </row>
    <row r="48" spans="1:26" s="24" customFormat="1" hidden="1" outlineLevel="2" x14ac:dyDescent="0.3">
      <c r="A48" s="27"/>
      <c r="B48" s="11" t="str">
        <f>CONCATENATE("          ", "6362", " - ", "ADVERTISING EXPENSE")</f>
        <v xml:space="preserve">          6362 - ADVERTISING EXPENSE</v>
      </c>
      <c r="C48" s="11"/>
      <c r="D48" s="6">
        <v>8.4700000000000006</v>
      </c>
      <c r="E48" s="2"/>
      <c r="F48" s="7">
        <f t="shared" si="28"/>
        <v>1.8298483040633221E-4</v>
      </c>
      <c r="G48" s="2"/>
      <c r="H48" s="6"/>
      <c r="I48" s="2"/>
      <c r="J48" s="7">
        <f t="shared" si="29"/>
        <v>0</v>
      </c>
      <c r="K48" s="2"/>
      <c r="L48" s="6">
        <f t="shared" si="30"/>
        <v>8.4700000000000006</v>
      </c>
      <c r="M48" s="2"/>
      <c r="N48" s="7">
        <f t="shared" si="31"/>
        <v>0</v>
      </c>
      <c r="O48" s="11"/>
      <c r="P48" s="6">
        <v>218.26</v>
      </c>
      <c r="Q48" s="2"/>
      <c r="R48" s="7">
        <f t="shared" si="32"/>
        <v>1.0136907702540418E-3</v>
      </c>
      <c r="S48" s="2"/>
      <c r="T48" s="6"/>
      <c r="U48" s="2"/>
      <c r="V48" s="7">
        <f t="shared" si="33"/>
        <v>0</v>
      </c>
      <c r="W48" s="2"/>
      <c r="X48" s="6">
        <f t="shared" si="34"/>
        <v>218.26</v>
      </c>
      <c r="Y48" s="2"/>
      <c r="Z48" s="7">
        <f t="shared" si="35"/>
        <v>0</v>
      </c>
    </row>
    <row r="49" spans="1:26" s="29" customFormat="1" outlineLevel="1" collapsed="1" x14ac:dyDescent="0.3">
      <c r="A49" s="28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SUM(OSRRefD22_3x_0)</f>
        <v>10.28</v>
      </c>
      <c r="E49" s="1"/>
      <c r="F49" s="5">
        <f t="shared" si="28"/>
        <v>2.220878461129982E-4</v>
      </c>
      <c r="G49" s="1"/>
      <c r="H49" s="1">
        <f>SUM(OSRRefH22_3x_0)</f>
        <v>0</v>
      </c>
      <c r="I49" s="1"/>
      <c r="J49" s="5">
        <f t="shared" si="29"/>
        <v>0</v>
      </c>
      <c r="K49" s="1"/>
      <c r="L49" s="1">
        <f t="shared" si="30"/>
        <v>10.28</v>
      </c>
      <c r="M49" s="1"/>
      <c r="N49" s="5">
        <f t="shared" si="31"/>
        <v>0</v>
      </c>
      <c r="O49" s="14"/>
      <c r="P49" s="1">
        <f>SUM(OSRRefP22_3x_0)</f>
        <v>-78.760000000000005</v>
      </c>
      <c r="Q49" s="1"/>
      <c r="R49" s="5">
        <f t="shared" si="32"/>
        <v>-3.6579439688998601E-4</v>
      </c>
      <c r="S49" s="1"/>
      <c r="T49" s="1">
        <f>SUM(OSRRefT22_3x_0)</f>
        <v>0</v>
      </c>
      <c r="U49" s="1"/>
      <c r="V49" s="5">
        <f t="shared" si="33"/>
        <v>0</v>
      </c>
      <c r="W49" s="1"/>
      <c r="X49" s="1">
        <f t="shared" si="34"/>
        <v>-78.760000000000005</v>
      </c>
      <c r="Y49" s="1"/>
      <c r="Z49" s="5">
        <f t="shared" si="35"/>
        <v>0</v>
      </c>
    </row>
    <row r="50" spans="1:26" s="24" customFormat="1" hidden="1" outlineLevel="2" x14ac:dyDescent="0.3">
      <c r="A50" s="27"/>
      <c r="B50" s="11" t="str">
        <f>CONCATENATE("          ", "6272", " - ", "CASH (OVER/SHORT)")</f>
        <v xml:space="preserve">          6272 - CASH (OVER/SHORT)</v>
      </c>
      <c r="C50" s="11"/>
      <c r="D50" s="6">
        <v>10.28</v>
      </c>
      <c r="E50" s="2"/>
      <c r="F50" s="7">
        <f t="shared" si="28"/>
        <v>2.220878461129982E-4</v>
      </c>
      <c r="G50" s="2"/>
      <c r="H50" s="6"/>
      <c r="I50" s="2"/>
      <c r="J50" s="7">
        <f t="shared" si="29"/>
        <v>0</v>
      </c>
      <c r="K50" s="2"/>
      <c r="L50" s="6">
        <f t="shared" si="30"/>
        <v>10.28</v>
      </c>
      <c r="M50" s="2"/>
      <c r="N50" s="7">
        <f t="shared" si="31"/>
        <v>0</v>
      </c>
      <c r="O50" s="11"/>
      <c r="P50" s="6">
        <v>-78.760000000000005</v>
      </c>
      <c r="Q50" s="2"/>
      <c r="R50" s="7">
        <f t="shared" si="32"/>
        <v>-3.6579439688998601E-4</v>
      </c>
      <c r="S50" s="2"/>
      <c r="T50" s="6"/>
      <c r="U50" s="2"/>
      <c r="V50" s="7">
        <f t="shared" si="33"/>
        <v>0</v>
      </c>
      <c r="W50" s="2"/>
      <c r="X50" s="6">
        <f t="shared" si="34"/>
        <v>-78.760000000000005</v>
      </c>
      <c r="Y50" s="2"/>
      <c r="Z50" s="7">
        <f t="shared" si="35"/>
        <v>0</v>
      </c>
    </row>
    <row r="51" spans="1:26" s="29" customFormat="1" outlineLevel="1" collapsed="1" x14ac:dyDescent="0.3">
      <c r="A51" s="28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SUM(OSRRefD22_4x_0)</f>
        <v>1904.6</v>
      </c>
      <c r="E51" s="1"/>
      <c r="F51" s="5">
        <f t="shared" si="28"/>
        <v>4.1146742383931553E-2</v>
      </c>
      <c r="G51" s="1"/>
      <c r="H51" s="1">
        <f>SUM(OSRRefH22_4x_0)</f>
        <v>928</v>
      </c>
      <c r="I51" s="1"/>
      <c r="J51" s="5">
        <f t="shared" si="29"/>
        <v>3.8186157517899763E-2</v>
      </c>
      <c r="K51" s="1"/>
      <c r="L51" s="1">
        <f t="shared" si="30"/>
        <v>976.59999999999991</v>
      </c>
      <c r="M51" s="1"/>
      <c r="N51" s="5">
        <f t="shared" si="31"/>
        <v>1.0523706896551723</v>
      </c>
      <c r="O51" s="14"/>
      <c r="P51" s="1">
        <f>SUM(OSRRefP22_4x_0)</f>
        <v>8047.2</v>
      </c>
      <c r="Q51" s="1"/>
      <c r="R51" s="5">
        <f t="shared" si="32"/>
        <v>3.7374564127134267E-2</v>
      </c>
      <c r="S51" s="1"/>
      <c r="T51" s="1">
        <f>SUM(OSRRefT22_4x_0)</f>
        <v>4102</v>
      </c>
      <c r="U51" s="1"/>
      <c r="V51" s="5">
        <f t="shared" si="33"/>
        <v>3.819260169641444E-2</v>
      </c>
      <c r="W51" s="1"/>
      <c r="X51" s="1">
        <f t="shared" si="34"/>
        <v>3945.2</v>
      </c>
      <c r="Y51" s="1"/>
      <c r="Z51" s="5">
        <f t="shared" si="35"/>
        <v>0.96177474402730367</v>
      </c>
    </row>
    <row r="52" spans="1:26" s="24" customFormat="1" hidden="1" outlineLevel="2" x14ac:dyDescent="0.3">
      <c r="A52" s="27"/>
      <c r="B52" s="11" t="str">
        <f>CONCATENATE("          ", "6381", " - ", "BANK/CREDIT CARD FEES")</f>
        <v xml:space="preserve">          6381 - BANK/CREDIT CARD FEES</v>
      </c>
      <c r="C52" s="11"/>
      <c r="D52" s="6">
        <v>1904.6</v>
      </c>
      <c r="E52" s="2"/>
      <c r="F52" s="7">
        <f t="shared" si="28"/>
        <v>4.1146742383931553E-2</v>
      </c>
      <c r="G52" s="2"/>
      <c r="H52" s="6">
        <v>928</v>
      </c>
      <c r="I52" s="2"/>
      <c r="J52" s="7">
        <f t="shared" si="29"/>
        <v>3.8186157517899763E-2</v>
      </c>
      <c r="K52" s="2"/>
      <c r="L52" s="6">
        <f t="shared" si="30"/>
        <v>976.59999999999991</v>
      </c>
      <c r="M52" s="2"/>
      <c r="N52" s="7">
        <f t="shared" si="31"/>
        <v>1.0523706896551723</v>
      </c>
      <c r="O52" s="11"/>
      <c r="P52" s="6">
        <v>8047.2</v>
      </c>
      <c r="Q52" s="2"/>
      <c r="R52" s="7">
        <f t="shared" si="32"/>
        <v>3.7374564127134267E-2</v>
      </c>
      <c r="S52" s="2"/>
      <c r="T52" s="6">
        <v>4102</v>
      </c>
      <c r="U52" s="2"/>
      <c r="V52" s="7">
        <f t="shared" si="33"/>
        <v>3.819260169641444E-2</v>
      </c>
      <c r="W52" s="2"/>
      <c r="X52" s="6">
        <f t="shared" si="34"/>
        <v>3945.2</v>
      </c>
      <c r="Y52" s="2"/>
      <c r="Z52" s="7">
        <f t="shared" si="35"/>
        <v>0.96177474402730367</v>
      </c>
    </row>
    <row r="53" spans="1:26" s="29" customFormat="1" outlineLevel="1" collapsed="1" x14ac:dyDescent="0.3">
      <c r="A53" s="28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SUM(OSRRefD22_5x_0)</f>
        <v>4626.5</v>
      </c>
      <c r="E53" s="1"/>
      <c r="F53" s="5">
        <f t="shared" si="28"/>
        <v>9.9950332688889712E-2</v>
      </c>
      <c r="G53" s="1"/>
      <c r="H53" s="1">
        <f>SUM(OSRRefH22_5x_0)</f>
        <v>4733</v>
      </c>
      <c r="I53" s="1"/>
      <c r="J53" s="5">
        <f t="shared" si="29"/>
        <v>0.19475763311661592</v>
      </c>
      <c r="K53" s="1"/>
      <c r="L53" s="1">
        <f t="shared" si="30"/>
        <v>-106.5</v>
      </c>
      <c r="M53" s="1"/>
      <c r="N53" s="5">
        <f t="shared" si="31"/>
        <v>-2.2501584618635113E-2</v>
      </c>
      <c r="O53" s="14"/>
      <c r="P53" s="1">
        <f>SUM(OSRRefP22_5x_0)</f>
        <v>23132.5</v>
      </c>
      <c r="Q53" s="1"/>
      <c r="R53" s="5">
        <f t="shared" si="32"/>
        <v>0.10743700972648045</v>
      </c>
      <c r="S53" s="1"/>
      <c r="T53" s="1">
        <f>SUM(OSRRefT22_5x_0)</f>
        <v>23665</v>
      </c>
      <c r="U53" s="1"/>
      <c r="V53" s="5">
        <f t="shared" si="33"/>
        <v>0.2203383518151262</v>
      </c>
      <c r="W53" s="1"/>
      <c r="X53" s="1">
        <f t="shared" si="34"/>
        <v>-532.5</v>
      </c>
      <c r="Y53" s="1"/>
      <c r="Z53" s="5">
        <f t="shared" si="35"/>
        <v>-2.2501584618635113E-2</v>
      </c>
    </row>
    <row r="54" spans="1:26" s="24" customFormat="1" hidden="1" outlineLevel="2" x14ac:dyDescent="0.3">
      <c r="A54" s="27"/>
      <c r="B54" s="11" t="str">
        <f>CONCATENATE("          ", "6321", " - ", "BUILDING DEPRECIATION")</f>
        <v xml:space="preserve">          6321 - BUILDING DEPRECIATION</v>
      </c>
      <c r="C54" s="11"/>
      <c r="D54" s="6">
        <v>4626.5</v>
      </c>
      <c r="E54" s="2"/>
      <c r="F54" s="7">
        <f t="shared" si="28"/>
        <v>9.9950332688889712E-2</v>
      </c>
      <c r="G54" s="2"/>
      <c r="H54" s="6"/>
      <c r="I54" s="2"/>
      <c r="J54" s="7">
        <f t="shared" si="29"/>
        <v>0</v>
      </c>
      <c r="K54" s="2"/>
      <c r="L54" s="6">
        <f t="shared" si="30"/>
        <v>4626.5</v>
      </c>
      <c r="M54" s="2"/>
      <c r="N54" s="7">
        <f t="shared" si="31"/>
        <v>0</v>
      </c>
      <c r="O54" s="11"/>
      <c r="P54" s="6">
        <v>23132.5</v>
      </c>
      <c r="Q54" s="2"/>
      <c r="R54" s="7">
        <f t="shared" si="32"/>
        <v>0.10743700972648045</v>
      </c>
      <c r="S54" s="2"/>
      <c r="T54" s="6"/>
      <c r="U54" s="2"/>
      <c r="V54" s="7">
        <f t="shared" si="33"/>
        <v>0</v>
      </c>
      <c r="W54" s="2"/>
      <c r="X54" s="6">
        <f t="shared" si="34"/>
        <v>23132.5</v>
      </c>
      <c r="Y54" s="2"/>
      <c r="Z54" s="7">
        <f t="shared" si="35"/>
        <v>0</v>
      </c>
    </row>
    <row r="55" spans="1:26" s="24" customFormat="1" hidden="1" outlineLevel="2" x14ac:dyDescent="0.3">
      <c r="A55" s="27"/>
      <c r="B55" s="11" t="str">
        <f>CONCATENATE("          ", "6322", " - ", "EQUIPMENT DEPRECIATION EXPENSE")</f>
        <v xml:space="preserve">          6322 - EQUIPMENT DEPRECIATION EXPENSE</v>
      </c>
      <c r="C55" s="11"/>
      <c r="D55" s="6"/>
      <c r="E55" s="2"/>
      <c r="F55" s="7">
        <f t="shared" si="28"/>
        <v>0</v>
      </c>
      <c r="G55" s="2"/>
      <c r="H55" s="6">
        <v>4733</v>
      </c>
      <c r="I55" s="2"/>
      <c r="J55" s="7">
        <f t="shared" si="29"/>
        <v>0.19475763311661592</v>
      </c>
      <c r="K55" s="2"/>
      <c r="L55" s="6">
        <f t="shared" si="30"/>
        <v>-4733</v>
      </c>
      <c r="M55" s="2"/>
      <c r="N55" s="7">
        <f t="shared" si="31"/>
        <v>-1</v>
      </c>
      <c r="O55" s="11"/>
      <c r="P55" s="6"/>
      <c r="Q55" s="2"/>
      <c r="R55" s="7">
        <f t="shared" si="32"/>
        <v>0</v>
      </c>
      <c r="S55" s="2"/>
      <c r="T55" s="6">
        <v>23665</v>
      </c>
      <c r="U55" s="2"/>
      <c r="V55" s="7">
        <f t="shared" si="33"/>
        <v>0.2203383518151262</v>
      </c>
      <c r="W55" s="2"/>
      <c r="X55" s="6">
        <f t="shared" si="34"/>
        <v>-23665</v>
      </c>
      <c r="Y55" s="2"/>
      <c r="Z55" s="7">
        <f t="shared" si="35"/>
        <v>-1</v>
      </c>
    </row>
    <row r="56" spans="1:26" s="29" customFormat="1" outlineLevel="1" collapsed="1" x14ac:dyDescent="0.3">
      <c r="A56" s="28"/>
      <c r="B56" s="14" t="str">
        <f>CONCATENATE("     ","Employees' Appreciation                           ")</f>
        <v xml:space="preserve">     Employees' Appreciation                           </v>
      </c>
      <c r="C56" s="14"/>
      <c r="D56" s="1">
        <f>SUM(OSRRefD22_6x_0)</f>
        <v>0</v>
      </c>
      <c r="E56" s="1"/>
      <c r="F56" s="5">
        <f t="shared" ref="F56:F64" si="36">IF(D$12=0,0,D56/D$12)</f>
        <v>0</v>
      </c>
      <c r="G56" s="1"/>
      <c r="H56" s="1">
        <f>SUM(OSRRefH22_6x_0)</f>
        <v>20</v>
      </c>
      <c r="I56" s="1"/>
      <c r="J56" s="5">
        <f t="shared" ref="J56:J64" si="37">IF(H$12=0,0,H56/H$12)</f>
        <v>8.2297753271335695E-4</v>
      </c>
      <c r="K56" s="1"/>
      <c r="L56" s="1">
        <f t="shared" ref="L56:L64" si="38">+D56-H56</f>
        <v>-20</v>
      </c>
      <c r="M56" s="1"/>
      <c r="N56" s="5">
        <f t="shared" ref="N56:N64" si="39">IF(H56=0,0,L56/H56)</f>
        <v>-1</v>
      </c>
      <c r="O56" s="14"/>
      <c r="P56" s="1">
        <f>SUM(OSRRefP22_6x_0)</f>
        <v>73.22</v>
      </c>
      <c r="Q56" s="1"/>
      <c r="R56" s="5">
        <f t="shared" ref="R56:R64" si="40">IF(P$12=0,0,P56/P$12)</f>
        <v>3.4006431869330591E-4</v>
      </c>
      <c r="S56" s="1"/>
      <c r="T56" s="1">
        <f>SUM(OSRRefT22_6x_0)</f>
        <v>60</v>
      </c>
      <c r="U56" s="1"/>
      <c r="V56" s="5">
        <f t="shared" ref="V56:V64" si="41">IF(T$12=0,0,T56/T$12)</f>
        <v>5.5864361330689089E-4</v>
      </c>
      <c r="W56" s="1"/>
      <c r="X56" s="1">
        <f t="shared" ref="X56:X64" si="42">+P56-T56</f>
        <v>13.219999999999999</v>
      </c>
      <c r="Y56" s="1"/>
      <c r="Z56" s="5">
        <f t="shared" ref="Z56:Z64" si="43">IF(T56=0,0,X56/T56)</f>
        <v>0.22033333333333333</v>
      </c>
    </row>
    <row r="57" spans="1:26" s="24" customFormat="1" hidden="1" outlineLevel="2" x14ac:dyDescent="0.3">
      <c r="A57" s="27"/>
      <c r="B57" s="11" t="str">
        <f>CONCATENATE("          ", "6277", " - ", "EMPLOYEE APPRECIATION")</f>
        <v xml:space="preserve">          6277 - EMPLOYEE APPRECIATION</v>
      </c>
      <c r="C57" s="11"/>
      <c r="D57" s="6"/>
      <c r="E57" s="2"/>
      <c r="F57" s="7">
        <f t="shared" si="36"/>
        <v>0</v>
      </c>
      <c r="G57" s="2"/>
      <c r="H57" s="6">
        <v>20</v>
      </c>
      <c r="I57" s="2"/>
      <c r="J57" s="7">
        <f t="shared" si="37"/>
        <v>8.2297753271335695E-4</v>
      </c>
      <c r="K57" s="2"/>
      <c r="L57" s="6">
        <f t="shared" si="38"/>
        <v>-20</v>
      </c>
      <c r="M57" s="2"/>
      <c r="N57" s="7">
        <f t="shared" si="39"/>
        <v>-1</v>
      </c>
      <c r="O57" s="11"/>
      <c r="P57" s="6">
        <v>73.22</v>
      </c>
      <c r="Q57" s="2"/>
      <c r="R57" s="7">
        <f t="shared" si="40"/>
        <v>3.4006431869330591E-4</v>
      </c>
      <c r="S57" s="2"/>
      <c r="T57" s="6">
        <v>60</v>
      </c>
      <c r="U57" s="2"/>
      <c r="V57" s="7">
        <f t="shared" si="41"/>
        <v>5.5864361330689089E-4</v>
      </c>
      <c r="W57" s="2"/>
      <c r="X57" s="6">
        <f t="shared" si="42"/>
        <v>13.219999999999999</v>
      </c>
      <c r="Y57" s="2"/>
      <c r="Z57" s="7">
        <f t="shared" si="43"/>
        <v>0.22033333333333333</v>
      </c>
    </row>
    <row r="58" spans="1:26" s="29" customFormat="1" outlineLevel="1" collapsed="1" x14ac:dyDescent="0.3">
      <c r="A58" s="28"/>
      <c r="B58" s="14" t="str">
        <f>CONCATENATE("     ","General                                           ")</f>
        <v xml:space="preserve">     General                                           </v>
      </c>
      <c r="C58" s="14"/>
      <c r="D58" s="1">
        <f>SUM(OSRRefD22_7x_0)</f>
        <v>0</v>
      </c>
      <c r="E58" s="1"/>
      <c r="F58" s="5">
        <f t="shared" si="36"/>
        <v>0</v>
      </c>
      <c r="G58" s="1"/>
      <c r="H58" s="1">
        <f>SUM(OSRRefH22_7x_0)</f>
        <v>0</v>
      </c>
      <c r="I58" s="1"/>
      <c r="J58" s="5">
        <f t="shared" si="37"/>
        <v>0</v>
      </c>
      <c r="K58" s="1"/>
      <c r="L58" s="1">
        <f t="shared" si="38"/>
        <v>0</v>
      </c>
      <c r="M58" s="1"/>
      <c r="N58" s="5">
        <f t="shared" si="39"/>
        <v>0</v>
      </c>
      <c r="O58" s="14"/>
      <c r="P58" s="1">
        <f>SUM(OSRRefP22_7x_0)</f>
        <v>1887.3</v>
      </c>
      <c r="Q58" s="1"/>
      <c r="R58" s="5">
        <f t="shared" si="40"/>
        <v>8.7654109351253239E-3</v>
      </c>
      <c r="S58" s="1"/>
      <c r="T58" s="1">
        <f>SUM(OSRRefT22_7x_0)</f>
        <v>0</v>
      </c>
      <c r="U58" s="1"/>
      <c r="V58" s="5">
        <f t="shared" si="41"/>
        <v>0</v>
      </c>
      <c r="W58" s="1"/>
      <c r="X58" s="1">
        <f t="shared" si="42"/>
        <v>1887.3</v>
      </c>
      <c r="Y58" s="1"/>
      <c r="Z58" s="5">
        <f t="shared" si="43"/>
        <v>0</v>
      </c>
    </row>
    <row r="59" spans="1:26" s="24" customFormat="1" hidden="1" outlineLevel="2" x14ac:dyDescent="0.3">
      <c r="A59" s="27"/>
      <c r="B59" s="11" t="str">
        <f>CONCATENATE("          ", "6279", " - ", "GENERAL EXPENSE")</f>
        <v xml:space="preserve">          6279 - GENERAL EXPENSE</v>
      </c>
      <c r="C59" s="11"/>
      <c r="D59" s="6"/>
      <c r="E59" s="2"/>
      <c r="F59" s="7">
        <f t="shared" si="36"/>
        <v>0</v>
      </c>
      <c r="G59" s="2"/>
      <c r="H59" s="6"/>
      <c r="I59" s="2"/>
      <c r="J59" s="7">
        <f t="shared" si="37"/>
        <v>0</v>
      </c>
      <c r="K59" s="2"/>
      <c r="L59" s="6">
        <f t="shared" si="38"/>
        <v>0</v>
      </c>
      <c r="M59" s="2"/>
      <c r="N59" s="7">
        <f t="shared" si="39"/>
        <v>0</v>
      </c>
      <c r="O59" s="11"/>
      <c r="P59" s="6">
        <v>1887.3</v>
      </c>
      <c r="Q59" s="2"/>
      <c r="R59" s="7">
        <f t="shared" si="40"/>
        <v>8.7654109351253239E-3</v>
      </c>
      <c r="S59" s="2"/>
      <c r="T59" s="6"/>
      <c r="U59" s="2"/>
      <c r="V59" s="7">
        <f t="shared" si="41"/>
        <v>0</v>
      </c>
      <c r="W59" s="2"/>
      <c r="X59" s="6">
        <f t="shared" si="42"/>
        <v>1887.3</v>
      </c>
      <c r="Y59" s="2"/>
      <c r="Z59" s="7">
        <f t="shared" si="43"/>
        <v>0</v>
      </c>
    </row>
    <row r="60" spans="1:26" s="29" customFormat="1" outlineLevel="1" collapsed="1" x14ac:dyDescent="0.3">
      <c r="A60" s="28"/>
      <c r="B60" s="14" t="str">
        <f>CONCATENATE("     ","Rent                                              ")</f>
        <v xml:space="preserve">     Rent                                              </v>
      </c>
      <c r="C60" s="14"/>
      <c r="D60" s="1">
        <f>SUM(OSRRefD22_8x_0)</f>
        <v>1850</v>
      </c>
      <c r="E60" s="1"/>
      <c r="F60" s="5">
        <f t="shared" si="36"/>
        <v>3.9967170749907265E-2</v>
      </c>
      <c r="G60" s="1"/>
      <c r="H60" s="1">
        <f>SUM(OSRRefH22_8x_0)</f>
        <v>1850</v>
      </c>
      <c r="I60" s="1"/>
      <c r="J60" s="5">
        <f t="shared" si="37"/>
        <v>7.6125421775985511E-2</v>
      </c>
      <c r="K60" s="1"/>
      <c r="L60" s="1">
        <f t="shared" si="38"/>
        <v>0</v>
      </c>
      <c r="M60" s="1"/>
      <c r="N60" s="5">
        <f t="shared" si="39"/>
        <v>0</v>
      </c>
      <c r="O60" s="14"/>
      <c r="P60" s="1">
        <f>SUM(OSRRefP22_8x_0)</f>
        <v>9250</v>
      </c>
      <c r="Q60" s="1"/>
      <c r="R60" s="5">
        <f t="shared" si="40"/>
        <v>4.2960870635251017E-2</v>
      </c>
      <c r="S60" s="1"/>
      <c r="T60" s="1">
        <f>SUM(OSRRefT22_8x_0)</f>
        <v>9250</v>
      </c>
      <c r="U60" s="1"/>
      <c r="V60" s="5">
        <f t="shared" si="41"/>
        <v>8.6124223718145682E-2</v>
      </c>
      <c r="W60" s="1"/>
      <c r="X60" s="1">
        <f t="shared" si="42"/>
        <v>0</v>
      </c>
      <c r="Y60" s="1"/>
      <c r="Z60" s="5">
        <f t="shared" si="43"/>
        <v>0</v>
      </c>
    </row>
    <row r="61" spans="1:26" s="24" customFormat="1" hidden="1" outlineLevel="2" x14ac:dyDescent="0.3">
      <c r="A61" s="27"/>
      <c r="B61" s="11" t="str">
        <f>CONCATENATE("          ", "6273", " - ", "RENT")</f>
        <v xml:space="preserve">          6273 - RENT</v>
      </c>
      <c r="C61" s="11"/>
      <c r="D61" s="6">
        <v>1850</v>
      </c>
      <c r="E61" s="2"/>
      <c r="F61" s="7">
        <f t="shared" si="36"/>
        <v>3.9967170749907265E-2</v>
      </c>
      <c r="G61" s="2"/>
      <c r="H61" s="6">
        <v>1850</v>
      </c>
      <c r="I61" s="2"/>
      <c r="J61" s="7">
        <f t="shared" si="37"/>
        <v>7.6125421775985511E-2</v>
      </c>
      <c r="K61" s="2"/>
      <c r="L61" s="6">
        <f t="shared" si="38"/>
        <v>0</v>
      </c>
      <c r="M61" s="2"/>
      <c r="N61" s="7">
        <f t="shared" si="39"/>
        <v>0</v>
      </c>
      <c r="O61" s="11"/>
      <c r="P61" s="6">
        <v>9250</v>
      </c>
      <c r="Q61" s="2"/>
      <c r="R61" s="7">
        <f t="shared" si="40"/>
        <v>4.2960870635251017E-2</v>
      </c>
      <c r="S61" s="2"/>
      <c r="T61" s="6">
        <v>9250</v>
      </c>
      <c r="U61" s="2"/>
      <c r="V61" s="7">
        <f t="shared" si="41"/>
        <v>8.6124223718145682E-2</v>
      </c>
      <c r="W61" s="2"/>
      <c r="X61" s="6">
        <f t="shared" si="42"/>
        <v>0</v>
      </c>
      <c r="Y61" s="2"/>
      <c r="Z61" s="7">
        <f t="shared" si="43"/>
        <v>0</v>
      </c>
    </row>
    <row r="62" spans="1:26" s="29" customFormat="1" outlineLevel="1" collapsed="1" x14ac:dyDescent="0.3">
      <c r="A62" s="28"/>
      <c r="B62" s="14" t="str">
        <f>CONCATENATE("     ","Repair and Maintenance                            ")</f>
        <v xml:space="preserve">     Repair and Maintenance                            </v>
      </c>
      <c r="C62" s="14"/>
      <c r="D62" s="1">
        <f>SUM(OSRRefD22_9x_0)</f>
        <v>1277.0999999999999</v>
      </c>
      <c r="E62" s="1"/>
      <c r="F62" s="5">
        <f t="shared" si="36"/>
        <v>2.7590310143084631E-2</v>
      </c>
      <c r="G62" s="1"/>
      <c r="H62" s="1">
        <f>SUM(OSRRefH22_9x_0)</f>
        <v>500</v>
      </c>
      <c r="I62" s="1"/>
      <c r="J62" s="5">
        <f t="shared" si="37"/>
        <v>2.0574438317833923E-2</v>
      </c>
      <c r="K62" s="1"/>
      <c r="L62" s="1">
        <f t="shared" si="38"/>
        <v>777.09999999999991</v>
      </c>
      <c r="M62" s="1"/>
      <c r="N62" s="5">
        <f t="shared" si="39"/>
        <v>1.5541999999999998</v>
      </c>
      <c r="O62" s="14"/>
      <c r="P62" s="1">
        <f>SUM(OSRRefP22_9x_0)</f>
        <v>3181.9900000000002</v>
      </c>
      <c r="Q62" s="1"/>
      <c r="R62" s="5">
        <f t="shared" si="40"/>
        <v>1.477849305434188E-2</v>
      </c>
      <c r="S62" s="1"/>
      <c r="T62" s="1">
        <f>SUM(OSRRefT22_9x_0)</f>
        <v>2800</v>
      </c>
      <c r="U62" s="1"/>
      <c r="V62" s="5">
        <f t="shared" si="41"/>
        <v>2.6070035287654909E-2</v>
      </c>
      <c r="W62" s="1"/>
      <c r="X62" s="1">
        <f t="shared" si="42"/>
        <v>381.99000000000024</v>
      </c>
      <c r="Y62" s="1"/>
      <c r="Z62" s="5">
        <f t="shared" si="43"/>
        <v>0.13642500000000007</v>
      </c>
    </row>
    <row r="63" spans="1:26" s="24" customFormat="1" hidden="1" outlineLevel="2" x14ac:dyDescent="0.3">
      <c r="A63" s="27"/>
      <c r="B63" s="11" t="str">
        <f>CONCATENATE("          ", "6373", " - ", "MAINTENANCE CONTRACTS")</f>
        <v xml:space="preserve">          6373 - MAINTENANCE CONTRACTS</v>
      </c>
      <c r="C63" s="11"/>
      <c r="D63" s="6"/>
      <c r="E63" s="2"/>
      <c r="F63" s="7">
        <f t="shared" si="36"/>
        <v>0</v>
      </c>
      <c r="G63" s="2"/>
      <c r="H63" s="6"/>
      <c r="I63" s="2"/>
      <c r="J63" s="7">
        <f t="shared" si="37"/>
        <v>0</v>
      </c>
      <c r="K63" s="2"/>
      <c r="L63" s="6">
        <f t="shared" si="38"/>
        <v>0</v>
      </c>
      <c r="M63" s="2"/>
      <c r="N63" s="7">
        <f t="shared" si="39"/>
        <v>0</v>
      </c>
      <c r="O63" s="11"/>
      <c r="P63" s="6">
        <v>71.86</v>
      </c>
      <c r="Q63" s="2"/>
      <c r="R63" s="7">
        <f t="shared" si="40"/>
        <v>3.337479096053122E-4</v>
      </c>
      <c r="S63" s="2"/>
      <c r="T63" s="6">
        <v>300</v>
      </c>
      <c r="U63" s="2"/>
      <c r="V63" s="7">
        <f t="shared" si="41"/>
        <v>2.7932180665344543E-3</v>
      </c>
      <c r="W63" s="2"/>
      <c r="X63" s="6">
        <f t="shared" si="42"/>
        <v>-228.14</v>
      </c>
      <c r="Y63" s="2"/>
      <c r="Z63" s="7">
        <f t="shared" si="43"/>
        <v>-0.76046666666666662</v>
      </c>
    </row>
    <row r="64" spans="1:26" s="24" customFormat="1" hidden="1" outlineLevel="2" x14ac:dyDescent="0.3">
      <c r="A64" s="27"/>
      <c r="B64" s="11" t="str">
        <f>CONCATENATE("          ", "6375", " - ", "OUTSIDE REPAIRS &amp; MAINTENANCE")</f>
        <v xml:space="preserve">          6375 - OUTSIDE REPAIRS &amp; MAINTENANCE</v>
      </c>
      <c r="C64" s="11"/>
      <c r="D64" s="6">
        <v>1277.0999999999999</v>
      </c>
      <c r="E64" s="2"/>
      <c r="F64" s="7">
        <f t="shared" si="36"/>
        <v>2.7590310143084631E-2</v>
      </c>
      <c r="G64" s="2"/>
      <c r="H64" s="6">
        <v>500</v>
      </c>
      <c r="I64" s="2"/>
      <c r="J64" s="7">
        <f t="shared" si="37"/>
        <v>2.0574438317833923E-2</v>
      </c>
      <c r="K64" s="2"/>
      <c r="L64" s="6">
        <f t="shared" si="38"/>
        <v>777.09999999999991</v>
      </c>
      <c r="M64" s="2"/>
      <c r="N64" s="7">
        <f t="shared" si="39"/>
        <v>1.5541999999999998</v>
      </c>
      <c r="O64" s="11"/>
      <c r="P64" s="6">
        <v>3110.13</v>
      </c>
      <c r="Q64" s="2"/>
      <c r="R64" s="7">
        <f t="shared" si="40"/>
        <v>1.4444745144736568E-2</v>
      </c>
      <c r="S64" s="2"/>
      <c r="T64" s="6">
        <v>2500</v>
      </c>
      <c r="U64" s="2"/>
      <c r="V64" s="7">
        <f t="shared" si="41"/>
        <v>2.3276817221120454E-2</v>
      </c>
      <c r="W64" s="2"/>
      <c r="X64" s="6">
        <f t="shared" si="42"/>
        <v>610.13000000000011</v>
      </c>
      <c r="Y64" s="2"/>
      <c r="Z64" s="7">
        <f t="shared" si="43"/>
        <v>0.24405200000000005</v>
      </c>
    </row>
    <row r="65" spans="1:26" s="29" customFormat="1" outlineLevel="1" collapsed="1" x14ac:dyDescent="0.3">
      <c r="A65" s="28"/>
      <c r="B65" s="14" t="str">
        <f>CONCATENATE("     ","Services                                          ")</f>
        <v xml:space="preserve">     Services                                          </v>
      </c>
      <c r="C65" s="14"/>
      <c r="D65" s="1">
        <f>SUM(OSRRefD22_10x_0)</f>
        <v>20.7</v>
      </c>
      <c r="E65" s="1"/>
      <c r="F65" s="5">
        <f t="shared" ref="F65:F69" si="44">IF(D$12=0,0,D65/D$12)</f>
        <v>4.4720023487734075E-4</v>
      </c>
      <c r="G65" s="1"/>
      <c r="H65" s="1">
        <f>SUM(OSRRefH22_10x_0)</f>
        <v>2263</v>
      </c>
      <c r="I65" s="1"/>
      <c r="J65" s="5">
        <f t="shared" ref="J65:J69" si="45">IF(H$12=0,0,H65/H$12)</f>
        <v>9.3119907826516329E-2</v>
      </c>
      <c r="K65" s="1"/>
      <c r="L65" s="1">
        <f t="shared" ref="L65:L69" si="46">+D65-H65</f>
        <v>-2242.3000000000002</v>
      </c>
      <c r="M65" s="1"/>
      <c r="N65" s="5">
        <f t="shared" ref="N65:N69" si="47">IF(H65=0,0,L65/H65)</f>
        <v>-0.99085285019885116</v>
      </c>
      <c r="O65" s="14"/>
      <c r="P65" s="1">
        <f>SUM(OSRRefP22_10x_0)</f>
        <v>4000</v>
      </c>
      <c r="Q65" s="1"/>
      <c r="R65" s="5">
        <f t="shared" ref="R65:R69" si="48">IF(P$12=0,0,P65/P$12)</f>
        <v>1.8577673788216655E-2</v>
      </c>
      <c r="S65" s="1"/>
      <c r="T65" s="1">
        <f>SUM(OSRRefT22_10x_0)</f>
        <v>9152</v>
      </c>
      <c r="U65" s="1"/>
      <c r="V65" s="5">
        <f t="shared" ref="V65:V69" si="49">IF(T$12=0,0,T65/T$12)</f>
        <v>8.521177248307775E-2</v>
      </c>
      <c r="W65" s="1"/>
      <c r="X65" s="1">
        <f t="shared" ref="X65:X69" si="50">+P65-T65</f>
        <v>-5152</v>
      </c>
      <c r="Y65" s="1"/>
      <c r="Z65" s="5">
        <f t="shared" ref="Z65:Z69" si="51">IF(T65=0,0,X65/T65)</f>
        <v>-0.56293706293706292</v>
      </c>
    </row>
    <row r="66" spans="1:26" s="24" customFormat="1" hidden="1" outlineLevel="2" x14ac:dyDescent="0.3">
      <c r="A66" s="27"/>
      <c r="B66" s="11" t="str">
        <f>CONCATENATE("          ", "6282", " - ", "JANITORIAL/EXTERMINATOR EXPENS")</f>
        <v xml:space="preserve">          6282 - JANITORIAL/EXTERMINATOR EXPENS</v>
      </c>
      <c r="C66" s="11"/>
      <c r="D66" s="6"/>
      <c r="E66" s="2"/>
      <c r="F66" s="7">
        <f t="shared" si="44"/>
        <v>0</v>
      </c>
      <c r="G66" s="2"/>
      <c r="H66" s="6">
        <v>150</v>
      </c>
      <c r="I66" s="2"/>
      <c r="J66" s="7">
        <f t="shared" si="45"/>
        <v>6.1723314953501772E-3</v>
      </c>
      <c r="K66" s="2"/>
      <c r="L66" s="6">
        <f t="shared" si="46"/>
        <v>-150</v>
      </c>
      <c r="M66" s="2"/>
      <c r="N66" s="7">
        <f t="shared" si="47"/>
        <v>-1</v>
      </c>
      <c r="O66" s="11"/>
      <c r="P66" s="6">
        <v>63.86</v>
      </c>
      <c r="Q66" s="2"/>
      <c r="R66" s="7">
        <f t="shared" si="48"/>
        <v>2.9659256202887893E-4</v>
      </c>
      <c r="S66" s="2"/>
      <c r="T66" s="6">
        <v>650</v>
      </c>
      <c r="U66" s="2"/>
      <c r="V66" s="7">
        <f t="shared" si="49"/>
        <v>6.0519724774913174E-3</v>
      </c>
      <c r="W66" s="2"/>
      <c r="X66" s="6">
        <f t="shared" si="50"/>
        <v>-586.14</v>
      </c>
      <c r="Y66" s="2"/>
      <c r="Z66" s="7">
        <f t="shared" si="51"/>
        <v>-0.90175384615384613</v>
      </c>
    </row>
    <row r="67" spans="1:26" s="24" customFormat="1" hidden="1" outlineLevel="2" x14ac:dyDescent="0.3">
      <c r="A67" s="27"/>
      <c r="B67" s="11" t="str">
        <f>CONCATENATE("          ", "6284", " - ", "TRASH REMOVAL EXPENSE")</f>
        <v xml:space="preserve">          6284 - TRASH REMOVAL EXPENSE</v>
      </c>
      <c r="C67" s="11"/>
      <c r="D67" s="6"/>
      <c r="E67" s="2"/>
      <c r="F67" s="7">
        <f t="shared" si="44"/>
        <v>0</v>
      </c>
      <c r="G67" s="2"/>
      <c r="H67" s="6"/>
      <c r="I67" s="2"/>
      <c r="J67" s="7">
        <f t="shared" si="45"/>
        <v>0</v>
      </c>
      <c r="K67" s="2"/>
      <c r="L67" s="6">
        <f t="shared" si="46"/>
        <v>0</v>
      </c>
      <c r="M67" s="2"/>
      <c r="N67" s="7">
        <f t="shared" si="47"/>
        <v>0</v>
      </c>
      <c r="O67" s="11"/>
      <c r="P67" s="6"/>
      <c r="Q67" s="2"/>
      <c r="R67" s="7">
        <f t="shared" si="48"/>
        <v>0</v>
      </c>
      <c r="S67" s="2"/>
      <c r="T67" s="6">
        <v>0</v>
      </c>
      <c r="U67" s="2"/>
      <c r="V67" s="7">
        <f t="shared" si="49"/>
        <v>0</v>
      </c>
      <c r="W67" s="2"/>
      <c r="X67" s="6">
        <f t="shared" si="50"/>
        <v>0</v>
      </c>
      <c r="Y67" s="2"/>
      <c r="Z67" s="7">
        <f t="shared" si="51"/>
        <v>0</v>
      </c>
    </row>
    <row r="68" spans="1:26" s="24" customFormat="1" hidden="1" outlineLevel="2" x14ac:dyDescent="0.3">
      <c r="A68" s="27"/>
      <c r="B68" s="11" t="str">
        <f>CONCATENATE("          ", "6285", " - ", "JANITORIAL SERVICES")</f>
        <v xml:space="preserve">          6285 - JANITORIAL SERVICES</v>
      </c>
      <c r="C68" s="11"/>
      <c r="D68" s="6"/>
      <c r="E68" s="2"/>
      <c r="F68" s="7">
        <f t="shared" si="44"/>
        <v>0</v>
      </c>
      <c r="G68" s="2"/>
      <c r="H68" s="6">
        <v>2083</v>
      </c>
      <c r="I68" s="2"/>
      <c r="J68" s="7">
        <f t="shared" si="45"/>
        <v>8.5713110032096126E-2</v>
      </c>
      <c r="K68" s="2"/>
      <c r="L68" s="6">
        <f t="shared" si="46"/>
        <v>-2083</v>
      </c>
      <c r="M68" s="2"/>
      <c r="N68" s="7">
        <f t="shared" si="47"/>
        <v>-1</v>
      </c>
      <c r="O68" s="11"/>
      <c r="P68" s="6">
        <v>3660</v>
      </c>
      <c r="Q68" s="2"/>
      <c r="R68" s="7">
        <f t="shared" si="48"/>
        <v>1.6998571516218239E-2</v>
      </c>
      <c r="S68" s="2"/>
      <c r="T68" s="6">
        <v>8332</v>
      </c>
      <c r="U68" s="2"/>
      <c r="V68" s="7">
        <f t="shared" si="49"/>
        <v>7.7576976434550249E-2</v>
      </c>
      <c r="W68" s="2"/>
      <c r="X68" s="6">
        <f t="shared" si="50"/>
        <v>-4672</v>
      </c>
      <c r="Y68" s="2"/>
      <c r="Z68" s="7">
        <f t="shared" si="51"/>
        <v>-0.56072971675468075</v>
      </c>
    </row>
    <row r="69" spans="1:26" s="24" customFormat="1" hidden="1" outlineLevel="2" x14ac:dyDescent="0.3">
      <c r="A69" s="27"/>
      <c r="B69" s="11" t="str">
        <f>CONCATENATE("          ", "6286", " - ", "LAUNDRY EXPENSE")</f>
        <v xml:space="preserve">          6286 - LAUNDRY EXPENSE</v>
      </c>
      <c r="C69" s="11"/>
      <c r="D69" s="6">
        <v>20.7</v>
      </c>
      <c r="E69" s="2"/>
      <c r="F69" s="7">
        <f t="shared" si="44"/>
        <v>4.4720023487734075E-4</v>
      </c>
      <c r="G69" s="2"/>
      <c r="H69" s="6">
        <v>30</v>
      </c>
      <c r="I69" s="2"/>
      <c r="J69" s="7">
        <f t="shared" si="45"/>
        <v>1.2344662990700355E-3</v>
      </c>
      <c r="K69" s="2"/>
      <c r="L69" s="6">
        <f t="shared" si="46"/>
        <v>-9.3000000000000007</v>
      </c>
      <c r="M69" s="2"/>
      <c r="N69" s="7">
        <f t="shared" si="47"/>
        <v>-0.31</v>
      </c>
      <c r="O69" s="11"/>
      <c r="P69" s="6">
        <v>276.14</v>
      </c>
      <c r="Q69" s="2"/>
      <c r="R69" s="7">
        <f t="shared" si="48"/>
        <v>1.2825097099695368E-3</v>
      </c>
      <c r="S69" s="2"/>
      <c r="T69" s="6">
        <v>170</v>
      </c>
      <c r="U69" s="2"/>
      <c r="V69" s="7">
        <f t="shared" si="49"/>
        <v>1.5828235710361909E-3</v>
      </c>
      <c r="W69" s="2"/>
      <c r="X69" s="6">
        <f t="shared" si="50"/>
        <v>106.13999999999999</v>
      </c>
      <c r="Y69" s="2"/>
      <c r="Z69" s="7">
        <f t="shared" si="51"/>
        <v>0.62435294117647056</v>
      </c>
    </row>
    <row r="70" spans="1:26" s="29" customFormat="1" outlineLevel="1" collapsed="1" x14ac:dyDescent="0.3">
      <c r="A70" s="28"/>
      <c r="B70" s="14" t="str">
        <f>CONCATENATE("     ","Subscriptions &amp; Dues                              ")</f>
        <v xml:space="preserve">     Subscriptions &amp; Dues                              </v>
      </c>
      <c r="C70" s="14"/>
      <c r="D70" s="1">
        <f>SUM(OSRRefD22_11x_0)</f>
        <v>44.9</v>
      </c>
      <c r="E70" s="1"/>
      <c r="F70" s="5">
        <f t="shared" ref="F70:F80" si="52">IF(D$12=0,0,D70/D$12)</f>
        <v>9.7001403603828981E-4</v>
      </c>
      <c r="G70" s="1"/>
      <c r="H70" s="1">
        <f>SUM(OSRRefH22_11x_0)</f>
        <v>30</v>
      </c>
      <c r="I70" s="1"/>
      <c r="J70" s="5">
        <f t="shared" ref="J70:J80" si="53">IF(H$12=0,0,H70/H$12)</f>
        <v>1.2344662990700355E-3</v>
      </c>
      <c r="K70" s="1"/>
      <c r="L70" s="1">
        <f t="shared" ref="L70:L80" si="54">+D70-H70</f>
        <v>14.899999999999999</v>
      </c>
      <c r="M70" s="1"/>
      <c r="N70" s="5">
        <f t="shared" ref="N70:N80" si="55">IF(H70=0,0,L70/H70)</f>
        <v>0.49666666666666665</v>
      </c>
      <c r="O70" s="14"/>
      <c r="P70" s="1">
        <f>SUM(OSRRefP22_11x_0)</f>
        <v>217.94</v>
      </c>
      <c r="Q70" s="1"/>
      <c r="R70" s="5">
        <f t="shared" ref="R70:R80" si="56">IF(P$12=0,0,P70/P$12)</f>
        <v>1.0122045563509844E-3</v>
      </c>
      <c r="S70" s="1"/>
      <c r="T70" s="1">
        <f>SUM(OSRRefT22_11x_0)</f>
        <v>120</v>
      </c>
      <c r="U70" s="1"/>
      <c r="V70" s="5">
        <f t="shared" ref="V70:V80" si="57">IF(T$12=0,0,T70/T$12)</f>
        <v>1.1172872266137818E-3</v>
      </c>
      <c r="W70" s="1"/>
      <c r="X70" s="1">
        <f t="shared" ref="X70:X80" si="58">+P70-T70</f>
        <v>97.94</v>
      </c>
      <c r="Y70" s="1"/>
      <c r="Z70" s="5">
        <f t="shared" ref="Z70:Z80" si="59">IF(T70=0,0,X70/T70)</f>
        <v>0.8161666666666666</v>
      </c>
    </row>
    <row r="71" spans="1:26" s="24" customFormat="1" hidden="1" outlineLevel="2" x14ac:dyDescent="0.3">
      <c r="A71" s="27"/>
      <c r="B71" s="11" t="str">
        <f>CONCATENATE("          ", "6275", " - ", "SUBSCRIPTIONS")</f>
        <v xml:space="preserve">          6275 - SUBSCRIPTIONS</v>
      </c>
      <c r="C71" s="11"/>
      <c r="D71" s="6">
        <v>44.9</v>
      </c>
      <c r="E71" s="2"/>
      <c r="F71" s="7">
        <f t="shared" si="52"/>
        <v>9.7001403603828981E-4</v>
      </c>
      <c r="G71" s="2"/>
      <c r="H71" s="6">
        <v>30</v>
      </c>
      <c r="I71" s="2"/>
      <c r="J71" s="7">
        <f t="shared" si="53"/>
        <v>1.2344662990700355E-3</v>
      </c>
      <c r="K71" s="2"/>
      <c r="L71" s="6">
        <f t="shared" si="54"/>
        <v>14.899999999999999</v>
      </c>
      <c r="M71" s="2"/>
      <c r="N71" s="7">
        <f t="shared" si="55"/>
        <v>0.49666666666666665</v>
      </c>
      <c r="O71" s="11"/>
      <c r="P71" s="6">
        <v>217.94</v>
      </c>
      <c r="Q71" s="2"/>
      <c r="R71" s="7">
        <f t="shared" si="56"/>
        <v>1.0122045563509844E-3</v>
      </c>
      <c r="S71" s="2"/>
      <c r="T71" s="6">
        <v>120</v>
      </c>
      <c r="U71" s="2"/>
      <c r="V71" s="7">
        <f t="shared" si="57"/>
        <v>1.1172872266137818E-3</v>
      </c>
      <c r="W71" s="2"/>
      <c r="X71" s="6">
        <f t="shared" si="58"/>
        <v>97.94</v>
      </c>
      <c r="Y71" s="2"/>
      <c r="Z71" s="7">
        <f t="shared" si="59"/>
        <v>0.8161666666666666</v>
      </c>
    </row>
    <row r="72" spans="1:26" s="29" customFormat="1" outlineLevel="1" collapsed="1" x14ac:dyDescent="0.3">
      <c r="A72" s="28"/>
      <c r="B72" s="14" t="str">
        <f>CONCATENATE("     ","Supplies                                          ")</f>
        <v xml:space="preserve">     Supplies                                          </v>
      </c>
      <c r="C72" s="14"/>
      <c r="D72" s="1">
        <f>SUM(OSRRefD22_12x_0)</f>
        <v>409.18</v>
      </c>
      <c r="E72" s="1"/>
      <c r="F72" s="5">
        <f t="shared" si="52"/>
        <v>8.8398740148362461E-3</v>
      </c>
      <c r="G72" s="1"/>
      <c r="H72" s="1">
        <f>SUM(OSRRefH22_12x_0)</f>
        <v>475</v>
      </c>
      <c r="I72" s="1"/>
      <c r="J72" s="5">
        <f t="shared" si="53"/>
        <v>1.9545716401942227E-2</v>
      </c>
      <c r="K72" s="1"/>
      <c r="L72" s="1">
        <f t="shared" si="54"/>
        <v>-65.819999999999993</v>
      </c>
      <c r="M72" s="1"/>
      <c r="N72" s="5">
        <f t="shared" si="55"/>
        <v>-0.13856842105263156</v>
      </c>
      <c r="O72" s="14"/>
      <c r="P72" s="1">
        <f>SUM(OSRRefP22_12x_0)</f>
        <v>4790.5599999999995</v>
      </c>
      <c r="Q72" s="1"/>
      <c r="R72" s="5">
        <f t="shared" si="56"/>
        <v>2.2249365235719794E-2</v>
      </c>
      <c r="S72" s="1"/>
      <c r="T72" s="1">
        <f>SUM(OSRRefT22_12x_0)</f>
        <v>3850</v>
      </c>
      <c r="U72" s="1"/>
      <c r="V72" s="5">
        <f t="shared" si="57"/>
        <v>3.5846298520525496E-2</v>
      </c>
      <c r="W72" s="1"/>
      <c r="X72" s="1">
        <f t="shared" si="58"/>
        <v>940.55999999999949</v>
      </c>
      <c r="Y72" s="1"/>
      <c r="Z72" s="5">
        <f t="shared" si="59"/>
        <v>0.24430129870129857</v>
      </c>
    </row>
    <row r="73" spans="1:26" s="24" customFormat="1" hidden="1" outlineLevel="2" x14ac:dyDescent="0.3">
      <c r="A73" s="27"/>
      <c r="B73" s="11" t="str">
        <f>CONCATENATE("          ", "6235", " - ", "COVID-19 EXPENSES")</f>
        <v xml:space="preserve">          6235 - COVID-19 EXPENSES</v>
      </c>
      <c r="C73" s="11"/>
      <c r="D73" s="6"/>
      <c r="E73" s="2"/>
      <c r="F73" s="7">
        <f t="shared" si="52"/>
        <v>0</v>
      </c>
      <c r="G73" s="2"/>
      <c r="H73" s="6">
        <v>75</v>
      </c>
      <c r="I73" s="2"/>
      <c r="J73" s="7">
        <f t="shared" si="53"/>
        <v>3.0861657476750886E-3</v>
      </c>
      <c r="K73" s="2"/>
      <c r="L73" s="6">
        <f t="shared" si="54"/>
        <v>-75</v>
      </c>
      <c r="M73" s="2"/>
      <c r="N73" s="7">
        <f t="shared" si="55"/>
        <v>-1</v>
      </c>
      <c r="O73" s="11"/>
      <c r="P73" s="6">
        <v>193.5</v>
      </c>
      <c r="Q73" s="2"/>
      <c r="R73" s="7">
        <f t="shared" si="56"/>
        <v>8.9869496950498076E-4</v>
      </c>
      <c r="S73" s="2"/>
      <c r="T73" s="6">
        <v>550</v>
      </c>
      <c r="U73" s="2"/>
      <c r="V73" s="7">
        <f t="shared" si="57"/>
        <v>5.1208997886464996E-3</v>
      </c>
      <c r="W73" s="2"/>
      <c r="X73" s="6">
        <f t="shared" si="58"/>
        <v>-356.5</v>
      </c>
      <c r="Y73" s="2"/>
      <c r="Z73" s="7">
        <f t="shared" si="59"/>
        <v>-0.64818181818181819</v>
      </c>
    </row>
    <row r="74" spans="1:26" s="24" customFormat="1" hidden="1" outlineLevel="2" x14ac:dyDescent="0.3">
      <c r="A74" s="27"/>
      <c r="B74" s="11" t="str">
        <f>CONCATENATE("          ", "6237", " - ", "JANITORIAL SUPPLIES")</f>
        <v xml:space="preserve">          6237 - JANITORIAL SUPPLIES</v>
      </c>
      <c r="C74" s="11"/>
      <c r="D74" s="6"/>
      <c r="E74" s="2"/>
      <c r="F74" s="7">
        <f t="shared" si="52"/>
        <v>0</v>
      </c>
      <c r="G74" s="2"/>
      <c r="H74" s="6">
        <v>150</v>
      </c>
      <c r="I74" s="2"/>
      <c r="J74" s="7">
        <f t="shared" si="53"/>
        <v>6.1723314953501772E-3</v>
      </c>
      <c r="K74" s="2"/>
      <c r="L74" s="6">
        <f t="shared" si="54"/>
        <v>-150</v>
      </c>
      <c r="M74" s="2"/>
      <c r="N74" s="7">
        <f t="shared" si="55"/>
        <v>-1</v>
      </c>
      <c r="O74" s="11"/>
      <c r="P74" s="6">
        <v>48.12</v>
      </c>
      <c r="Q74" s="2"/>
      <c r="R74" s="7">
        <f t="shared" si="56"/>
        <v>2.2348941567224635E-4</v>
      </c>
      <c r="S74" s="2"/>
      <c r="T74" s="6">
        <v>550</v>
      </c>
      <c r="U74" s="2"/>
      <c r="V74" s="7">
        <f t="shared" si="57"/>
        <v>5.1208997886464996E-3</v>
      </c>
      <c r="W74" s="2"/>
      <c r="X74" s="6">
        <f t="shared" si="58"/>
        <v>-501.88</v>
      </c>
      <c r="Y74" s="2"/>
      <c r="Z74" s="7">
        <f t="shared" si="59"/>
        <v>-0.91250909090909094</v>
      </c>
    </row>
    <row r="75" spans="1:26" s="24" customFormat="1" hidden="1" outlineLevel="2" x14ac:dyDescent="0.3">
      <c r="A75" s="27"/>
      <c r="B75" s="11" t="str">
        <f>CONCATENATE("          ", "6239", " - ", "KITCHEN SUPPLIES")</f>
        <v xml:space="preserve">          6239 - KITCHEN SUPPLIES</v>
      </c>
      <c r="C75" s="11"/>
      <c r="D75" s="6">
        <v>105.7</v>
      </c>
      <c r="E75" s="2"/>
      <c r="F75" s="7">
        <f t="shared" si="52"/>
        <v>2.2835297017649719E-3</v>
      </c>
      <c r="G75" s="2"/>
      <c r="H75" s="6"/>
      <c r="I75" s="2"/>
      <c r="J75" s="7">
        <f t="shared" si="53"/>
        <v>0</v>
      </c>
      <c r="K75" s="2"/>
      <c r="L75" s="6">
        <f t="shared" si="54"/>
        <v>105.7</v>
      </c>
      <c r="M75" s="2"/>
      <c r="N75" s="7">
        <f t="shared" si="55"/>
        <v>0</v>
      </c>
      <c r="O75" s="11"/>
      <c r="P75" s="6">
        <v>874.86</v>
      </c>
      <c r="Q75" s="2"/>
      <c r="R75" s="7">
        <f t="shared" si="56"/>
        <v>4.063215922589806E-3</v>
      </c>
      <c r="S75" s="2"/>
      <c r="T75" s="6">
        <v>100</v>
      </c>
      <c r="U75" s="2"/>
      <c r="V75" s="7">
        <f t="shared" si="57"/>
        <v>9.3107268884481812E-4</v>
      </c>
      <c r="W75" s="2"/>
      <c r="X75" s="6">
        <f t="shared" si="58"/>
        <v>774.86</v>
      </c>
      <c r="Y75" s="2"/>
      <c r="Z75" s="7">
        <f t="shared" si="59"/>
        <v>7.7485999999999997</v>
      </c>
    </row>
    <row r="76" spans="1:26" s="24" customFormat="1" hidden="1" outlineLevel="2" x14ac:dyDescent="0.3">
      <c r="A76" s="27"/>
      <c r="B76" s="11" t="str">
        <f>CONCATENATE("          ", "6241", " - ", "OFFICE EXPENSE")</f>
        <v xml:space="preserve">          6241 - OFFICE EXPENSE</v>
      </c>
      <c r="C76" s="11"/>
      <c r="D76" s="6">
        <v>110.53</v>
      </c>
      <c r="E76" s="2"/>
      <c r="F76" s="7">
        <f t="shared" si="52"/>
        <v>2.3878764232363515E-3</v>
      </c>
      <c r="G76" s="2"/>
      <c r="H76" s="6"/>
      <c r="I76" s="2"/>
      <c r="J76" s="7">
        <f t="shared" si="53"/>
        <v>0</v>
      </c>
      <c r="K76" s="2"/>
      <c r="L76" s="6">
        <f t="shared" si="54"/>
        <v>110.53</v>
      </c>
      <c r="M76" s="2"/>
      <c r="N76" s="7">
        <f t="shared" si="55"/>
        <v>0</v>
      </c>
      <c r="O76" s="11"/>
      <c r="P76" s="6">
        <v>1742.61</v>
      </c>
      <c r="Q76" s="2"/>
      <c r="R76" s="7">
        <f t="shared" si="56"/>
        <v>8.0934100300210556E-3</v>
      </c>
      <c r="S76" s="2"/>
      <c r="T76" s="6">
        <v>100</v>
      </c>
      <c r="U76" s="2"/>
      <c r="V76" s="7">
        <f t="shared" si="57"/>
        <v>9.3107268884481812E-4</v>
      </c>
      <c r="W76" s="2"/>
      <c r="X76" s="6">
        <f t="shared" si="58"/>
        <v>1642.61</v>
      </c>
      <c r="Y76" s="2"/>
      <c r="Z76" s="7">
        <f t="shared" si="59"/>
        <v>16.426099999999998</v>
      </c>
    </row>
    <row r="77" spans="1:26" s="24" customFormat="1" hidden="1" outlineLevel="2" x14ac:dyDescent="0.3">
      <c r="A77" s="27"/>
      <c r="B77" s="11" t="str">
        <f>CONCATENATE("          ", "6243", " - ", "PAPER SUPPLIES")</f>
        <v xml:space="preserve">          6243 - PAPER SUPPLIES</v>
      </c>
      <c r="C77" s="11"/>
      <c r="D77" s="6"/>
      <c r="E77" s="2"/>
      <c r="F77" s="7">
        <f t="shared" si="52"/>
        <v>0</v>
      </c>
      <c r="G77" s="2"/>
      <c r="H77" s="6">
        <v>200</v>
      </c>
      <c r="I77" s="2"/>
      <c r="J77" s="7">
        <f t="shared" si="53"/>
        <v>8.2297753271335684E-3</v>
      </c>
      <c r="K77" s="2"/>
      <c r="L77" s="6">
        <f t="shared" si="54"/>
        <v>-200</v>
      </c>
      <c r="M77" s="2"/>
      <c r="N77" s="7">
        <f t="shared" si="55"/>
        <v>-1</v>
      </c>
      <c r="O77" s="11"/>
      <c r="P77" s="6">
        <v>444.91</v>
      </c>
      <c r="Q77" s="2"/>
      <c r="R77" s="7">
        <f t="shared" si="56"/>
        <v>2.0663482112788681E-3</v>
      </c>
      <c r="S77" s="2"/>
      <c r="T77" s="6">
        <v>1200</v>
      </c>
      <c r="U77" s="2"/>
      <c r="V77" s="7">
        <f t="shared" si="57"/>
        <v>1.1172872266137817E-2</v>
      </c>
      <c r="W77" s="2"/>
      <c r="X77" s="6">
        <f t="shared" si="58"/>
        <v>-755.08999999999992</v>
      </c>
      <c r="Y77" s="2"/>
      <c r="Z77" s="7">
        <f t="shared" si="59"/>
        <v>-0.62924166666666659</v>
      </c>
    </row>
    <row r="78" spans="1:26" s="24" customFormat="1" hidden="1" outlineLevel="2" x14ac:dyDescent="0.3">
      <c r="A78" s="27"/>
      <c r="B78" s="11" t="str">
        <f>CONCATENATE("          ", "6245", " - ", "PRINTING")</f>
        <v xml:space="preserve">          6245 - PRINTING</v>
      </c>
      <c r="C78" s="11"/>
      <c r="D78" s="6"/>
      <c r="E78" s="2"/>
      <c r="F78" s="7">
        <f t="shared" si="52"/>
        <v>0</v>
      </c>
      <c r="G78" s="2"/>
      <c r="H78" s="6">
        <v>50</v>
      </c>
      <c r="I78" s="2"/>
      <c r="J78" s="7">
        <f t="shared" si="53"/>
        <v>2.0574438317833921E-3</v>
      </c>
      <c r="K78" s="2"/>
      <c r="L78" s="6">
        <f t="shared" si="54"/>
        <v>-50</v>
      </c>
      <c r="M78" s="2"/>
      <c r="N78" s="7">
        <f t="shared" si="55"/>
        <v>-1</v>
      </c>
      <c r="O78" s="11"/>
      <c r="P78" s="6">
        <v>733</v>
      </c>
      <c r="Q78" s="2"/>
      <c r="R78" s="7">
        <f t="shared" si="56"/>
        <v>3.4043587216907021E-3</v>
      </c>
      <c r="S78" s="2"/>
      <c r="T78" s="6">
        <v>550</v>
      </c>
      <c r="U78" s="2"/>
      <c r="V78" s="7">
        <f t="shared" si="57"/>
        <v>5.1208997886464996E-3</v>
      </c>
      <c r="W78" s="2"/>
      <c r="X78" s="6">
        <f t="shared" si="58"/>
        <v>183</v>
      </c>
      <c r="Y78" s="2"/>
      <c r="Z78" s="7">
        <f t="shared" si="59"/>
        <v>0.3327272727272727</v>
      </c>
    </row>
    <row r="79" spans="1:26" s="24" customFormat="1" hidden="1" outlineLevel="2" x14ac:dyDescent="0.3">
      <c r="A79" s="27"/>
      <c r="B79" s="11" t="str">
        <f>CONCATENATE("          ", "6247", " - ", "STORE SUPPLIES")</f>
        <v xml:space="preserve">          6247 - STORE SUPPLIES</v>
      </c>
      <c r="C79" s="11"/>
      <c r="D79" s="6">
        <v>-60</v>
      </c>
      <c r="E79" s="2"/>
      <c r="F79" s="7">
        <f t="shared" si="52"/>
        <v>-1.2962325648618574E-3</v>
      </c>
      <c r="G79" s="2"/>
      <c r="H79" s="6"/>
      <c r="I79" s="2"/>
      <c r="J79" s="7">
        <f t="shared" si="53"/>
        <v>0</v>
      </c>
      <c r="K79" s="2"/>
      <c r="L79" s="6">
        <f t="shared" si="54"/>
        <v>-60</v>
      </c>
      <c r="M79" s="2"/>
      <c r="N79" s="7">
        <f t="shared" si="55"/>
        <v>0</v>
      </c>
      <c r="O79" s="11"/>
      <c r="P79" s="6">
        <v>500.61</v>
      </c>
      <c r="Q79" s="2"/>
      <c r="R79" s="7">
        <f t="shared" si="56"/>
        <v>2.3250423187797849E-3</v>
      </c>
      <c r="S79" s="2"/>
      <c r="T79" s="6"/>
      <c r="U79" s="2"/>
      <c r="V79" s="7">
        <f t="shared" si="57"/>
        <v>0</v>
      </c>
      <c r="W79" s="2"/>
      <c r="X79" s="6">
        <f t="shared" si="58"/>
        <v>500.61</v>
      </c>
      <c r="Y79" s="2"/>
      <c r="Z79" s="7">
        <f t="shared" si="59"/>
        <v>0</v>
      </c>
    </row>
    <row r="80" spans="1:26" s="24" customFormat="1" hidden="1" outlineLevel="2" x14ac:dyDescent="0.3">
      <c r="A80" s="27"/>
      <c r="B80" s="11" t="str">
        <f>CONCATENATE("          ", "6248", " - ", "UNIFORMS")</f>
        <v xml:space="preserve">          6248 - UNIFORMS</v>
      </c>
      <c r="C80" s="11"/>
      <c r="D80" s="6">
        <v>252.95</v>
      </c>
      <c r="E80" s="2"/>
      <c r="F80" s="7">
        <f t="shared" si="52"/>
        <v>5.4647004546967796E-3</v>
      </c>
      <c r="G80" s="2"/>
      <c r="H80" s="6"/>
      <c r="I80" s="2"/>
      <c r="J80" s="7">
        <f t="shared" si="53"/>
        <v>0</v>
      </c>
      <c r="K80" s="2"/>
      <c r="L80" s="6">
        <f t="shared" si="54"/>
        <v>252.95</v>
      </c>
      <c r="M80" s="2"/>
      <c r="N80" s="7">
        <f t="shared" si="55"/>
        <v>0</v>
      </c>
      <c r="O80" s="11"/>
      <c r="P80" s="6">
        <v>252.95</v>
      </c>
      <c r="Q80" s="2"/>
      <c r="R80" s="7">
        <f t="shared" si="56"/>
        <v>1.1748056461823508E-3</v>
      </c>
      <c r="S80" s="2"/>
      <c r="T80" s="6">
        <v>800</v>
      </c>
      <c r="U80" s="2"/>
      <c r="V80" s="7">
        <f t="shared" si="57"/>
        <v>7.448581510758545E-3</v>
      </c>
      <c r="W80" s="2"/>
      <c r="X80" s="6">
        <f t="shared" si="58"/>
        <v>-547.04999999999995</v>
      </c>
      <c r="Y80" s="2"/>
      <c r="Z80" s="7">
        <f t="shared" si="59"/>
        <v>-0.68381249999999993</v>
      </c>
    </row>
    <row r="81" spans="1:26" s="29" customFormat="1" outlineLevel="1" collapsed="1" x14ac:dyDescent="0.3">
      <c r="A81" s="28"/>
      <c r="B81" s="14" t="str">
        <f>CONCATENATE("     ","Telephone/Data Lines                              ")</f>
        <v xml:space="preserve">     Telephone/Data Lines                              </v>
      </c>
      <c r="C81" s="14"/>
      <c r="D81" s="1">
        <f>SUM(OSRRefD22_13x_0)</f>
        <v>75</v>
      </c>
      <c r="E81" s="1"/>
      <c r="F81" s="5">
        <f t="shared" ref="F81:F86" si="60">IF(D$12=0,0,D81/D$12)</f>
        <v>1.6202907060773215E-3</v>
      </c>
      <c r="G81" s="1"/>
      <c r="H81" s="1">
        <f>SUM(OSRRefH22_13x_0)</f>
        <v>150</v>
      </c>
      <c r="I81" s="1"/>
      <c r="J81" s="5">
        <f t="shared" ref="J81:J86" si="61">IF(H$12=0,0,H81/H$12)</f>
        <v>6.1723314953501772E-3</v>
      </c>
      <c r="K81" s="1"/>
      <c r="L81" s="1">
        <f t="shared" ref="L81:L86" si="62">+D81-H81</f>
        <v>-75</v>
      </c>
      <c r="M81" s="1"/>
      <c r="N81" s="5">
        <f t="shared" ref="N81:N86" si="63">IF(H81=0,0,L81/H81)</f>
        <v>-0.5</v>
      </c>
      <c r="O81" s="14"/>
      <c r="P81" s="1">
        <f>SUM(OSRRefP22_13x_0)</f>
        <v>600</v>
      </c>
      <c r="Q81" s="1"/>
      <c r="R81" s="5">
        <f t="shared" ref="R81:R86" si="64">IF(P$12=0,0,P81/P$12)</f>
        <v>2.7866510682324984E-3</v>
      </c>
      <c r="S81" s="1"/>
      <c r="T81" s="1">
        <f>SUM(OSRRefT22_13x_0)</f>
        <v>750</v>
      </c>
      <c r="U81" s="1"/>
      <c r="V81" s="5">
        <f t="shared" ref="V81:V86" si="65">IF(T$12=0,0,T81/T$12)</f>
        <v>6.9830451663361361E-3</v>
      </c>
      <c r="W81" s="1"/>
      <c r="X81" s="1">
        <f t="shared" ref="X81:X86" si="66">+P81-T81</f>
        <v>-150</v>
      </c>
      <c r="Y81" s="1"/>
      <c r="Z81" s="5">
        <f t="shared" ref="Z81:Z86" si="67">IF(T81=0,0,X81/T81)</f>
        <v>-0.2</v>
      </c>
    </row>
    <row r="82" spans="1:26" s="24" customFormat="1" hidden="1" outlineLevel="2" x14ac:dyDescent="0.3">
      <c r="A82" s="27"/>
      <c r="B82" s="11" t="str">
        <f>CONCATENATE("          ", "6309", " - ", "TELEPHONE")</f>
        <v xml:space="preserve">          6309 - TELEPHONE</v>
      </c>
      <c r="C82" s="11"/>
      <c r="D82" s="6">
        <v>75</v>
      </c>
      <c r="E82" s="2"/>
      <c r="F82" s="7">
        <f t="shared" si="60"/>
        <v>1.6202907060773215E-3</v>
      </c>
      <c r="G82" s="2"/>
      <c r="H82" s="6">
        <v>150</v>
      </c>
      <c r="I82" s="2"/>
      <c r="J82" s="7">
        <f t="shared" si="61"/>
        <v>6.1723314953501772E-3</v>
      </c>
      <c r="K82" s="2"/>
      <c r="L82" s="6">
        <f t="shared" si="62"/>
        <v>-75</v>
      </c>
      <c r="M82" s="2"/>
      <c r="N82" s="7">
        <f t="shared" si="63"/>
        <v>-0.5</v>
      </c>
      <c r="O82" s="11"/>
      <c r="P82" s="6">
        <v>600</v>
      </c>
      <c r="Q82" s="2"/>
      <c r="R82" s="7">
        <f t="shared" si="64"/>
        <v>2.7866510682324984E-3</v>
      </c>
      <c r="S82" s="2"/>
      <c r="T82" s="6">
        <v>750</v>
      </c>
      <c r="U82" s="2"/>
      <c r="V82" s="7">
        <f t="shared" si="65"/>
        <v>6.9830451663361361E-3</v>
      </c>
      <c r="W82" s="2"/>
      <c r="X82" s="6">
        <f t="shared" si="66"/>
        <v>-150</v>
      </c>
      <c r="Y82" s="2"/>
      <c r="Z82" s="7">
        <f t="shared" si="67"/>
        <v>-0.2</v>
      </c>
    </row>
    <row r="83" spans="1:26" s="29" customFormat="1" outlineLevel="1" collapsed="1" x14ac:dyDescent="0.3">
      <c r="A83" s="28"/>
      <c r="B83" s="14" t="str">
        <f>CONCATENATE("     ","Training                                          ")</f>
        <v xml:space="preserve">     Training                                          </v>
      </c>
      <c r="C83" s="14"/>
      <c r="D83" s="1">
        <f>SUM(OSRRefD22_14x_0)</f>
        <v>0</v>
      </c>
      <c r="E83" s="1"/>
      <c r="F83" s="5">
        <f t="shared" si="60"/>
        <v>0</v>
      </c>
      <c r="G83" s="1"/>
      <c r="H83" s="1">
        <f>SUM(OSRRefH22_14x_0)</f>
        <v>0</v>
      </c>
      <c r="I83" s="1"/>
      <c r="J83" s="5">
        <f t="shared" si="61"/>
        <v>0</v>
      </c>
      <c r="K83" s="1"/>
      <c r="L83" s="1">
        <f t="shared" si="62"/>
        <v>0</v>
      </c>
      <c r="M83" s="1"/>
      <c r="N83" s="5">
        <f t="shared" si="63"/>
        <v>0</v>
      </c>
      <c r="O83" s="14"/>
      <c r="P83" s="1">
        <f>SUM(OSRRefP22_14x_0)</f>
        <v>0</v>
      </c>
      <c r="Q83" s="1"/>
      <c r="R83" s="5">
        <f t="shared" si="64"/>
        <v>0</v>
      </c>
      <c r="S83" s="1"/>
      <c r="T83" s="1">
        <f>SUM(OSRRefT22_14x_0)</f>
        <v>200</v>
      </c>
      <c r="U83" s="1"/>
      <c r="V83" s="5">
        <f t="shared" si="65"/>
        <v>1.8621453776896362E-3</v>
      </c>
      <c r="W83" s="1"/>
      <c r="X83" s="1">
        <f t="shared" si="66"/>
        <v>-200</v>
      </c>
      <c r="Y83" s="1"/>
      <c r="Z83" s="5">
        <f t="shared" si="67"/>
        <v>-1</v>
      </c>
    </row>
    <row r="84" spans="1:26" s="24" customFormat="1" hidden="1" outlineLevel="2" x14ac:dyDescent="0.3">
      <c r="A84" s="27"/>
      <c r="B84" s="11" t="str">
        <f>CONCATENATE("          ", "6376", " - ", "TRAINING")</f>
        <v xml:space="preserve">          6376 - TRAINING</v>
      </c>
      <c r="C84" s="11"/>
      <c r="D84" s="6"/>
      <c r="E84" s="2"/>
      <c r="F84" s="7">
        <f t="shared" si="60"/>
        <v>0</v>
      </c>
      <c r="G84" s="2"/>
      <c r="H84" s="6"/>
      <c r="I84" s="2"/>
      <c r="J84" s="7">
        <f t="shared" si="61"/>
        <v>0</v>
      </c>
      <c r="K84" s="2"/>
      <c r="L84" s="6">
        <f t="shared" si="62"/>
        <v>0</v>
      </c>
      <c r="M84" s="2"/>
      <c r="N84" s="7">
        <f t="shared" si="63"/>
        <v>0</v>
      </c>
      <c r="O84" s="11"/>
      <c r="P84" s="6"/>
      <c r="Q84" s="2"/>
      <c r="R84" s="7">
        <f t="shared" si="64"/>
        <v>0</v>
      </c>
      <c r="S84" s="2"/>
      <c r="T84" s="6">
        <v>200</v>
      </c>
      <c r="U84" s="2"/>
      <c r="V84" s="7">
        <f t="shared" si="65"/>
        <v>1.8621453776896362E-3</v>
      </c>
      <c r="W84" s="2"/>
      <c r="X84" s="6">
        <f t="shared" si="66"/>
        <v>-200</v>
      </c>
      <c r="Y84" s="2"/>
      <c r="Z84" s="7">
        <f t="shared" si="67"/>
        <v>-1</v>
      </c>
    </row>
    <row r="85" spans="1:26" s="29" customFormat="1" outlineLevel="1" collapsed="1" x14ac:dyDescent="0.3">
      <c r="A85" s="28"/>
      <c r="B85" s="14" t="str">
        <f>CONCATENATE("     ","Utilities                                         ")</f>
        <v xml:space="preserve">     Utilities                                         </v>
      </c>
      <c r="C85" s="14"/>
      <c r="D85" s="1">
        <f>SUM(OSRRefD22_15x_0)</f>
        <v>200</v>
      </c>
      <c r="E85" s="1"/>
      <c r="F85" s="5">
        <f t="shared" si="60"/>
        <v>4.3207752162061908E-3</v>
      </c>
      <c r="G85" s="1"/>
      <c r="H85" s="1">
        <f>SUM(OSRRefH22_15x_0)</f>
        <v>200</v>
      </c>
      <c r="I85" s="1"/>
      <c r="J85" s="5">
        <f t="shared" si="61"/>
        <v>8.2297753271335684E-3</v>
      </c>
      <c r="K85" s="1"/>
      <c r="L85" s="1">
        <f t="shared" si="62"/>
        <v>0</v>
      </c>
      <c r="M85" s="1"/>
      <c r="N85" s="5">
        <f t="shared" si="63"/>
        <v>0</v>
      </c>
      <c r="O85" s="14"/>
      <c r="P85" s="1">
        <f>SUM(OSRRefP22_15x_0)</f>
        <v>1000</v>
      </c>
      <c r="Q85" s="1"/>
      <c r="R85" s="5">
        <f t="shared" si="64"/>
        <v>4.6444184470541636E-3</v>
      </c>
      <c r="S85" s="1"/>
      <c r="T85" s="1">
        <f>SUM(OSRRefT22_15x_0)</f>
        <v>1000</v>
      </c>
      <c r="U85" s="1"/>
      <c r="V85" s="5">
        <f t="shared" si="65"/>
        <v>9.3107268884481814E-3</v>
      </c>
      <c r="W85" s="1"/>
      <c r="X85" s="1">
        <f t="shared" si="66"/>
        <v>0</v>
      </c>
      <c r="Y85" s="1"/>
      <c r="Z85" s="5">
        <f t="shared" si="67"/>
        <v>0</v>
      </c>
    </row>
    <row r="86" spans="1:26" s="24" customFormat="1" hidden="1" outlineLevel="2" x14ac:dyDescent="0.3">
      <c r="A86" s="27"/>
      <c r="B86" s="11" t="str">
        <f>CONCATENATE("          ", "6274", " - ", "UTILITIES")</f>
        <v xml:space="preserve">          6274 - UTILITIES</v>
      </c>
      <c r="C86" s="11"/>
      <c r="D86" s="6">
        <v>200</v>
      </c>
      <c r="E86" s="2"/>
      <c r="F86" s="7">
        <f t="shared" si="60"/>
        <v>4.3207752162061908E-3</v>
      </c>
      <c r="G86" s="2"/>
      <c r="H86" s="6">
        <v>200</v>
      </c>
      <c r="I86" s="2"/>
      <c r="J86" s="7">
        <f t="shared" si="61"/>
        <v>8.2297753271335684E-3</v>
      </c>
      <c r="K86" s="2"/>
      <c r="L86" s="6">
        <f t="shared" si="62"/>
        <v>0</v>
      </c>
      <c r="M86" s="2"/>
      <c r="N86" s="7">
        <f t="shared" si="63"/>
        <v>0</v>
      </c>
      <c r="O86" s="11"/>
      <c r="P86" s="6">
        <v>1000</v>
      </c>
      <c r="Q86" s="2"/>
      <c r="R86" s="7">
        <f t="shared" si="64"/>
        <v>4.6444184470541636E-3</v>
      </c>
      <c r="S86" s="2"/>
      <c r="T86" s="6">
        <v>1000</v>
      </c>
      <c r="U86" s="2"/>
      <c r="V86" s="7">
        <f t="shared" si="65"/>
        <v>9.3107268884481814E-3</v>
      </c>
      <c r="W86" s="2"/>
      <c r="X86" s="6">
        <f t="shared" si="66"/>
        <v>0</v>
      </c>
      <c r="Y86" s="2"/>
      <c r="Z86" s="7">
        <f t="shared" si="67"/>
        <v>0</v>
      </c>
    </row>
    <row r="87" spans="1:26" s="63" customFormat="1" x14ac:dyDescent="0.3">
      <c r="A87" s="36"/>
      <c r="B87" s="36"/>
      <c r="C87" s="36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6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3" customFormat="1" collapsed="1" x14ac:dyDescent="0.3">
      <c r="A88" s="10"/>
      <c r="B88" s="25" t="s">
        <v>293</v>
      </c>
      <c r="C88" s="10"/>
      <c r="D88" s="4">
        <f>SUM(OSRRefD25x_0)</f>
        <v>192</v>
      </c>
      <c r="E88" s="4"/>
      <c r="F88" s="12">
        <f t="shared" ref="F88:F89" si="68">IF(D$12=0,0,D88/D$12)</f>
        <v>4.1479442075579437E-3</v>
      </c>
      <c r="G88" s="4"/>
      <c r="H88" s="4">
        <f>SUM(OSRRefH25x_0)</f>
        <v>0</v>
      </c>
      <c r="I88" s="4"/>
      <c r="J88" s="12">
        <f t="shared" ref="J88:J89" si="69">IF(H$12=0,0,H88/H$12)</f>
        <v>0</v>
      </c>
      <c r="K88" s="4"/>
      <c r="L88" s="4">
        <f t="shared" ref="L88:L89" si="70">+D88-H88</f>
        <v>192</v>
      </c>
      <c r="M88" s="4"/>
      <c r="N88" s="12">
        <f t="shared" ref="N88:N89" si="71">IF(H88=0,0,L88/H88)</f>
        <v>0</v>
      </c>
      <c r="O88" s="10"/>
      <c r="P88" s="4">
        <f>SUM(OSRRefP25x_0)</f>
        <v>192</v>
      </c>
      <c r="Q88" s="4"/>
      <c r="R88" s="12">
        <f t="shared" ref="R88:R89" si="72">IF(P$12=0,0,P88/P$12)</f>
        <v>8.9172834183439949E-4</v>
      </c>
      <c r="S88" s="4"/>
      <c r="T88" s="4">
        <f>SUM(OSRRefT25x_0)</f>
        <v>0</v>
      </c>
      <c r="U88" s="4"/>
      <c r="V88" s="12">
        <f t="shared" ref="V88:V89" si="73">IF(T$12=0,0,T88/T$12)</f>
        <v>0</v>
      </c>
      <c r="W88" s="4"/>
      <c r="X88" s="4">
        <f t="shared" ref="X88:X89" si="74">+P88-T88</f>
        <v>192</v>
      </c>
      <c r="Y88" s="4"/>
      <c r="Z88" s="12">
        <f t="shared" ref="Z88:Z89" si="75">IF(T88=0,0,X88/T88)</f>
        <v>0</v>
      </c>
    </row>
    <row r="89" spans="1:26" s="24" customFormat="1" hidden="1" outlineLevel="1" x14ac:dyDescent="0.3">
      <c r="A89" s="44"/>
      <c r="B89" s="11" t="str">
        <f>CONCATENATE("          ", "9150", " - ", "MISC. INCOME")</f>
        <v xml:space="preserve">          9150 - MISC. INCOME</v>
      </c>
      <c r="C89" s="11"/>
      <c r="D89" s="2">
        <f>--192</f>
        <v>192</v>
      </c>
      <c r="E89" s="2"/>
      <c r="F89" s="19">
        <f t="shared" si="68"/>
        <v>4.1479442075579437E-3</v>
      </c>
      <c r="G89" s="2"/>
      <c r="H89" s="2"/>
      <c r="I89" s="2"/>
      <c r="J89" s="19">
        <f t="shared" si="69"/>
        <v>0</v>
      </c>
      <c r="K89" s="2"/>
      <c r="L89" s="2">
        <f t="shared" si="70"/>
        <v>192</v>
      </c>
      <c r="M89" s="2"/>
      <c r="N89" s="19">
        <f t="shared" si="71"/>
        <v>0</v>
      </c>
      <c r="O89" s="11"/>
      <c r="P89" s="2">
        <f>--192</f>
        <v>192</v>
      </c>
      <c r="Q89" s="2"/>
      <c r="R89" s="19">
        <f t="shared" si="72"/>
        <v>8.9172834183439949E-4</v>
      </c>
      <c r="S89" s="2"/>
      <c r="T89" s="2"/>
      <c r="U89" s="2"/>
      <c r="V89" s="19">
        <f t="shared" si="73"/>
        <v>0</v>
      </c>
      <c r="W89" s="2"/>
      <c r="X89" s="2">
        <f t="shared" si="74"/>
        <v>192</v>
      </c>
      <c r="Y89" s="2"/>
      <c r="Z89" s="19">
        <f t="shared" si="75"/>
        <v>0</v>
      </c>
    </row>
    <row r="90" spans="1:26" x14ac:dyDescent="0.3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3">
      <c r="A91" s="10"/>
      <c r="B91" s="26" t="s">
        <v>277</v>
      </c>
      <c r="C91" s="26"/>
      <c r="D91" s="20">
        <f>+D23-D25+D88</f>
        <v>-9356.7599999999911</v>
      </c>
      <c r="E91" s="13"/>
      <c r="F91" s="22">
        <f>IF(D$12=0,0,D91/D$12)</f>
        <v>-0.20214228355994701</v>
      </c>
      <c r="G91" s="13"/>
      <c r="H91" s="20">
        <f>+H23-H25+H88</f>
        <v>-14406.314307692304</v>
      </c>
      <c r="I91" s="13"/>
      <c r="J91" s="22">
        <f>IF(H$12=0,0,H91/H$12)</f>
        <v>-0.5928036502218873</v>
      </c>
      <c r="K91" s="15"/>
      <c r="L91" s="20">
        <f>+D91-H91</f>
        <v>5049.5543076923132</v>
      </c>
      <c r="M91" s="15"/>
      <c r="N91" s="22">
        <f>IF(H91=0,0,L91/H91)</f>
        <v>-0.35050979729048987</v>
      </c>
      <c r="O91" s="25"/>
      <c r="P91" s="20">
        <f>+P23-P25+P88</f>
        <v>-34366.079999999929</v>
      </c>
      <c r="Q91" s="13"/>
      <c r="R91" s="22">
        <f>IF(P$12=0,0,P91/P$12)</f>
        <v>-0.15961045590493883</v>
      </c>
      <c r="S91" s="13"/>
      <c r="T91" s="20">
        <f>+T23-T25+T88</f>
        <v>-86409.873562307737</v>
      </c>
      <c r="U91" s="13"/>
      <c r="V91" s="22">
        <f>IF(T$12=0,0,T91/T$12)</f>
        <v>-0.80453873320398628</v>
      </c>
      <c r="W91" s="15"/>
      <c r="X91" s="20">
        <f>+P91-T91</f>
        <v>52043.793562307808</v>
      </c>
      <c r="Y91" s="15"/>
      <c r="Z91" s="22">
        <f>IF(T91=0,0,X91/T91)</f>
        <v>-0.60228989369809094</v>
      </c>
    </row>
    <row r="92" spans="1:26" x14ac:dyDescent="0.3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3">
      <c r="A93" s="52"/>
      <c r="B93" s="10" t="s">
        <v>128</v>
      </c>
      <c r="C93" s="10"/>
      <c r="D93" s="4">
        <v>6108.41</v>
      </c>
      <c r="E93" s="4"/>
      <c r="F93" s="12">
        <f>IF(D$12=0,0,D93/D$12)</f>
        <v>0.13196533269213029</v>
      </c>
      <c r="G93" s="4"/>
      <c r="H93" s="4">
        <v>3871</v>
      </c>
      <c r="I93" s="4"/>
      <c r="J93" s="12">
        <f>IF(H$12=0,0,H93/H$12)</f>
        <v>0.15928730145667022</v>
      </c>
      <c r="K93" s="4"/>
      <c r="L93" s="4">
        <f>+D93-H93</f>
        <v>2237.41</v>
      </c>
      <c r="M93" s="4"/>
      <c r="N93" s="12">
        <f>IF(H93=0,0,L93/H93)</f>
        <v>0.57799276672694389</v>
      </c>
      <c r="O93" s="10"/>
      <c r="P93" s="4">
        <v>25646.21</v>
      </c>
      <c r="Q93" s="4"/>
      <c r="R93" s="12">
        <f>IF(P$12=0,0,P93/P$12)</f>
        <v>0.11911173082102497</v>
      </c>
      <c r="S93" s="4"/>
      <c r="T93" s="4">
        <v>13426</v>
      </c>
      <c r="U93" s="4"/>
      <c r="V93" s="12">
        <f>IF(T$12=0,0,T93/T$12)</f>
        <v>0.12500581920430529</v>
      </c>
      <c r="W93" s="4"/>
      <c r="X93" s="4">
        <f>+P93-T93</f>
        <v>12220.21</v>
      </c>
      <c r="Y93" s="4"/>
      <c r="Z93" s="12">
        <f>IF(T93=0,0,X93/T93)</f>
        <v>0.91018992998659309</v>
      </c>
    </row>
    <row r="94" spans="1:26" x14ac:dyDescent="0.3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" thickBot="1" x14ac:dyDescent="0.35">
      <c r="A95" s="10"/>
      <c r="B95" s="26" t="s">
        <v>126</v>
      </c>
      <c r="C95" s="26"/>
      <c r="D95" s="33">
        <f>+D91-D93</f>
        <v>-15465.169999999991</v>
      </c>
      <c r="E95" s="13"/>
      <c r="F95" s="34">
        <f>IF(D$12=0,0,D95/D$12)</f>
        <v>-0.3341076162520773</v>
      </c>
      <c r="G95" s="13"/>
      <c r="H95" s="33">
        <f>+H91-H93</f>
        <v>-18277.314307692304</v>
      </c>
      <c r="I95" s="13"/>
      <c r="J95" s="34">
        <f>IF(H$12=0,0,H95/H$12)</f>
        <v>-0.75209095167855755</v>
      </c>
      <c r="K95" s="15"/>
      <c r="L95" s="33">
        <f>D95-H95</f>
        <v>2812.1443076923133</v>
      </c>
      <c r="M95" s="15"/>
      <c r="N95" s="34">
        <f>IF(H95=0,0,L95/H95)</f>
        <v>-0.15385982099726636</v>
      </c>
      <c r="O95" s="25"/>
      <c r="P95" s="33">
        <f>+P91-P93</f>
        <v>-60012.289999999928</v>
      </c>
      <c r="Q95" s="13"/>
      <c r="R95" s="34">
        <f>IF(P$12=0,0,P95/P$12)</f>
        <v>-0.27872218672596383</v>
      </c>
      <c r="S95" s="13"/>
      <c r="T95" s="33">
        <f>+T91-T93</f>
        <v>-99835.873562307737</v>
      </c>
      <c r="U95" s="13"/>
      <c r="V95" s="34">
        <f>IF(T$12=0,0,T95/T$12)</f>
        <v>-0.92954455240829159</v>
      </c>
      <c r="W95" s="15"/>
      <c r="X95" s="33">
        <f>P95-T95</f>
        <v>39823.583562307809</v>
      </c>
      <c r="Y95" s="15"/>
      <c r="Z95" s="34">
        <f>IF(T95=0,0,X95/T95)</f>
        <v>-0.39889052042454304</v>
      </c>
    </row>
    <row r="96" spans="1:26" ht="15" thickTop="1" x14ac:dyDescent="0.3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x14ac:dyDescent="0.3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" thickBot="1" x14ac:dyDescent="0.35">
      <c r="A98" s="10"/>
      <c r="B98" s="26" t="s">
        <v>294</v>
      </c>
      <c r="C98" s="26"/>
      <c r="D98" s="35">
        <f>SUM(D95:D97)</f>
        <v>-15465.169999999991</v>
      </c>
      <c r="E98" s="13"/>
      <c r="F98" s="32">
        <f>IF(D$12=0,0,D98/D$12)</f>
        <v>-0.3341076162520773</v>
      </c>
      <c r="G98" s="13"/>
      <c r="H98" s="35">
        <f>SUM(H95:H97)</f>
        <v>-18277.314307692304</v>
      </c>
      <c r="I98" s="13"/>
      <c r="J98" s="32">
        <f>IF(H$12=0,0,H98/H$12)</f>
        <v>-0.75209095167855755</v>
      </c>
      <c r="K98" s="15"/>
      <c r="L98" s="35">
        <f>+D98-H98</f>
        <v>2812.1443076923133</v>
      </c>
      <c r="M98" s="15"/>
      <c r="N98" s="32">
        <f>IF(H98=0,0,L98/H98)</f>
        <v>-0.15385982099726636</v>
      </c>
      <c r="O98" s="25"/>
      <c r="P98" s="35">
        <f>SUM(P95:P97)</f>
        <v>-60012.289999999928</v>
      </c>
      <c r="Q98" s="13"/>
      <c r="R98" s="32">
        <f>IF(P$12=0,0,P98/P$12)</f>
        <v>-0.27872218672596383</v>
      </c>
      <c r="S98" s="13"/>
      <c r="T98" s="35">
        <f>SUM(T95:T97)</f>
        <v>-99835.873562307737</v>
      </c>
      <c r="U98" s="13"/>
      <c r="V98" s="32">
        <f>IF(T$12=0,0,T98/T$12)</f>
        <v>-0.92954455240829159</v>
      </c>
      <c r="W98" s="15"/>
      <c r="X98" s="35">
        <f>+P98-T98</f>
        <v>39823.583562307809</v>
      </c>
      <c r="Y98" s="15"/>
      <c r="Z98" s="32">
        <f>IF(T98=0,0,X98/T98)</f>
        <v>-0.39889052042454304</v>
      </c>
    </row>
    <row r="99" spans="1:26" ht="15" thickTop="1" x14ac:dyDescent="0.3">
      <c r="A99" s="9"/>
      <c r="C99" s="9"/>
      <c r="D99" s="17"/>
      <c r="E99" s="17"/>
      <c r="G99" s="17"/>
      <c r="H99" s="17"/>
      <c r="I99" s="17"/>
      <c r="J99" s="42"/>
      <c r="K99" s="17"/>
      <c r="L99" s="17"/>
      <c r="M99" s="17"/>
      <c r="P99" s="17"/>
      <c r="Q99" s="17"/>
      <c r="R99" s="42"/>
      <c r="S99" s="17"/>
      <c r="T99" s="17"/>
      <c r="U99" s="17"/>
      <c r="V99" s="42"/>
      <c r="W99" s="17"/>
      <c r="X99" s="17"/>
    </row>
    <row r="100" spans="1:26" x14ac:dyDescent="0.3">
      <c r="A100" s="9"/>
      <c r="B100" s="60">
        <v>44543.753113078703</v>
      </c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  <row r="101" spans="1:26" x14ac:dyDescent="0.3">
      <c r="A101" s="9"/>
      <c r="B101" s="58" t="s">
        <v>56</v>
      </c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  <row r="102" spans="1:26" x14ac:dyDescent="0.3">
      <c r="A102" s="9"/>
      <c r="B102" s="55"/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  <row r="103" spans="1:26" x14ac:dyDescent="0.3"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92D050"/>
    <outlinePr summaryBelow="0" summaryRight="0"/>
  </sheetPr>
  <dimension ref="A2:Z3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","406", " - ", "OPA! Greek")</f>
        <v>Department 406 - OPA! Greek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5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1">
        <f>SUM(OSRRefD22x_0)</f>
        <v>0</v>
      </c>
      <c r="E18" s="21"/>
      <c r="F18" s="30">
        <f t="shared" ref="F18:F22" si="0">IF(D$12=0,0,D18/D$12)</f>
        <v>0</v>
      </c>
      <c r="G18" s="21"/>
      <c r="H18" s="21">
        <f>SUM(OSRRefH22x_0)</f>
        <v>0</v>
      </c>
      <c r="I18" s="21"/>
      <c r="J18" s="30">
        <f t="shared" ref="J18:J22" si="1">IF(H$12=0,0,H18/H$12)</f>
        <v>0</v>
      </c>
      <c r="K18" s="4"/>
      <c r="L18" s="21">
        <f t="shared" ref="L18:L22" si="2">+D18-H18</f>
        <v>0</v>
      </c>
      <c r="M18" s="4"/>
      <c r="N18" s="30">
        <f t="shared" ref="N18:N22" si="3">IF(H18=0,0,L18/H18)</f>
        <v>0</v>
      </c>
      <c r="O18" s="10"/>
      <c r="P18" s="21">
        <f>SUM(OSRRefP22x_0)</f>
        <v>69.290000000000006</v>
      </c>
      <c r="Q18" s="21"/>
      <c r="R18" s="30">
        <f t="shared" ref="R18:R22" si="4">IF(P$12=0,0,P18/P$12)</f>
        <v>0</v>
      </c>
      <c r="S18" s="21"/>
      <c r="T18" s="21">
        <f>SUM(OSRRefT22x_0)</f>
        <v>0</v>
      </c>
      <c r="U18" s="21"/>
      <c r="V18" s="30">
        <f t="shared" ref="V18:V22" si="5">IF(T$12=0,0,T18/T$12)</f>
        <v>0</v>
      </c>
      <c r="W18" s="4"/>
      <c r="X18" s="21">
        <f t="shared" ref="X18:X22" si="6">+P18-T18</f>
        <v>69.290000000000006</v>
      </c>
      <c r="Y18" s="4"/>
      <c r="Z18" s="30">
        <f t="shared" ref="Z18:Z22" si="7">IF(T18=0,0,X18/T18)</f>
        <v>0</v>
      </c>
    </row>
    <row r="19" spans="1:26" s="29" customFormat="1" outlineLevel="1" collapsed="1" x14ac:dyDescent="0.3">
      <c r="A19" s="28"/>
      <c r="B19" s="14" t="str">
        <f>CONCATENATE("     ","Repair and Maintenance                            ")</f>
        <v xml:space="preserve">     Repair and Maintenance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69.290000000000006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69.290000000000006</v>
      </c>
      <c r="Y19" s="1"/>
      <c r="Z19" s="5">
        <f t="shared" si="7"/>
        <v>0</v>
      </c>
    </row>
    <row r="20" spans="1:26" s="24" customFormat="1" hidden="1" outlineLevel="2" x14ac:dyDescent="0.3">
      <c r="A20" s="27"/>
      <c r="B20" s="11" t="str">
        <f>CONCATENATE("          ", "6373", " - ", "MAINTENANCE CONTRACTS")</f>
        <v xml:space="preserve">          6373 - MAINTENANCE CONTRACTS</v>
      </c>
      <c r="C20" s="11"/>
      <c r="D20" s="6"/>
      <c r="E20" s="2"/>
      <c r="F20" s="7">
        <f t="shared" si="0"/>
        <v>0</v>
      </c>
      <c r="G20" s="2"/>
      <c r="H20" s="6"/>
      <c r="I20" s="2"/>
      <c r="J20" s="7">
        <f t="shared" si="1"/>
        <v>0</v>
      </c>
      <c r="K20" s="2"/>
      <c r="L20" s="6">
        <f t="shared" si="2"/>
        <v>0</v>
      </c>
      <c r="M20" s="2"/>
      <c r="N20" s="7">
        <f t="shared" si="3"/>
        <v>0</v>
      </c>
      <c r="O20" s="11"/>
      <c r="P20" s="6">
        <v>69.290000000000006</v>
      </c>
      <c r="Q20" s="2"/>
      <c r="R20" s="7">
        <f t="shared" si="4"/>
        <v>0</v>
      </c>
      <c r="S20" s="2"/>
      <c r="T20" s="6"/>
      <c r="U20" s="2"/>
      <c r="V20" s="7">
        <f t="shared" si="5"/>
        <v>0</v>
      </c>
      <c r="W20" s="2"/>
      <c r="X20" s="6">
        <f t="shared" si="6"/>
        <v>69.290000000000006</v>
      </c>
      <c r="Y20" s="2"/>
      <c r="Z20" s="7">
        <f t="shared" si="7"/>
        <v>0</v>
      </c>
    </row>
    <row r="21" spans="1:26" s="29" customFormat="1" outlineLevel="1" collapsed="1" x14ac:dyDescent="0.3">
      <c r="A21" s="28"/>
      <c r="B21" s="14" t="str">
        <f>CONCATENATE("     ","Services                                          ")</f>
        <v xml:space="preserve">     Services              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0</v>
      </c>
      <c r="M21" s="1"/>
      <c r="N21" s="5">
        <f t="shared" si="3"/>
        <v>0</v>
      </c>
      <c r="O21" s="14"/>
      <c r="P21" s="1">
        <f>SUM(OSRRefP22_1x_0)</f>
        <v>0</v>
      </c>
      <c r="Q21" s="1"/>
      <c r="R21" s="5">
        <f t="shared" si="4"/>
        <v>0</v>
      </c>
      <c r="S21" s="1"/>
      <c r="T21" s="1">
        <f>SUM(OSRRefT22_1x_0)</f>
        <v>0</v>
      </c>
      <c r="U21" s="1"/>
      <c r="V21" s="5">
        <f t="shared" si="5"/>
        <v>0</v>
      </c>
      <c r="W21" s="1"/>
      <c r="X21" s="1">
        <f t="shared" si="6"/>
        <v>0</v>
      </c>
      <c r="Y21" s="1"/>
      <c r="Z21" s="5">
        <f t="shared" si="7"/>
        <v>0</v>
      </c>
    </row>
    <row r="22" spans="1:26" s="24" customFormat="1" hidden="1" outlineLevel="2" x14ac:dyDescent="0.3">
      <c r="A22" s="27"/>
      <c r="B22" s="11" t="str">
        <f>CONCATENATE("          ", "6284", " - ", "TRASH REMOVAL EXPENSE")</f>
        <v xml:space="preserve">          6284 - TRASH REMOVAL EXPENSE</v>
      </c>
      <c r="C22" s="11"/>
      <c r="D22" s="6"/>
      <c r="E22" s="2"/>
      <c r="F22" s="7">
        <f t="shared" si="0"/>
        <v>0</v>
      </c>
      <c r="G22" s="2"/>
      <c r="H22" s="6"/>
      <c r="I22" s="2"/>
      <c r="J22" s="7">
        <f t="shared" si="1"/>
        <v>0</v>
      </c>
      <c r="K22" s="2"/>
      <c r="L22" s="6">
        <f t="shared" si="2"/>
        <v>0</v>
      </c>
      <c r="M22" s="2"/>
      <c r="N22" s="7">
        <f t="shared" si="3"/>
        <v>0</v>
      </c>
      <c r="O22" s="11"/>
      <c r="P22" s="6"/>
      <c r="Q22" s="2"/>
      <c r="R22" s="7">
        <f t="shared" si="4"/>
        <v>0</v>
      </c>
      <c r="S22" s="2"/>
      <c r="T22" s="6">
        <v>0</v>
      </c>
      <c r="U22" s="2"/>
      <c r="V22" s="7">
        <f t="shared" si="5"/>
        <v>0</v>
      </c>
      <c r="W22" s="2"/>
      <c r="X22" s="6">
        <f t="shared" si="6"/>
        <v>0</v>
      </c>
      <c r="Y22" s="2"/>
      <c r="Z22" s="7">
        <f t="shared" si="7"/>
        <v>0</v>
      </c>
    </row>
    <row r="23" spans="1:26" s="6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3">
      <c r="A24" s="10"/>
      <c r="B24" s="25" t="s">
        <v>293</v>
      </c>
      <c r="C24" s="10"/>
      <c r="D24" s="4">
        <f>SUM(0)</f>
        <v>0</v>
      </c>
      <c r="E24" s="4"/>
      <c r="F24" s="12">
        <f>IF(D$12=0,0,D24/D$12)</f>
        <v>0</v>
      </c>
      <c r="G24" s="4"/>
      <c r="H24" s="4">
        <f>SUM(0)</f>
        <v>0</v>
      </c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>
        <f>SUM(0)</f>
        <v>0</v>
      </c>
      <c r="Q24" s="4"/>
      <c r="R24" s="12">
        <f>IF(P$12=0,0,P24/P$12)</f>
        <v>0</v>
      </c>
      <c r="S24" s="4"/>
      <c r="T24" s="4">
        <f>SUM(0)</f>
        <v>0</v>
      </c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3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3">
      <c r="A26" s="10"/>
      <c r="B26" s="26" t="s">
        <v>277</v>
      </c>
      <c r="C26" s="26"/>
      <c r="D26" s="20">
        <f>+D16-D18+D24</f>
        <v>0</v>
      </c>
      <c r="E26" s="13"/>
      <c r="F26" s="22">
        <f>IF(D$12=0,0,D26/D$12)</f>
        <v>0</v>
      </c>
      <c r="G26" s="13"/>
      <c r="H26" s="20">
        <f>+H16-H18+H24</f>
        <v>0</v>
      </c>
      <c r="I26" s="13"/>
      <c r="J26" s="22">
        <f>IF(H$12=0,0,H26/H$12)</f>
        <v>0</v>
      </c>
      <c r="K26" s="15"/>
      <c r="L26" s="20">
        <f>+D26-H26</f>
        <v>0</v>
      </c>
      <c r="M26" s="15"/>
      <c r="N26" s="22">
        <f>IF(H26=0,0,L26/H26)</f>
        <v>0</v>
      </c>
      <c r="O26" s="25"/>
      <c r="P26" s="20">
        <f>+P16-P18+P24</f>
        <v>-69.290000000000006</v>
      </c>
      <c r="Q26" s="13"/>
      <c r="R26" s="22">
        <f>IF(P$12=0,0,P26/P$12)</f>
        <v>0</v>
      </c>
      <c r="S26" s="13"/>
      <c r="T26" s="20">
        <f>+T16-T18+T24</f>
        <v>0</v>
      </c>
      <c r="U26" s="13"/>
      <c r="V26" s="22">
        <f>IF(T$12=0,0,T26/T$12)</f>
        <v>0</v>
      </c>
      <c r="W26" s="15"/>
      <c r="X26" s="20">
        <f>+P26-T26</f>
        <v>-69.290000000000006</v>
      </c>
      <c r="Y26" s="15"/>
      <c r="Z26" s="22">
        <f>IF(T26=0,0,X26/T26)</f>
        <v>0</v>
      </c>
    </row>
    <row r="27" spans="1:26" x14ac:dyDescent="0.3">
      <c r="A27" s="9"/>
      <c r="B27" s="10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3">
      <c r="A28" s="52"/>
      <c r="B28" s="10" t="s">
        <v>128</v>
      </c>
      <c r="C28" s="10"/>
      <c r="D28" s="4"/>
      <c r="E28" s="4"/>
      <c r="F28" s="12">
        <f>IF(D$12=0,0,D28/D$12)</f>
        <v>0</v>
      </c>
      <c r="G28" s="4"/>
      <c r="H28" s="4"/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/>
      <c r="Q28" s="4"/>
      <c r="R28" s="12">
        <f>IF(P$12=0,0,P28/P$12)</f>
        <v>0</v>
      </c>
      <c r="S28" s="4"/>
      <c r="T28" s="4"/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3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ht="15" thickBot="1" x14ac:dyDescent="0.35">
      <c r="A30" s="10"/>
      <c r="B30" s="26" t="s">
        <v>126</v>
      </c>
      <c r="C30" s="26"/>
      <c r="D30" s="33">
        <f>+D26-D28</f>
        <v>0</v>
      </c>
      <c r="E30" s="13"/>
      <c r="F30" s="34">
        <f>IF(D$12=0,0,D30/D$12)</f>
        <v>0</v>
      </c>
      <c r="G30" s="13"/>
      <c r="H30" s="33">
        <f>+H26-H28</f>
        <v>0</v>
      </c>
      <c r="I30" s="13"/>
      <c r="J30" s="34">
        <f>IF(H$12=0,0,H30/H$12)</f>
        <v>0</v>
      </c>
      <c r="K30" s="15"/>
      <c r="L30" s="33">
        <f>D30-H30</f>
        <v>0</v>
      </c>
      <c r="M30" s="15"/>
      <c r="N30" s="34">
        <f>IF(H30=0,0,L30/H30)</f>
        <v>0</v>
      </c>
      <c r="O30" s="25"/>
      <c r="P30" s="33">
        <f>+P26-P28</f>
        <v>-69.290000000000006</v>
      </c>
      <c r="Q30" s="13"/>
      <c r="R30" s="34">
        <f>IF(P$12=0,0,P30/P$12)</f>
        <v>0</v>
      </c>
      <c r="S30" s="13"/>
      <c r="T30" s="33">
        <f>+T26-T28</f>
        <v>0</v>
      </c>
      <c r="U30" s="13"/>
      <c r="V30" s="34">
        <f>IF(T$12=0,0,T30/T$12)</f>
        <v>0</v>
      </c>
      <c r="W30" s="15"/>
      <c r="X30" s="33">
        <f>P30-T30</f>
        <v>-69.290000000000006</v>
      </c>
      <c r="Y30" s="15"/>
      <c r="Z30" s="34">
        <f>IF(T30=0,0,X30/T30)</f>
        <v>0</v>
      </c>
    </row>
    <row r="31" spans="1:26" ht="15" thickTop="1" x14ac:dyDescent="0.3">
      <c r="A31" s="9"/>
      <c r="B31" s="9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ht="15" thickBot="1" x14ac:dyDescent="0.35">
      <c r="A33" s="10"/>
      <c r="B33" s="26" t="s">
        <v>294</v>
      </c>
      <c r="C33" s="26"/>
      <c r="D33" s="35">
        <f>SUM(D30:D32)</f>
        <v>0</v>
      </c>
      <c r="E33" s="13"/>
      <c r="F33" s="32">
        <f>IF(D$12=0,0,D33/D$12)</f>
        <v>0</v>
      </c>
      <c r="G33" s="13"/>
      <c r="H33" s="35">
        <f>SUM(H30:H32)</f>
        <v>0</v>
      </c>
      <c r="I33" s="13"/>
      <c r="J33" s="32">
        <f>IF(H$12=0,0,H33/H$12)</f>
        <v>0</v>
      </c>
      <c r="K33" s="15"/>
      <c r="L33" s="35">
        <f>+D33-H33</f>
        <v>0</v>
      </c>
      <c r="M33" s="15"/>
      <c r="N33" s="32">
        <f>IF(H33=0,0,L33/H33)</f>
        <v>0</v>
      </c>
      <c r="O33" s="25"/>
      <c r="P33" s="35">
        <f>SUM(P30:P32)</f>
        <v>-69.290000000000006</v>
      </c>
      <c r="Q33" s="13"/>
      <c r="R33" s="32">
        <f>IF(P$12=0,0,P33/P$12)</f>
        <v>0</v>
      </c>
      <c r="S33" s="13"/>
      <c r="T33" s="35">
        <f>SUM(T30:T32)</f>
        <v>0</v>
      </c>
      <c r="U33" s="13"/>
      <c r="V33" s="32">
        <f>IF(T$12=0,0,T33/T$12)</f>
        <v>0</v>
      </c>
      <c r="W33" s="15"/>
      <c r="X33" s="35">
        <f>+P33-T33</f>
        <v>-69.290000000000006</v>
      </c>
      <c r="Y33" s="15"/>
      <c r="Z33" s="32">
        <f>IF(T33=0,0,X33/T33)</f>
        <v>0</v>
      </c>
    </row>
    <row r="34" spans="1:26" ht="15" thickTop="1" x14ac:dyDescent="0.3">
      <c r="A34" s="9"/>
      <c r="C34" s="9"/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6" x14ac:dyDescent="0.3">
      <c r="A35" s="9"/>
      <c r="B35" s="60">
        <v>44543.753113078703</v>
      </c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6" x14ac:dyDescent="0.3">
      <c r="A36" s="9"/>
      <c r="B36" s="58" t="s">
        <v>56</v>
      </c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  <row r="37" spans="1:26" x14ac:dyDescent="0.3">
      <c r="A37" s="9"/>
      <c r="B37" s="55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rgb="FF92D050"/>
    <outlinePr summaryBelow="0" summaryRight="0"/>
  </sheetPr>
  <dimension ref="A2:Z8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","411", " - ", "University Dining")</f>
        <v>Department 411 - University Dining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5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1">
        <f>SUM(OSRRefD22x_0)</f>
        <v>43690.45</v>
      </c>
      <c r="E18" s="21"/>
      <c r="F18" s="30">
        <f t="shared" ref="F18:F28" si="0">IF(D$12=0,0,D18/D$12)</f>
        <v>0</v>
      </c>
      <c r="G18" s="21"/>
      <c r="H18" s="21">
        <f>SUM(OSRRefH22x_0)</f>
        <v>41947.132430769241</v>
      </c>
      <c r="I18" s="21"/>
      <c r="J18" s="30">
        <f t="shared" ref="J18:J28" si="1">IF(H$12=0,0,H18/H$12)</f>
        <v>0</v>
      </c>
      <c r="K18" s="4"/>
      <c r="L18" s="21">
        <f t="shared" ref="L18:L28" si="2">+D18-H18</f>
        <v>1743.3175692307559</v>
      </c>
      <c r="M18" s="4"/>
      <c r="N18" s="30">
        <f t="shared" ref="N18:N28" si="3">IF(H18=0,0,L18/H18)</f>
        <v>4.1559874732986279E-2</v>
      </c>
      <c r="O18" s="10"/>
      <c r="P18" s="21">
        <f>SUM(OSRRefP22x_0)</f>
        <v>249884.56000000003</v>
      </c>
      <c r="Q18" s="21"/>
      <c r="R18" s="30">
        <f t="shared" ref="R18:R28" si="4">IF(P$12=0,0,P18/P$12)</f>
        <v>0</v>
      </c>
      <c r="S18" s="21"/>
      <c r="T18" s="21">
        <f>SUM(OSRRefT22x_0)</f>
        <v>221781.72836923078</v>
      </c>
      <c r="U18" s="21"/>
      <c r="V18" s="30">
        <f t="shared" ref="V18:V28" si="5">IF(T$12=0,0,T18/T$12)</f>
        <v>0</v>
      </c>
      <c r="W18" s="4"/>
      <c r="X18" s="21">
        <f t="shared" ref="X18:X28" si="6">+P18-T18</f>
        <v>28102.831630769244</v>
      </c>
      <c r="Y18" s="4"/>
      <c r="Z18" s="30">
        <f t="shared" ref="Z18:Z28" si="7">IF(T18=0,0,X18/T18)</f>
        <v>0.12671391749631677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9629.68</v>
      </c>
      <c r="E19" s="1"/>
      <c r="F19" s="5">
        <f t="shared" si="0"/>
        <v>0</v>
      </c>
      <c r="G19" s="1"/>
      <c r="H19" s="1">
        <f>SUM(OSRRefH22_0x_0)</f>
        <v>8483.2093538461559</v>
      </c>
      <c r="I19" s="1"/>
      <c r="J19" s="5">
        <f t="shared" si="1"/>
        <v>0</v>
      </c>
      <c r="K19" s="1"/>
      <c r="L19" s="1">
        <f t="shared" si="2"/>
        <v>1146.4706461538444</v>
      </c>
      <c r="M19" s="1"/>
      <c r="N19" s="5">
        <f t="shared" si="3"/>
        <v>0.13514586264855674</v>
      </c>
      <c r="O19" s="14"/>
      <c r="P19" s="1">
        <f>SUM(OSRRefP22_0x_0)</f>
        <v>49473.04</v>
      </c>
      <c r="Q19" s="1"/>
      <c r="R19" s="5">
        <f t="shared" si="4"/>
        <v>0</v>
      </c>
      <c r="S19" s="1"/>
      <c r="T19" s="1">
        <f>SUM(OSRRefT22_0x_0)</f>
        <v>45100.651446153875</v>
      </c>
      <c r="U19" s="1"/>
      <c r="V19" s="5">
        <f t="shared" si="5"/>
        <v>0</v>
      </c>
      <c r="W19" s="1"/>
      <c r="X19" s="1">
        <f t="shared" si="6"/>
        <v>4372.3885538461254</v>
      </c>
      <c r="Y19" s="1"/>
      <c r="Z19" s="5">
        <f t="shared" si="7"/>
        <v>9.6947348068050956E-2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6">
        <v>1391.08</v>
      </c>
      <c r="E20" s="2"/>
      <c r="F20" s="7">
        <f t="shared" si="0"/>
        <v>0</v>
      </c>
      <c r="G20" s="2"/>
      <c r="H20" s="6">
        <v>1358.2308923076901</v>
      </c>
      <c r="I20" s="2"/>
      <c r="J20" s="7">
        <f t="shared" si="1"/>
        <v>0</v>
      </c>
      <c r="K20" s="2"/>
      <c r="L20" s="6">
        <f t="shared" si="2"/>
        <v>32.849107692309872</v>
      </c>
      <c r="M20" s="2"/>
      <c r="N20" s="7">
        <f t="shared" si="3"/>
        <v>2.4185216135452412E-2</v>
      </c>
      <c r="O20" s="11"/>
      <c r="P20" s="6">
        <v>7558.46</v>
      </c>
      <c r="Q20" s="2"/>
      <c r="R20" s="7">
        <f t="shared" si="4"/>
        <v>0</v>
      </c>
      <c r="S20" s="2"/>
      <c r="T20" s="6">
        <v>7470.26990769231</v>
      </c>
      <c r="U20" s="2"/>
      <c r="V20" s="7">
        <f t="shared" si="5"/>
        <v>0</v>
      </c>
      <c r="W20" s="2"/>
      <c r="X20" s="6">
        <f t="shared" si="6"/>
        <v>88.190092307690065</v>
      </c>
      <c r="Y20" s="2"/>
      <c r="Z20" s="7">
        <f t="shared" si="7"/>
        <v>1.1805476026626386E-2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232.92</v>
      </c>
      <c r="E21" s="2"/>
      <c r="F21" s="7">
        <f t="shared" si="0"/>
        <v>0</v>
      </c>
      <c r="G21" s="2"/>
      <c r="H21" s="6">
        <v>672.63753846153895</v>
      </c>
      <c r="I21" s="2"/>
      <c r="J21" s="7">
        <f t="shared" si="1"/>
        <v>0</v>
      </c>
      <c r="K21" s="2"/>
      <c r="L21" s="6">
        <f t="shared" si="2"/>
        <v>-439.71753846153899</v>
      </c>
      <c r="M21" s="2"/>
      <c r="N21" s="7">
        <f t="shared" si="3"/>
        <v>-0.65372137788691342</v>
      </c>
      <c r="O21" s="11"/>
      <c r="P21" s="6">
        <v>1240.0999999999999</v>
      </c>
      <c r="Q21" s="2"/>
      <c r="R21" s="7">
        <f t="shared" si="4"/>
        <v>0</v>
      </c>
      <c r="S21" s="2"/>
      <c r="T21" s="6">
        <v>3699.5064615384699</v>
      </c>
      <c r="U21" s="2"/>
      <c r="V21" s="7">
        <f t="shared" si="5"/>
        <v>0</v>
      </c>
      <c r="W21" s="2"/>
      <c r="X21" s="6">
        <f t="shared" si="6"/>
        <v>-2459.40646153847</v>
      </c>
      <c r="Y21" s="2"/>
      <c r="Z21" s="7">
        <f t="shared" si="7"/>
        <v>-0.66479312500395138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6">
        <v>3318.36</v>
      </c>
      <c r="E22" s="2"/>
      <c r="F22" s="7">
        <f t="shared" si="0"/>
        <v>0</v>
      </c>
      <c r="G22" s="2"/>
      <c r="H22" s="6">
        <v>2764</v>
      </c>
      <c r="I22" s="2"/>
      <c r="J22" s="7">
        <f t="shared" si="1"/>
        <v>0</v>
      </c>
      <c r="K22" s="2"/>
      <c r="L22" s="6">
        <f t="shared" si="2"/>
        <v>554.36000000000013</v>
      </c>
      <c r="M22" s="2"/>
      <c r="N22" s="7">
        <f t="shared" si="3"/>
        <v>0.20056439942112886</v>
      </c>
      <c r="O22" s="11"/>
      <c r="P22" s="6">
        <v>16610.55</v>
      </c>
      <c r="Q22" s="2"/>
      <c r="R22" s="7">
        <f t="shared" si="4"/>
        <v>0</v>
      </c>
      <c r="S22" s="2"/>
      <c r="T22" s="6">
        <v>13820</v>
      </c>
      <c r="U22" s="2"/>
      <c r="V22" s="7">
        <f t="shared" si="5"/>
        <v>0</v>
      </c>
      <c r="W22" s="2"/>
      <c r="X22" s="6">
        <f t="shared" si="6"/>
        <v>2790.5499999999993</v>
      </c>
      <c r="Y22" s="2"/>
      <c r="Z22" s="7">
        <f t="shared" si="7"/>
        <v>0.20192112879884219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46.94</v>
      </c>
      <c r="E23" s="2"/>
      <c r="F23" s="7">
        <f t="shared" si="0"/>
        <v>0</v>
      </c>
      <c r="G23" s="2"/>
      <c r="H23" s="6">
        <v>37.270153846153903</v>
      </c>
      <c r="I23" s="2"/>
      <c r="J23" s="7">
        <f t="shared" si="1"/>
        <v>0</v>
      </c>
      <c r="K23" s="2"/>
      <c r="L23" s="6">
        <f t="shared" si="2"/>
        <v>9.6698461538460947</v>
      </c>
      <c r="M23" s="2"/>
      <c r="N23" s="7">
        <f t="shared" si="3"/>
        <v>0.25945281025031175</v>
      </c>
      <c r="O23" s="11"/>
      <c r="P23" s="6">
        <v>249.93</v>
      </c>
      <c r="Q23" s="2"/>
      <c r="R23" s="7">
        <f t="shared" si="4"/>
        <v>0</v>
      </c>
      <c r="S23" s="2"/>
      <c r="T23" s="6">
        <v>204.98584615384601</v>
      </c>
      <c r="U23" s="2"/>
      <c r="V23" s="7">
        <f t="shared" si="5"/>
        <v>0</v>
      </c>
      <c r="W23" s="2"/>
      <c r="X23" s="6">
        <f t="shared" si="6"/>
        <v>44.944153846153995</v>
      </c>
      <c r="Y23" s="2"/>
      <c r="Z23" s="7">
        <f t="shared" si="7"/>
        <v>0.21925491290956012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6">
        <v>1948.13</v>
      </c>
      <c r="E24" s="2"/>
      <c r="F24" s="7">
        <f t="shared" si="0"/>
        <v>0</v>
      </c>
      <c r="G24" s="2"/>
      <c r="H24" s="6">
        <v>1526.3015384615401</v>
      </c>
      <c r="I24" s="2"/>
      <c r="J24" s="7">
        <f t="shared" si="1"/>
        <v>0</v>
      </c>
      <c r="K24" s="2"/>
      <c r="L24" s="6">
        <f t="shared" si="2"/>
        <v>421.82846153846003</v>
      </c>
      <c r="M24" s="2"/>
      <c r="N24" s="7">
        <f t="shared" si="3"/>
        <v>0.27637295181111377</v>
      </c>
      <c r="O24" s="11"/>
      <c r="P24" s="6">
        <v>10377.57</v>
      </c>
      <c r="Q24" s="2"/>
      <c r="R24" s="7">
        <f t="shared" si="4"/>
        <v>0</v>
      </c>
      <c r="S24" s="2"/>
      <c r="T24" s="6">
        <v>8394.65846153848</v>
      </c>
      <c r="U24" s="2"/>
      <c r="V24" s="7">
        <f t="shared" si="5"/>
        <v>0</v>
      </c>
      <c r="W24" s="2"/>
      <c r="X24" s="6">
        <f t="shared" si="6"/>
        <v>1982.9115384615197</v>
      </c>
      <c r="Y24" s="2"/>
      <c r="Z24" s="7">
        <f t="shared" si="7"/>
        <v>0.23621110347092236</v>
      </c>
    </row>
    <row r="25" spans="1:26" s="24" customFormat="1" hidden="1" outlineLevel="2" x14ac:dyDescent="0.3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3">
      <c r="A26" s="27"/>
      <c r="B26" s="11" t="str">
        <f>CONCATENATE("          ", "6118", " - ", "VACATION")</f>
        <v xml:space="preserve">          6118 - VACATION</v>
      </c>
      <c r="C26" s="11"/>
      <c r="D26" s="6">
        <v>1579.7</v>
      </c>
      <c r="E26" s="2"/>
      <c r="F26" s="7">
        <f t="shared" si="0"/>
        <v>0</v>
      </c>
      <c r="G26" s="2"/>
      <c r="H26" s="6">
        <v>1648</v>
      </c>
      <c r="I26" s="2"/>
      <c r="J26" s="7">
        <f t="shared" si="1"/>
        <v>0</v>
      </c>
      <c r="K26" s="2"/>
      <c r="L26" s="6">
        <f t="shared" si="2"/>
        <v>-68.299999999999955</v>
      </c>
      <c r="M26" s="2"/>
      <c r="N26" s="7">
        <f t="shared" si="3"/>
        <v>-4.1444174757281523E-2</v>
      </c>
      <c r="O26" s="11"/>
      <c r="P26" s="6">
        <v>8414.93</v>
      </c>
      <c r="Q26" s="2"/>
      <c r="R26" s="7">
        <f t="shared" si="4"/>
        <v>0</v>
      </c>
      <c r="S26" s="2"/>
      <c r="T26" s="6">
        <v>9064</v>
      </c>
      <c r="U26" s="2"/>
      <c r="V26" s="7">
        <f t="shared" si="5"/>
        <v>0</v>
      </c>
      <c r="W26" s="2"/>
      <c r="X26" s="6">
        <f t="shared" si="6"/>
        <v>-649.06999999999971</v>
      </c>
      <c r="Y26" s="2"/>
      <c r="Z26" s="7">
        <f t="shared" si="7"/>
        <v>-7.1609664607237389E-2</v>
      </c>
    </row>
    <row r="27" spans="1:26" s="24" customFormat="1" hidden="1" outlineLevel="2" x14ac:dyDescent="0.3">
      <c r="A27" s="27"/>
      <c r="B27" s="11" t="str">
        <f>CONCATENATE("          ", "6119", " - ", "SICK LEAVE")</f>
        <v xml:space="preserve">          6119 - SICK LEAVE</v>
      </c>
      <c r="C27" s="11"/>
      <c r="D27" s="6">
        <v>825.9</v>
      </c>
      <c r="E27" s="2"/>
      <c r="F27" s="7">
        <f t="shared" si="0"/>
        <v>0</v>
      </c>
      <c r="G27" s="2"/>
      <c r="H27" s="6">
        <v>126.769230769231</v>
      </c>
      <c r="I27" s="2"/>
      <c r="J27" s="7">
        <f t="shared" si="1"/>
        <v>0</v>
      </c>
      <c r="K27" s="2"/>
      <c r="L27" s="6">
        <f t="shared" si="2"/>
        <v>699.13076923076892</v>
      </c>
      <c r="M27" s="2"/>
      <c r="N27" s="7">
        <f t="shared" si="3"/>
        <v>5.5149878640776571</v>
      </c>
      <c r="O27" s="11"/>
      <c r="P27" s="6">
        <v>3548.85</v>
      </c>
      <c r="Q27" s="2"/>
      <c r="R27" s="7">
        <f t="shared" si="4"/>
        <v>0</v>
      </c>
      <c r="S27" s="2"/>
      <c r="T27" s="6">
        <v>697.23076923077099</v>
      </c>
      <c r="U27" s="2"/>
      <c r="V27" s="7">
        <f t="shared" si="5"/>
        <v>0</v>
      </c>
      <c r="W27" s="2"/>
      <c r="X27" s="6">
        <f t="shared" si="6"/>
        <v>2851.619230769229</v>
      </c>
      <c r="Y27" s="2"/>
      <c r="Z27" s="7">
        <f t="shared" si="7"/>
        <v>4.0899216681376744</v>
      </c>
    </row>
    <row r="28" spans="1:26" s="24" customFormat="1" hidden="1" outlineLevel="2" x14ac:dyDescent="0.3">
      <c r="A28" s="27"/>
      <c r="B28" s="11" t="str">
        <f>CONCATENATE("          ", "6156", " - ", "EMPLOYEE MEALS")</f>
        <v xml:space="preserve">          6156 - EMPLOYEE MEALS</v>
      </c>
      <c r="C28" s="11"/>
      <c r="D28" s="6">
        <v>286.64999999999998</v>
      </c>
      <c r="E28" s="2"/>
      <c r="F28" s="7">
        <f t="shared" si="0"/>
        <v>0</v>
      </c>
      <c r="G28" s="2"/>
      <c r="H28" s="6">
        <v>350</v>
      </c>
      <c r="I28" s="2"/>
      <c r="J28" s="7">
        <f t="shared" si="1"/>
        <v>0</v>
      </c>
      <c r="K28" s="2"/>
      <c r="L28" s="6">
        <f t="shared" si="2"/>
        <v>-63.350000000000023</v>
      </c>
      <c r="M28" s="2"/>
      <c r="N28" s="7">
        <f t="shared" si="3"/>
        <v>-0.18100000000000008</v>
      </c>
      <c r="O28" s="11"/>
      <c r="P28" s="6">
        <v>1472.65</v>
      </c>
      <c r="Q28" s="2"/>
      <c r="R28" s="7">
        <f t="shared" si="4"/>
        <v>0</v>
      </c>
      <c r="S28" s="2"/>
      <c r="T28" s="6">
        <v>1750</v>
      </c>
      <c r="U28" s="2"/>
      <c r="V28" s="7">
        <f t="shared" si="5"/>
        <v>0</v>
      </c>
      <c r="W28" s="2"/>
      <c r="X28" s="6">
        <f t="shared" si="6"/>
        <v>-277.34999999999991</v>
      </c>
      <c r="Y28" s="2"/>
      <c r="Z28" s="7">
        <f t="shared" si="7"/>
        <v>-0.15848571428571423</v>
      </c>
    </row>
    <row r="29" spans="1:26" s="29" customFormat="1" outlineLevel="1" collapsed="1" x14ac:dyDescent="0.3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15092.41</v>
      </c>
      <c r="E29" s="1"/>
      <c r="F29" s="5">
        <f t="shared" ref="F29:F39" si="8">IF(D$12=0,0,D29/D$12)</f>
        <v>0</v>
      </c>
      <c r="G29" s="1"/>
      <c r="H29" s="1">
        <f>SUM(OSRRefH22_1x_0)</f>
        <v>15972.923076923082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-880.51307692308183</v>
      </c>
      <c r="M29" s="1"/>
      <c r="N29" s="5">
        <f t="shared" ref="N29:N39" si="11">IF(H29=0,0,L29/H29)</f>
        <v>-5.512535637232268E-2</v>
      </c>
      <c r="O29" s="14"/>
      <c r="P29" s="1">
        <f>SUM(OSRRefP22_1x_0)</f>
        <v>88101.26</v>
      </c>
      <c r="Q29" s="1"/>
      <c r="R29" s="5">
        <f t="shared" ref="R29:R39" si="12">IF(P$12=0,0,P29/P$12)</f>
        <v>0</v>
      </c>
      <c r="S29" s="1"/>
      <c r="T29" s="1">
        <f>SUM(OSRRefT22_1x_0)</f>
        <v>87851.076923076893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250.18307692310191</v>
      </c>
      <c r="Y29" s="1"/>
      <c r="Z29" s="5">
        <f t="shared" ref="Z29:Z39" si="15">IF(T29=0,0,X29/T29)</f>
        <v>2.8478088793625627E-3</v>
      </c>
    </row>
    <row r="30" spans="1:26" s="24" customFormat="1" hidden="1" outlineLevel="2" x14ac:dyDescent="0.3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>
        <v>9209.65</v>
      </c>
      <c r="E30" s="2"/>
      <c r="F30" s="7">
        <f t="shared" si="8"/>
        <v>0</v>
      </c>
      <c r="G30" s="2"/>
      <c r="H30" s="6">
        <v>10268.307692307701</v>
      </c>
      <c r="I30" s="2"/>
      <c r="J30" s="7">
        <f t="shared" si="9"/>
        <v>0</v>
      </c>
      <c r="K30" s="2"/>
      <c r="L30" s="6">
        <f t="shared" si="10"/>
        <v>-1058.6576923077009</v>
      </c>
      <c r="M30" s="2"/>
      <c r="N30" s="7">
        <f t="shared" si="11"/>
        <v>-0.10309952954572771</v>
      </c>
      <c r="O30" s="11"/>
      <c r="P30" s="6">
        <v>52933.31</v>
      </c>
      <c r="Q30" s="2"/>
      <c r="R30" s="7">
        <f t="shared" si="12"/>
        <v>0</v>
      </c>
      <c r="S30" s="2"/>
      <c r="T30" s="6">
        <v>56475.692307692298</v>
      </c>
      <c r="U30" s="2"/>
      <c r="V30" s="7">
        <f t="shared" si="13"/>
        <v>0</v>
      </c>
      <c r="W30" s="2"/>
      <c r="X30" s="6">
        <f t="shared" si="14"/>
        <v>-3542.3823076922999</v>
      </c>
      <c r="Y30" s="2"/>
      <c r="Z30" s="7">
        <f t="shared" si="15"/>
        <v>-6.2724017412528615E-2</v>
      </c>
    </row>
    <row r="31" spans="1:26" s="24" customFormat="1" hidden="1" outlineLevel="2" x14ac:dyDescent="0.3">
      <c r="A31" s="27"/>
      <c r="B31" s="11" t="str">
        <f>CONCATENATE("          ", "6002", " - ", "STAFF SALARIES")</f>
        <v xml:space="preserve">          6002 - STAFF SALARIES</v>
      </c>
      <c r="C31" s="11"/>
      <c r="D31" s="6">
        <v>5754.22</v>
      </c>
      <c r="E31" s="2"/>
      <c r="F31" s="7">
        <f t="shared" si="8"/>
        <v>0</v>
      </c>
      <c r="G31" s="2"/>
      <c r="H31" s="6">
        <v>5704.6153846153802</v>
      </c>
      <c r="I31" s="2"/>
      <c r="J31" s="7">
        <f t="shared" si="9"/>
        <v>0</v>
      </c>
      <c r="K31" s="2"/>
      <c r="L31" s="6">
        <f t="shared" si="10"/>
        <v>49.604615384620047</v>
      </c>
      <c r="M31" s="2"/>
      <c r="N31" s="7">
        <f t="shared" si="11"/>
        <v>8.6955231930968321E-3</v>
      </c>
      <c r="O31" s="11"/>
      <c r="P31" s="6">
        <v>32496.63</v>
      </c>
      <c r="Q31" s="2"/>
      <c r="R31" s="7">
        <f t="shared" si="12"/>
        <v>0</v>
      </c>
      <c r="S31" s="2"/>
      <c r="T31" s="6">
        <v>31375.384615384599</v>
      </c>
      <c r="U31" s="2"/>
      <c r="V31" s="7">
        <f t="shared" si="13"/>
        <v>0</v>
      </c>
      <c r="W31" s="2"/>
      <c r="X31" s="6">
        <f t="shared" si="14"/>
        <v>1121.2453846154021</v>
      </c>
      <c r="Y31" s="2"/>
      <c r="Z31" s="7">
        <f t="shared" si="15"/>
        <v>3.5736466607826409E-2</v>
      </c>
    </row>
    <row r="32" spans="1:26" s="24" customFormat="1" hidden="1" outlineLevel="2" x14ac:dyDescent="0.3">
      <c r="A32" s="27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3">
      <c r="A33" s="27"/>
      <c r="B33" s="11" t="str">
        <f>CONCATENATE("          ", "6004", " - ", "STAFF HOURLY")</f>
        <v xml:space="preserve">          6004 - STAFF HOURLY</v>
      </c>
      <c r="C33" s="11"/>
      <c r="D33" s="6">
        <v>128.54</v>
      </c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128.54</v>
      </c>
      <c r="M33" s="2"/>
      <c r="N33" s="7">
        <f t="shared" si="11"/>
        <v>0</v>
      </c>
      <c r="O33" s="11"/>
      <c r="P33" s="6">
        <v>1044.8399999999999</v>
      </c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1044.8399999999999</v>
      </c>
      <c r="Y33" s="2"/>
      <c r="Z33" s="7">
        <f t="shared" si="15"/>
        <v>0</v>
      </c>
    </row>
    <row r="34" spans="1:26" s="24" customFormat="1" hidden="1" outlineLevel="2" x14ac:dyDescent="0.3">
      <c r="A34" s="27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>
        <v>1626.48</v>
      </c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1626.48</v>
      </c>
      <c r="Y34" s="2"/>
      <c r="Z34" s="7">
        <f t="shared" si="15"/>
        <v>0</v>
      </c>
    </row>
    <row r="35" spans="1:26" s="24" customFormat="1" hidden="1" outlineLevel="2" x14ac:dyDescent="0.3">
      <c r="A35" s="27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3">
      <c r="A36" s="27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>
        <v>0</v>
      </c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3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3">
      <c r="A38" s="27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3">
      <c r="A39" s="27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9" customFormat="1" outlineLevel="1" collapsed="1" x14ac:dyDescent="0.3">
      <c r="A40" s="28"/>
      <c r="B40" s="14" t="str">
        <f>CONCATENATE("     ","Bank/card Fees                                    ")</f>
        <v xml:space="preserve">     Bank/card Fees                                    </v>
      </c>
      <c r="C40" s="14"/>
      <c r="D40" s="1">
        <f>SUM(OSRRefD22_2x_0)</f>
        <v>167.96</v>
      </c>
      <c r="E40" s="1"/>
      <c r="F40" s="5">
        <f t="shared" ref="F40:F44" si="16">IF(D$12=0,0,D40/D$12)</f>
        <v>0</v>
      </c>
      <c r="G40" s="1"/>
      <c r="H40" s="1">
        <f>SUM(OSRRefH22_2x_0)</f>
        <v>839</v>
      </c>
      <c r="I40" s="1"/>
      <c r="J40" s="5">
        <f t="shared" ref="J40:J44" si="17">IF(H$12=0,0,H40/H$12)</f>
        <v>0</v>
      </c>
      <c r="K40" s="1"/>
      <c r="L40" s="1">
        <f t="shared" ref="L40:L44" si="18">+D40-H40</f>
        <v>-671.04</v>
      </c>
      <c r="M40" s="1"/>
      <c r="N40" s="5">
        <f t="shared" ref="N40:N44" si="19">IF(H40=0,0,L40/H40)</f>
        <v>-0.79980929678188317</v>
      </c>
      <c r="O40" s="14"/>
      <c r="P40" s="1">
        <f>SUM(OSRRefP22_2x_0)</f>
        <v>1139.3900000000001</v>
      </c>
      <c r="Q40" s="1"/>
      <c r="R40" s="5">
        <f t="shared" ref="R40:R44" si="20">IF(P$12=0,0,P40/P$12)</f>
        <v>0</v>
      </c>
      <c r="S40" s="1"/>
      <c r="T40" s="1">
        <f>SUM(OSRRefT22_2x_0)</f>
        <v>4195</v>
      </c>
      <c r="U40" s="1"/>
      <c r="V40" s="5">
        <f t="shared" ref="V40:V44" si="21">IF(T$12=0,0,T40/T$12)</f>
        <v>0</v>
      </c>
      <c r="W40" s="1"/>
      <c r="X40" s="1">
        <f t="shared" ref="X40:X44" si="22">+P40-T40</f>
        <v>-3055.6099999999997</v>
      </c>
      <c r="Y40" s="1"/>
      <c r="Z40" s="5">
        <f t="shared" ref="Z40:Z44" si="23">IF(T40=0,0,X40/T40)</f>
        <v>-0.72839332538736579</v>
      </c>
    </row>
    <row r="41" spans="1:26" s="24" customFormat="1" hidden="1" outlineLevel="2" x14ac:dyDescent="0.3">
      <c r="A41" s="27"/>
      <c r="B41" s="11" t="str">
        <f>CONCATENATE("          ", "6381", " - ", "BANK/CREDIT CARD FEES")</f>
        <v xml:space="preserve">          6381 - BANK/CREDIT CARD FEES</v>
      </c>
      <c r="C41" s="11"/>
      <c r="D41" s="6">
        <v>167.96</v>
      </c>
      <c r="E41" s="2"/>
      <c r="F41" s="7">
        <f t="shared" si="16"/>
        <v>0</v>
      </c>
      <c r="G41" s="2"/>
      <c r="H41" s="6">
        <v>839</v>
      </c>
      <c r="I41" s="2"/>
      <c r="J41" s="7">
        <f t="shared" si="17"/>
        <v>0</v>
      </c>
      <c r="K41" s="2"/>
      <c r="L41" s="6">
        <f t="shared" si="18"/>
        <v>-671.04</v>
      </c>
      <c r="M41" s="2"/>
      <c r="N41" s="7">
        <f t="shared" si="19"/>
        <v>-0.79980929678188317</v>
      </c>
      <c r="O41" s="11"/>
      <c r="P41" s="6">
        <v>1139.3900000000001</v>
      </c>
      <c r="Q41" s="2"/>
      <c r="R41" s="7">
        <f t="shared" si="20"/>
        <v>0</v>
      </c>
      <c r="S41" s="2"/>
      <c r="T41" s="6">
        <v>4195</v>
      </c>
      <c r="U41" s="2"/>
      <c r="V41" s="7">
        <f t="shared" si="21"/>
        <v>0</v>
      </c>
      <c r="W41" s="2"/>
      <c r="X41" s="6">
        <f t="shared" si="22"/>
        <v>-3055.6099999999997</v>
      </c>
      <c r="Y41" s="2"/>
      <c r="Z41" s="7">
        <f t="shared" si="23"/>
        <v>-0.72839332538736579</v>
      </c>
    </row>
    <row r="42" spans="1:26" s="29" customFormat="1" outlineLevel="1" collapsed="1" x14ac:dyDescent="0.3">
      <c r="A42" s="28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SUM(OSRRefD22_3x_0)</f>
        <v>5331.53</v>
      </c>
      <c r="E42" s="1"/>
      <c r="F42" s="5">
        <f t="shared" si="16"/>
        <v>0</v>
      </c>
      <c r="G42" s="1"/>
      <c r="H42" s="1">
        <f>SUM(OSRRefH22_3x_0)</f>
        <v>5332</v>
      </c>
      <c r="I42" s="1"/>
      <c r="J42" s="5">
        <f t="shared" si="17"/>
        <v>0</v>
      </c>
      <c r="K42" s="1"/>
      <c r="L42" s="1">
        <f t="shared" si="18"/>
        <v>-0.47000000000025466</v>
      </c>
      <c r="M42" s="1"/>
      <c r="N42" s="5">
        <f t="shared" si="19"/>
        <v>-8.8147036759237562E-5</v>
      </c>
      <c r="O42" s="14"/>
      <c r="P42" s="1">
        <f>SUM(OSRRefP22_3x_0)</f>
        <v>26657.65</v>
      </c>
      <c r="Q42" s="1"/>
      <c r="R42" s="5">
        <f t="shared" si="20"/>
        <v>0</v>
      </c>
      <c r="S42" s="1"/>
      <c r="T42" s="1">
        <f>SUM(OSRRefT22_3x_0)</f>
        <v>26660</v>
      </c>
      <c r="U42" s="1"/>
      <c r="V42" s="5">
        <f t="shared" si="21"/>
        <v>0</v>
      </c>
      <c r="W42" s="1"/>
      <c r="X42" s="1">
        <f t="shared" si="22"/>
        <v>-2.3499999999985448</v>
      </c>
      <c r="Y42" s="1"/>
      <c r="Z42" s="5">
        <f t="shared" si="23"/>
        <v>-8.8147036759135213E-5</v>
      </c>
    </row>
    <row r="43" spans="1:26" s="24" customFormat="1" hidden="1" outlineLevel="2" x14ac:dyDescent="0.3">
      <c r="A43" s="27"/>
      <c r="B43" s="11" t="str">
        <f>CONCATENATE("          ", "6321", " - ", "BUILDING DEPRECIATION")</f>
        <v xml:space="preserve">          6321 - BUILDING DEPRECIATION</v>
      </c>
      <c r="C43" s="11"/>
      <c r="D43" s="6">
        <v>1822.68</v>
      </c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1822.68</v>
      </c>
      <c r="M43" s="2"/>
      <c r="N43" s="7">
        <f t="shared" si="19"/>
        <v>0</v>
      </c>
      <c r="O43" s="11"/>
      <c r="P43" s="6">
        <v>9113.4</v>
      </c>
      <c r="Q43" s="2"/>
      <c r="R43" s="7">
        <f t="shared" si="20"/>
        <v>0</v>
      </c>
      <c r="S43" s="2"/>
      <c r="T43" s="6"/>
      <c r="U43" s="2"/>
      <c r="V43" s="7">
        <f t="shared" si="21"/>
        <v>0</v>
      </c>
      <c r="W43" s="2"/>
      <c r="X43" s="6">
        <f t="shared" si="22"/>
        <v>9113.4</v>
      </c>
      <c r="Y43" s="2"/>
      <c r="Z43" s="7">
        <f t="shared" si="23"/>
        <v>0</v>
      </c>
    </row>
    <row r="44" spans="1:26" s="24" customFormat="1" hidden="1" outlineLevel="2" x14ac:dyDescent="0.3">
      <c r="A44" s="27"/>
      <c r="B44" s="11" t="str">
        <f>CONCATENATE("          ", "6322", " - ", "EQUIPMENT DEPRECIATION EXPENSE")</f>
        <v xml:space="preserve">          6322 - EQUIPMENT DEPRECIATION EXPENSE</v>
      </c>
      <c r="C44" s="11"/>
      <c r="D44" s="6">
        <v>3508.85</v>
      </c>
      <c r="E44" s="2"/>
      <c r="F44" s="7">
        <f t="shared" si="16"/>
        <v>0</v>
      </c>
      <c r="G44" s="2"/>
      <c r="H44" s="6">
        <v>5332</v>
      </c>
      <c r="I44" s="2"/>
      <c r="J44" s="7">
        <f t="shared" si="17"/>
        <v>0</v>
      </c>
      <c r="K44" s="2"/>
      <c r="L44" s="6">
        <f t="shared" si="18"/>
        <v>-1823.15</v>
      </c>
      <c r="M44" s="2"/>
      <c r="N44" s="7">
        <f t="shared" si="19"/>
        <v>-0.34192610652663169</v>
      </c>
      <c r="O44" s="11"/>
      <c r="P44" s="6">
        <v>17544.25</v>
      </c>
      <c r="Q44" s="2"/>
      <c r="R44" s="7">
        <f t="shared" si="20"/>
        <v>0</v>
      </c>
      <c r="S44" s="2"/>
      <c r="T44" s="6">
        <v>26660</v>
      </c>
      <c r="U44" s="2"/>
      <c r="V44" s="7">
        <f t="shared" si="21"/>
        <v>0</v>
      </c>
      <c r="W44" s="2"/>
      <c r="X44" s="6">
        <f t="shared" si="22"/>
        <v>-9115.75</v>
      </c>
      <c r="Y44" s="2"/>
      <c r="Z44" s="7">
        <f t="shared" si="23"/>
        <v>-0.34192610652663163</v>
      </c>
    </row>
    <row r="45" spans="1:26" s="29" customFormat="1" outlineLevel="1" collapsed="1" x14ac:dyDescent="0.3">
      <c r="A45" s="28"/>
      <c r="B45" s="14" t="str">
        <f>CONCATENATE("     ","Employees' Appreciation                           ")</f>
        <v xml:space="preserve">     Employees' Appreciation                           </v>
      </c>
      <c r="C45" s="14"/>
      <c r="D45" s="1">
        <f>SUM(OSRRefD22_4x_0)</f>
        <v>0</v>
      </c>
      <c r="E45" s="1"/>
      <c r="F45" s="5">
        <f t="shared" ref="F45:F56" si="24">IF(D$12=0,0,D45/D$12)</f>
        <v>0</v>
      </c>
      <c r="G45" s="1"/>
      <c r="H45" s="1">
        <f>SUM(OSRRefH22_4x_0)</f>
        <v>0</v>
      </c>
      <c r="I45" s="1"/>
      <c r="J45" s="5">
        <f t="shared" ref="J45:J56" si="25">IF(H$12=0,0,H45/H$12)</f>
        <v>0</v>
      </c>
      <c r="K45" s="1"/>
      <c r="L45" s="1">
        <f t="shared" ref="L45:L56" si="26">+D45-H45</f>
        <v>0</v>
      </c>
      <c r="M45" s="1"/>
      <c r="N45" s="5">
        <f t="shared" ref="N45:N56" si="27">IF(H45=0,0,L45/H45)</f>
        <v>0</v>
      </c>
      <c r="O45" s="14"/>
      <c r="P45" s="1">
        <f>SUM(OSRRefP22_4x_0)</f>
        <v>18</v>
      </c>
      <c r="Q45" s="1"/>
      <c r="R45" s="5">
        <f t="shared" ref="R45:R56" si="28">IF(P$12=0,0,P45/P$12)</f>
        <v>0</v>
      </c>
      <c r="S45" s="1"/>
      <c r="T45" s="1">
        <f>SUM(OSRRefT22_4x_0)</f>
        <v>0</v>
      </c>
      <c r="U45" s="1"/>
      <c r="V45" s="5">
        <f t="shared" ref="V45:V56" si="29">IF(T$12=0,0,T45/T$12)</f>
        <v>0</v>
      </c>
      <c r="W45" s="1"/>
      <c r="X45" s="1">
        <f t="shared" ref="X45:X56" si="30">+P45-T45</f>
        <v>18</v>
      </c>
      <c r="Y45" s="1"/>
      <c r="Z45" s="5">
        <f t="shared" ref="Z45:Z56" si="31">IF(T45=0,0,X45/T45)</f>
        <v>0</v>
      </c>
    </row>
    <row r="46" spans="1:26" s="24" customFormat="1" hidden="1" outlineLevel="2" x14ac:dyDescent="0.3">
      <c r="A46" s="27"/>
      <c r="B46" s="11" t="str">
        <f>CONCATENATE("          ", "6277", " - ", "EMPLOYEE APPRECIATION")</f>
        <v xml:space="preserve">          6277 - EMPLOYEE APPRECIATION</v>
      </c>
      <c r="C46" s="11"/>
      <c r="D46" s="6"/>
      <c r="E46" s="2"/>
      <c r="F46" s="7">
        <f t="shared" si="24"/>
        <v>0</v>
      </c>
      <c r="G46" s="2"/>
      <c r="H46" s="6"/>
      <c r="I46" s="2"/>
      <c r="J46" s="7">
        <f t="shared" si="25"/>
        <v>0</v>
      </c>
      <c r="K46" s="2"/>
      <c r="L46" s="6">
        <f t="shared" si="26"/>
        <v>0</v>
      </c>
      <c r="M46" s="2"/>
      <c r="N46" s="7">
        <f t="shared" si="27"/>
        <v>0</v>
      </c>
      <c r="O46" s="11"/>
      <c r="P46" s="6">
        <v>18</v>
      </c>
      <c r="Q46" s="2"/>
      <c r="R46" s="7">
        <f t="shared" si="28"/>
        <v>0</v>
      </c>
      <c r="S46" s="2"/>
      <c r="T46" s="6"/>
      <c r="U46" s="2"/>
      <c r="V46" s="7">
        <f t="shared" si="29"/>
        <v>0</v>
      </c>
      <c r="W46" s="2"/>
      <c r="X46" s="6">
        <f t="shared" si="30"/>
        <v>18</v>
      </c>
      <c r="Y46" s="2"/>
      <c r="Z46" s="7">
        <f t="shared" si="31"/>
        <v>0</v>
      </c>
    </row>
    <row r="47" spans="1:26" s="29" customFormat="1" outlineLevel="1" collapsed="1" x14ac:dyDescent="0.3">
      <c r="A47" s="28"/>
      <c r="B47" s="14" t="str">
        <f>CONCATENATE("     ","Equipment Rental                                  ")</f>
        <v xml:space="preserve">     Equipment Rental                                  </v>
      </c>
      <c r="C47" s="14"/>
      <c r="D47" s="1">
        <f>SUM(OSRRefD22_5x_0)</f>
        <v>91.26</v>
      </c>
      <c r="E47" s="1"/>
      <c r="F47" s="5">
        <f t="shared" si="24"/>
        <v>0</v>
      </c>
      <c r="G47" s="1"/>
      <c r="H47" s="1">
        <f>SUM(OSRRefH22_5x_0)</f>
        <v>300</v>
      </c>
      <c r="I47" s="1"/>
      <c r="J47" s="5">
        <f t="shared" si="25"/>
        <v>0</v>
      </c>
      <c r="K47" s="1"/>
      <c r="L47" s="1">
        <f t="shared" si="26"/>
        <v>-208.74</v>
      </c>
      <c r="M47" s="1"/>
      <c r="N47" s="5">
        <f t="shared" si="27"/>
        <v>-0.69580000000000009</v>
      </c>
      <c r="O47" s="14"/>
      <c r="P47" s="1">
        <f>SUM(OSRRefP22_5x_0)</f>
        <v>456.3</v>
      </c>
      <c r="Q47" s="1"/>
      <c r="R47" s="5">
        <f t="shared" si="28"/>
        <v>0</v>
      </c>
      <c r="S47" s="1"/>
      <c r="T47" s="1">
        <f>SUM(OSRRefT22_5x_0)</f>
        <v>1500</v>
      </c>
      <c r="U47" s="1"/>
      <c r="V47" s="5">
        <f t="shared" si="29"/>
        <v>0</v>
      </c>
      <c r="W47" s="1"/>
      <c r="X47" s="1">
        <f t="shared" si="30"/>
        <v>-1043.7</v>
      </c>
      <c r="Y47" s="1"/>
      <c r="Z47" s="5">
        <f t="shared" si="31"/>
        <v>-0.69580000000000009</v>
      </c>
    </row>
    <row r="48" spans="1:26" s="24" customFormat="1" hidden="1" outlineLevel="2" x14ac:dyDescent="0.3">
      <c r="A48" s="27"/>
      <c r="B48" s="11" t="str">
        <f>CONCATENATE("          ", "6351", " - ", "EQUIPMENT RENTAL")</f>
        <v xml:space="preserve">          6351 - EQUIPMENT RENTAL</v>
      </c>
      <c r="C48" s="11"/>
      <c r="D48" s="6">
        <v>91.26</v>
      </c>
      <c r="E48" s="2"/>
      <c r="F48" s="7">
        <f t="shared" si="24"/>
        <v>0</v>
      </c>
      <c r="G48" s="2"/>
      <c r="H48" s="6">
        <v>300</v>
      </c>
      <c r="I48" s="2"/>
      <c r="J48" s="7">
        <f t="shared" si="25"/>
        <v>0</v>
      </c>
      <c r="K48" s="2"/>
      <c r="L48" s="6">
        <f t="shared" si="26"/>
        <v>-208.74</v>
      </c>
      <c r="M48" s="2"/>
      <c r="N48" s="7">
        <f t="shared" si="27"/>
        <v>-0.69580000000000009</v>
      </c>
      <c r="O48" s="11"/>
      <c r="P48" s="6">
        <v>456.3</v>
      </c>
      <c r="Q48" s="2"/>
      <c r="R48" s="7">
        <f t="shared" si="28"/>
        <v>0</v>
      </c>
      <c r="S48" s="2"/>
      <c r="T48" s="6">
        <v>1500</v>
      </c>
      <c r="U48" s="2"/>
      <c r="V48" s="7">
        <f t="shared" si="29"/>
        <v>0</v>
      </c>
      <c r="W48" s="2"/>
      <c r="X48" s="6">
        <f t="shared" si="30"/>
        <v>-1043.7</v>
      </c>
      <c r="Y48" s="2"/>
      <c r="Z48" s="7">
        <f t="shared" si="31"/>
        <v>-0.69580000000000009</v>
      </c>
    </row>
    <row r="49" spans="1:26" s="29" customFormat="1" outlineLevel="1" collapsed="1" x14ac:dyDescent="0.3">
      <c r="A49" s="28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SUM(OSRRefD22_6x_0)</f>
        <v>0</v>
      </c>
      <c r="E49" s="1"/>
      <c r="F49" s="5">
        <f t="shared" si="24"/>
        <v>0</v>
      </c>
      <c r="G49" s="1"/>
      <c r="H49" s="1">
        <f>SUM(OSRRefH22_6x_0)</f>
        <v>0</v>
      </c>
      <c r="I49" s="1"/>
      <c r="J49" s="5">
        <f t="shared" si="25"/>
        <v>0</v>
      </c>
      <c r="K49" s="1"/>
      <c r="L49" s="1">
        <f t="shared" si="26"/>
        <v>0</v>
      </c>
      <c r="M49" s="1"/>
      <c r="N49" s="5">
        <f t="shared" si="27"/>
        <v>0</v>
      </c>
      <c r="O49" s="14"/>
      <c r="P49" s="1">
        <f>SUM(OSRRefP22_6x_0)</f>
        <v>122.51</v>
      </c>
      <c r="Q49" s="1"/>
      <c r="R49" s="5">
        <f t="shared" si="28"/>
        <v>0</v>
      </c>
      <c r="S49" s="1"/>
      <c r="T49" s="1">
        <f>SUM(OSRRefT22_6x_0)</f>
        <v>500</v>
      </c>
      <c r="U49" s="1"/>
      <c r="V49" s="5">
        <f t="shared" si="29"/>
        <v>0</v>
      </c>
      <c r="W49" s="1"/>
      <c r="X49" s="1">
        <f t="shared" si="30"/>
        <v>-377.49</v>
      </c>
      <c r="Y49" s="1"/>
      <c r="Z49" s="5">
        <f t="shared" si="31"/>
        <v>-0.75497999999999998</v>
      </c>
    </row>
    <row r="50" spans="1:26" s="24" customFormat="1" hidden="1" outlineLevel="2" x14ac:dyDescent="0.3">
      <c r="A50" s="27"/>
      <c r="B50" s="11" t="str">
        <f>CONCATENATE("          ", "6279", " - ", "GENERAL EXPENSE")</f>
        <v xml:space="preserve">          6279 - GENERAL EXPENSE</v>
      </c>
      <c r="C50" s="11"/>
      <c r="D50" s="6"/>
      <c r="E50" s="2"/>
      <c r="F50" s="7">
        <f t="shared" si="24"/>
        <v>0</v>
      </c>
      <c r="G50" s="2"/>
      <c r="H50" s="6"/>
      <c r="I50" s="2"/>
      <c r="J50" s="7">
        <f t="shared" si="25"/>
        <v>0</v>
      </c>
      <c r="K50" s="2"/>
      <c r="L50" s="6">
        <f t="shared" si="26"/>
        <v>0</v>
      </c>
      <c r="M50" s="2"/>
      <c r="N50" s="7">
        <f t="shared" si="27"/>
        <v>0</v>
      </c>
      <c r="O50" s="11"/>
      <c r="P50" s="6">
        <v>122.51</v>
      </c>
      <c r="Q50" s="2"/>
      <c r="R50" s="7">
        <f t="shared" si="28"/>
        <v>0</v>
      </c>
      <c r="S50" s="2"/>
      <c r="T50" s="6">
        <v>500</v>
      </c>
      <c r="U50" s="2"/>
      <c r="V50" s="7">
        <f t="shared" si="29"/>
        <v>0</v>
      </c>
      <c r="W50" s="2"/>
      <c r="X50" s="6">
        <f t="shared" si="30"/>
        <v>-377.49</v>
      </c>
      <c r="Y50" s="2"/>
      <c r="Z50" s="7">
        <f t="shared" si="31"/>
        <v>-0.75497999999999998</v>
      </c>
    </row>
    <row r="51" spans="1:26" s="29" customFormat="1" outlineLevel="1" collapsed="1" x14ac:dyDescent="0.3">
      <c r="A51" s="28"/>
      <c r="B51" s="14" t="str">
        <f>CONCATENATE("     ","Insurance                                         ")</f>
        <v xml:space="preserve">     Insurance                                         </v>
      </c>
      <c r="C51" s="14"/>
      <c r="D51" s="1">
        <f>SUM(OSRRefD22_7x_0)</f>
        <v>4884.6000000000004</v>
      </c>
      <c r="E51" s="1"/>
      <c r="F51" s="5">
        <f t="shared" si="24"/>
        <v>0</v>
      </c>
      <c r="G51" s="1"/>
      <c r="H51" s="1">
        <f>SUM(OSRRefH22_7x_0)</f>
        <v>4820</v>
      </c>
      <c r="I51" s="1"/>
      <c r="J51" s="5">
        <f t="shared" si="25"/>
        <v>0</v>
      </c>
      <c r="K51" s="1"/>
      <c r="L51" s="1">
        <f t="shared" si="26"/>
        <v>64.600000000000364</v>
      </c>
      <c r="M51" s="1"/>
      <c r="N51" s="5">
        <f t="shared" si="27"/>
        <v>1.3402489626556092E-2</v>
      </c>
      <c r="O51" s="14"/>
      <c r="P51" s="1">
        <f>SUM(OSRRefP22_7x_0)</f>
        <v>31306</v>
      </c>
      <c r="Q51" s="1"/>
      <c r="R51" s="5">
        <f t="shared" si="28"/>
        <v>0</v>
      </c>
      <c r="S51" s="1"/>
      <c r="T51" s="1">
        <f>SUM(OSRRefT22_7x_0)</f>
        <v>24100</v>
      </c>
      <c r="U51" s="1"/>
      <c r="V51" s="5">
        <f t="shared" si="29"/>
        <v>0</v>
      </c>
      <c r="W51" s="1"/>
      <c r="X51" s="1">
        <f t="shared" si="30"/>
        <v>7206</v>
      </c>
      <c r="Y51" s="1"/>
      <c r="Z51" s="5">
        <f t="shared" si="31"/>
        <v>0.29900414937759334</v>
      </c>
    </row>
    <row r="52" spans="1:26" s="24" customFormat="1" hidden="1" outlineLevel="2" x14ac:dyDescent="0.3">
      <c r="A52" s="27"/>
      <c r="B52" s="11" t="str">
        <f>CONCATENATE("          ", "6314", " - ", "LIABILITY INSURANCE")</f>
        <v xml:space="preserve">          6314 - LIABILITY INSURANCE</v>
      </c>
      <c r="C52" s="11"/>
      <c r="D52" s="6">
        <v>4884.6000000000004</v>
      </c>
      <c r="E52" s="2"/>
      <c r="F52" s="7">
        <f t="shared" si="24"/>
        <v>0</v>
      </c>
      <c r="G52" s="2"/>
      <c r="H52" s="6">
        <v>4820</v>
      </c>
      <c r="I52" s="2"/>
      <c r="J52" s="7">
        <f t="shared" si="25"/>
        <v>0</v>
      </c>
      <c r="K52" s="2"/>
      <c r="L52" s="6">
        <f t="shared" si="26"/>
        <v>64.600000000000364</v>
      </c>
      <c r="M52" s="2"/>
      <c r="N52" s="7">
        <f t="shared" si="27"/>
        <v>1.3402489626556092E-2</v>
      </c>
      <c r="O52" s="11"/>
      <c r="P52" s="6">
        <v>31306</v>
      </c>
      <c r="Q52" s="2"/>
      <c r="R52" s="7">
        <f t="shared" si="28"/>
        <v>0</v>
      </c>
      <c r="S52" s="2"/>
      <c r="T52" s="6">
        <v>24100</v>
      </c>
      <c r="U52" s="2"/>
      <c r="V52" s="7">
        <f t="shared" si="29"/>
        <v>0</v>
      </c>
      <c r="W52" s="2"/>
      <c r="X52" s="6">
        <f t="shared" si="30"/>
        <v>7206</v>
      </c>
      <c r="Y52" s="2"/>
      <c r="Z52" s="7">
        <f t="shared" si="31"/>
        <v>0.29900414937759334</v>
      </c>
    </row>
    <row r="53" spans="1:26" s="29" customFormat="1" outlineLevel="1" collapsed="1" x14ac:dyDescent="0.3">
      <c r="A53" s="28"/>
      <c r="B53" s="14" t="str">
        <f>CONCATENATE("     ","Repair and Maintenance                            ")</f>
        <v xml:space="preserve">     Repair and Maintenance                            </v>
      </c>
      <c r="C53" s="14"/>
      <c r="D53" s="1">
        <f>SUM(OSRRefD22_8x_0)</f>
        <v>2067.02</v>
      </c>
      <c r="E53" s="1"/>
      <c r="F53" s="5">
        <f t="shared" si="24"/>
        <v>0</v>
      </c>
      <c r="G53" s="1"/>
      <c r="H53" s="1">
        <f>SUM(OSRRefH22_8x_0)</f>
        <v>0</v>
      </c>
      <c r="I53" s="1"/>
      <c r="J53" s="5">
        <f t="shared" si="25"/>
        <v>0</v>
      </c>
      <c r="K53" s="1"/>
      <c r="L53" s="1">
        <f t="shared" si="26"/>
        <v>2067.02</v>
      </c>
      <c r="M53" s="1"/>
      <c r="N53" s="5">
        <f t="shared" si="27"/>
        <v>0</v>
      </c>
      <c r="O53" s="14"/>
      <c r="P53" s="1">
        <f>SUM(OSRRefP22_8x_0)</f>
        <v>16529.230000000003</v>
      </c>
      <c r="Q53" s="1"/>
      <c r="R53" s="5">
        <f t="shared" si="28"/>
        <v>0</v>
      </c>
      <c r="S53" s="1"/>
      <c r="T53" s="1">
        <f>SUM(OSRRefT22_8x_0)</f>
        <v>0</v>
      </c>
      <c r="U53" s="1"/>
      <c r="V53" s="5">
        <f t="shared" si="29"/>
        <v>0</v>
      </c>
      <c r="W53" s="1"/>
      <c r="X53" s="1">
        <f t="shared" si="30"/>
        <v>16529.230000000003</v>
      </c>
      <c r="Y53" s="1"/>
      <c r="Z53" s="5">
        <f t="shared" si="31"/>
        <v>0</v>
      </c>
    </row>
    <row r="54" spans="1:26" s="24" customFormat="1" hidden="1" outlineLevel="2" x14ac:dyDescent="0.3">
      <c r="A54" s="27"/>
      <c r="B54" s="11" t="str">
        <f>CONCATENATE("          ", "6371", " - ", "COMPUTER SOFTWARE MAINTENANCE")</f>
        <v xml:space="preserve">          6371 - COMPUTER SOFTWARE MAINTENANCE</v>
      </c>
      <c r="C54" s="11"/>
      <c r="D54" s="6">
        <v>380.32</v>
      </c>
      <c r="E54" s="2"/>
      <c r="F54" s="7">
        <f t="shared" si="24"/>
        <v>0</v>
      </c>
      <c r="G54" s="2"/>
      <c r="H54" s="6"/>
      <c r="I54" s="2"/>
      <c r="J54" s="7">
        <f t="shared" si="25"/>
        <v>0</v>
      </c>
      <c r="K54" s="2"/>
      <c r="L54" s="6">
        <f t="shared" si="26"/>
        <v>380.32</v>
      </c>
      <c r="M54" s="2"/>
      <c r="N54" s="7">
        <f t="shared" si="27"/>
        <v>0</v>
      </c>
      <c r="O54" s="11"/>
      <c r="P54" s="6">
        <v>5717.72</v>
      </c>
      <c r="Q54" s="2"/>
      <c r="R54" s="7">
        <f t="shared" si="28"/>
        <v>0</v>
      </c>
      <c r="S54" s="2"/>
      <c r="T54" s="6"/>
      <c r="U54" s="2"/>
      <c r="V54" s="7">
        <f t="shared" si="29"/>
        <v>0</v>
      </c>
      <c r="W54" s="2"/>
      <c r="X54" s="6">
        <f t="shared" si="30"/>
        <v>5717.72</v>
      </c>
      <c r="Y54" s="2"/>
      <c r="Z54" s="7">
        <f t="shared" si="31"/>
        <v>0</v>
      </c>
    </row>
    <row r="55" spans="1:26" s="24" customFormat="1" hidden="1" outlineLevel="2" x14ac:dyDescent="0.3">
      <c r="A55" s="27"/>
      <c r="B55" s="11" t="str">
        <f>CONCATENATE("          ", "6373", " - ", "MAINTENANCE CONTRACTS")</f>
        <v xml:space="preserve">          6373 - MAINTENANCE CONTRACTS</v>
      </c>
      <c r="C55" s="11"/>
      <c r="D55" s="6">
        <v>1241.7</v>
      </c>
      <c r="E55" s="2"/>
      <c r="F55" s="7">
        <f t="shared" si="24"/>
        <v>0</v>
      </c>
      <c r="G55" s="2"/>
      <c r="H55" s="6"/>
      <c r="I55" s="2"/>
      <c r="J55" s="7">
        <f t="shared" si="25"/>
        <v>0</v>
      </c>
      <c r="K55" s="2"/>
      <c r="L55" s="6">
        <f t="shared" si="26"/>
        <v>1241.7</v>
      </c>
      <c r="M55" s="2"/>
      <c r="N55" s="7">
        <f t="shared" si="27"/>
        <v>0</v>
      </c>
      <c r="O55" s="11"/>
      <c r="P55" s="6">
        <v>2609.25</v>
      </c>
      <c r="Q55" s="2"/>
      <c r="R55" s="7">
        <f t="shared" si="28"/>
        <v>0</v>
      </c>
      <c r="S55" s="2"/>
      <c r="T55" s="6"/>
      <c r="U55" s="2"/>
      <c r="V55" s="7">
        <f t="shared" si="29"/>
        <v>0</v>
      </c>
      <c r="W55" s="2"/>
      <c r="X55" s="6">
        <f t="shared" si="30"/>
        <v>2609.25</v>
      </c>
      <c r="Y55" s="2"/>
      <c r="Z55" s="7">
        <f t="shared" si="31"/>
        <v>0</v>
      </c>
    </row>
    <row r="56" spans="1:26" s="24" customFormat="1" hidden="1" outlineLevel="2" x14ac:dyDescent="0.3">
      <c r="A56" s="27"/>
      <c r="B56" s="11" t="str">
        <f>CONCATENATE("          ", "6375", " - ", "OUTSIDE REPAIRS &amp; MAINTENANCE")</f>
        <v xml:space="preserve">          6375 - OUTSIDE REPAIRS &amp; MAINTENANCE</v>
      </c>
      <c r="C56" s="11"/>
      <c r="D56" s="6">
        <v>445</v>
      </c>
      <c r="E56" s="2"/>
      <c r="F56" s="7">
        <f t="shared" si="24"/>
        <v>0</v>
      </c>
      <c r="G56" s="2"/>
      <c r="H56" s="6"/>
      <c r="I56" s="2"/>
      <c r="J56" s="7">
        <f t="shared" si="25"/>
        <v>0</v>
      </c>
      <c r="K56" s="2"/>
      <c r="L56" s="6">
        <f t="shared" si="26"/>
        <v>445</v>
      </c>
      <c r="M56" s="2"/>
      <c r="N56" s="7">
        <f t="shared" si="27"/>
        <v>0</v>
      </c>
      <c r="O56" s="11"/>
      <c r="P56" s="6">
        <v>8202.26</v>
      </c>
      <c r="Q56" s="2"/>
      <c r="R56" s="7">
        <f t="shared" si="28"/>
        <v>0</v>
      </c>
      <c r="S56" s="2"/>
      <c r="T56" s="6"/>
      <c r="U56" s="2"/>
      <c r="V56" s="7">
        <f t="shared" si="29"/>
        <v>0</v>
      </c>
      <c r="W56" s="2"/>
      <c r="X56" s="6">
        <f t="shared" si="30"/>
        <v>8202.26</v>
      </c>
      <c r="Y56" s="2"/>
      <c r="Z56" s="7">
        <f t="shared" si="31"/>
        <v>0</v>
      </c>
    </row>
    <row r="57" spans="1:26" s="29" customFormat="1" outlineLevel="1" collapsed="1" x14ac:dyDescent="0.3">
      <c r="A57" s="28"/>
      <c r="B57" s="14" t="str">
        <f>CONCATENATE("     ","Services                                          ")</f>
        <v xml:space="preserve">     Services                                          </v>
      </c>
      <c r="C57" s="14"/>
      <c r="D57" s="1">
        <f>SUM(OSRRefD22_9x_0)</f>
        <v>670.1</v>
      </c>
      <c r="E57" s="1"/>
      <c r="F57" s="5">
        <f t="shared" ref="F57:F60" si="32">IF(D$12=0,0,D57/D$12)</f>
        <v>0</v>
      </c>
      <c r="G57" s="1"/>
      <c r="H57" s="1">
        <f>SUM(OSRRefH22_9x_0)</f>
        <v>650</v>
      </c>
      <c r="I57" s="1"/>
      <c r="J57" s="5">
        <f t="shared" ref="J57:J60" si="33">IF(H$12=0,0,H57/H$12)</f>
        <v>0</v>
      </c>
      <c r="K57" s="1"/>
      <c r="L57" s="1">
        <f t="shared" ref="L57:L60" si="34">+D57-H57</f>
        <v>20.100000000000023</v>
      </c>
      <c r="M57" s="1"/>
      <c r="N57" s="5">
        <f t="shared" ref="N57:N60" si="35">IF(H57=0,0,L57/H57)</f>
        <v>3.0923076923076959E-2</v>
      </c>
      <c r="O57" s="14"/>
      <c r="P57" s="1">
        <f>SUM(OSRRefP22_9x_0)</f>
        <v>7024.82</v>
      </c>
      <c r="Q57" s="1"/>
      <c r="R57" s="5">
        <f t="shared" ref="R57:R60" si="36">IF(P$12=0,0,P57/P$12)</f>
        <v>0</v>
      </c>
      <c r="S57" s="1"/>
      <c r="T57" s="1">
        <f>SUM(OSRRefT22_9x_0)</f>
        <v>4125</v>
      </c>
      <c r="U57" s="1"/>
      <c r="V57" s="5">
        <f t="shared" ref="V57:V60" si="37">IF(T$12=0,0,T57/T$12)</f>
        <v>0</v>
      </c>
      <c r="W57" s="1"/>
      <c r="X57" s="1">
        <f t="shared" ref="X57:X60" si="38">+P57-T57</f>
        <v>2899.8199999999997</v>
      </c>
      <c r="Y57" s="1"/>
      <c r="Z57" s="5">
        <f t="shared" ref="Z57:Z60" si="39">IF(T57=0,0,X57/T57)</f>
        <v>0.70298666666666665</v>
      </c>
    </row>
    <row r="58" spans="1:26" s="24" customFormat="1" hidden="1" outlineLevel="2" x14ac:dyDescent="0.3">
      <c r="A58" s="27"/>
      <c r="B58" s="11" t="str">
        <f>CONCATENATE("          ", "6282", " - ", "JANITORIAL/EXTERMINATOR EXPENS")</f>
        <v xml:space="preserve">          6282 - JANITORIAL/EXTERMINATOR EXPENS</v>
      </c>
      <c r="C58" s="11"/>
      <c r="D58" s="6">
        <v>670.1</v>
      </c>
      <c r="E58" s="2"/>
      <c r="F58" s="7">
        <f t="shared" si="32"/>
        <v>0</v>
      </c>
      <c r="G58" s="2"/>
      <c r="H58" s="6">
        <v>650</v>
      </c>
      <c r="I58" s="2"/>
      <c r="J58" s="7">
        <f t="shared" si="33"/>
        <v>0</v>
      </c>
      <c r="K58" s="2"/>
      <c r="L58" s="6">
        <f t="shared" si="34"/>
        <v>20.100000000000023</v>
      </c>
      <c r="M58" s="2"/>
      <c r="N58" s="7">
        <f t="shared" si="35"/>
        <v>3.0923076923076959E-2</v>
      </c>
      <c r="O58" s="11"/>
      <c r="P58" s="6">
        <v>3350.5</v>
      </c>
      <c r="Q58" s="2"/>
      <c r="R58" s="7">
        <f t="shared" si="36"/>
        <v>0</v>
      </c>
      <c r="S58" s="2"/>
      <c r="T58" s="6">
        <v>3250</v>
      </c>
      <c r="U58" s="2"/>
      <c r="V58" s="7">
        <f t="shared" si="37"/>
        <v>0</v>
      </c>
      <c r="W58" s="2"/>
      <c r="X58" s="6">
        <f t="shared" si="38"/>
        <v>100.5</v>
      </c>
      <c r="Y58" s="2"/>
      <c r="Z58" s="7">
        <f t="shared" si="39"/>
        <v>3.0923076923076925E-2</v>
      </c>
    </row>
    <row r="59" spans="1:26" s="24" customFormat="1" hidden="1" outlineLevel="2" x14ac:dyDescent="0.3">
      <c r="A59" s="27"/>
      <c r="B59" s="11" t="str">
        <f>CONCATENATE("          ", "6284", " - ", "TRASH REMOVAL EXPENSE")</f>
        <v xml:space="preserve">          6284 - TRASH REMOVAL EXPENSE</v>
      </c>
      <c r="C59" s="11"/>
      <c r="D59" s="6"/>
      <c r="E59" s="2"/>
      <c r="F59" s="7">
        <f t="shared" si="32"/>
        <v>0</v>
      </c>
      <c r="G59" s="2"/>
      <c r="H59" s="6"/>
      <c r="I59" s="2"/>
      <c r="J59" s="7">
        <f t="shared" si="33"/>
        <v>0</v>
      </c>
      <c r="K59" s="2"/>
      <c r="L59" s="6">
        <f t="shared" si="34"/>
        <v>0</v>
      </c>
      <c r="M59" s="2"/>
      <c r="N59" s="7">
        <f t="shared" si="35"/>
        <v>0</v>
      </c>
      <c r="O59" s="11"/>
      <c r="P59" s="6"/>
      <c r="Q59" s="2"/>
      <c r="R59" s="7">
        <f t="shared" si="36"/>
        <v>0</v>
      </c>
      <c r="S59" s="2"/>
      <c r="T59" s="6">
        <v>0</v>
      </c>
      <c r="U59" s="2"/>
      <c r="V59" s="7">
        <f t="shared" si="37"/>
        <v>0</v>
      </c>
      <c r="W59" s="2"/>
      <c r="X59" s="6">
        <f t="shared" si="38"/>
        <v>0</v>
      </c>
      <c r="Y59" s="2"/>
      <c r="Z59" s="7">
        <f t="shared" si="39"/>
        <v>0</v>
      </c>
    </row>
    <row r="60" spans="1:26" s="24" customFormat="1" hidden="1" outlineLevel="2" x14ac:dyDescent="0.3">
      <c r="A60" s="27"/>
      <c r="B60" s="11" t="str">
        <f>CONCATENATE("          ", "6285", " - ", "JANITORIAL SERVICES")</f>
        <v xml:space="preserve">          6285 - JANITORIAL SERVICES</v>
      </c>
      <c r="C60" s="11"/>
      <c r="D60" s="6"/>
      <c r="E60" s="2"/>
      <c r="F60" s="7">
        <f t="shared" si="32"/>
        <v>0</v>
      </c>
      <c r="G60" s="2"/>
      <c r="H60" s="6"/>
      <c r="I60" s="2"/>
      <c r="J60" s="7">
        <f t="shared" si="33"/>
        <v>0</v>
      </c>
      <c r="K60" s="2"/>
      <c r="L60" s="6">
        <f t="shared" si="34"/>
        <v>0</v>
      </c>
      <c r="M60" s="2"/>
      <c r="N60" s="7">
        <f t="shared" si="35"/>
        <v>0</v>
      </c>
      <c r="O60" s="11"/>
      <c r="P60" s="6">
        <v>3674.32</v>
      </c>
      <c r="Q60" s="2"/>
      <c r="R60" s="7">
        <f t="shared" si="36"/>
        <v>0</v>
      </c>
      <c r="S60" s="2"/>
      <c r="T60" s="6">
        <v>875</v>
      </c>
      <c r="U60" s="2"/>
      <c r="V60" s="7">
        <f t="shared" si="37"/>
        <v>0</v>
      </c>
      <c r="W60" s="2"/>
      <c r="X60" s="6">
        <f t="shared" si="38"/>
        <v>2799.32</v>
      </c>
      <c r="Y60" s="2"/>
      <c r="Z60" s="7">
        <f t="shared" si="39"/>
        <v>3.1992228571428574</v>
      </c>
    </row>
    <row r="61" spans="1:26" s="29" customFormat="1" outlineLevel="1" collapsed="1" x14ac:dyDescent="0.3">
      <c r="A61" s="28"/>
      <c r="B61" s="14" t="str">
        <f>CONCATENATE("     ","Supplies                                          ")</f>
        <v xml:space="preserve">     Supplies                                          </v>
      </c>
      <c r="C61" s="14"/>
      <c r="D61" s="1">
        <f>SUM(OSRRefD22_10x_0)</f>
        <v>0</v>
      </c>
      <c r="E61" s="1"/>
      <c r="F61" s="5">
        <f t="shared" ref="F61:F70" si="40">IF(D$12=0,0,D61/D$12)</f>
        <v>0</v>
      </c>
      <c r="G61" s="1"/>
      <c r="H61" s="1">
        <f>SUM(OSRRefH22_10x_0)</f>
        <v>0</v>
      </c>
      <c r="I61" s="1"/>
      <c r="J61" s="5">
        <f t="shared" ref="J61:J70" si="41">IF(H$12=0,0,H61/H$12)</f>
        <v>0</v>
      </c>
      <c r="K61" s="1"/>
      <c r="L61" s="1">
        <f t="shared" ref="L61:L70" si="42">+D61-H61</f>
        <v>0</v>
      </c>
      <c r="M61" s="1"/>
      <c r="N61" s="5">
        <f t="shared" ref="N61:N70" si="43">IF(H61=0,0,L61/H61)</f>
        <v>0</v>
      </c>
      <c r="O61" s="14"/>
      <c r="P61" s="1">
        <f>SUM(OSRRefP22_10x_0)</f>
        <v>160.16</v>
      </c>
      <c r="Q61" s="1"/>
      <c r="R61" s="5">
        <f t="shared" ref="R61:R70" si="44">IF(P$12=0,0,P61/P$12)</f>
        <v>0</v>
      </c>
      <c r="S61" s="1"/>
      <c r="T61" s="1">
        <f>SUM(OSRRefT22_10x_0)</f>
        <v>0</v>
      </c>
      <c r="U61" s="1"/>
      <c r="V61" s="5">
        <f t="shared" ref="V61:V70" si="45">IF(T$12=0,0,T61/T$12)</f>
        <v>0</v>
      </c>
      <c r="W61" s="1"/>
      <c r="X61" s="1">
        <f t="shared" ref="X61:X70" si="46">+P61-T61</f>
        <v>160.16</v>
      </c>
      <c r="Y61" s="1"/>
      <c r="Z61" s="5">
        <f t="shared" ref="Z61:Z70" si="47">IF(T61=0,0,X61/T61)</f>
        <v>0</v>
      </c>
    </row>
    <row r="62" spans="1:26" s="24" customFormat="1" hidden="1" outlineLevel="2" x14ac:dyDescent="0.3">
      <c r="A62" s="27"/>
      <c r="B62" s="11" t="str">
        <f>CONCATENATE("          ", "6241", " - ", "OFFICE EXPENSE")</f>
        <v xml:space="preserve">          6241 - OFFICE EXPENSE</v>
      </c>
      <c r="C62" s="11"/>
      <c r="D62" s="6"/>
      <c r="E62" s="2"/>
      <c r="F62" s="7">
        <f t="shared" si="40"/>
        <v>0</v>
      </c>
      <c r="G62" s="2"/>
      <c r="H62" s="6"/>
      <c r="I62" s="2"/>
      <c r="J62" s="7">
        <f t="shared" si="41"/>
        <v>0</v>
      </c>
      <c r="K62" s="2"/>
      <c r="L62" s="6">
        <f t="shared" si="42"/>
        <v>0</v>
      </c>
      <c r="M62" s="2"/>
      <c r="N62" s="7">
        <f t="shared" si="43"/>
        <v>0</v>
      </c>
      <c r="O62" s="11"/>
      <c r="P62" s="6">
        <v>160.16</v>
      </c>
      <c r="Q62" s="2"/>
      <c r="R62" s="7">
        <f t="shared" si="44"/>
        <v>0</v>
      </c>
      <c r="S62" s="2"/>
      <c r="T62" s="6"/>
      <c r="U62" s="2"/>
      <c r="V62" s="7">
        <f t="shared" si="45"/>
        <v>0</v>
      </c>
      <c r="W62" s="2"/>
      <c r="X62" s="6">
        <f t="shared" si="46"/>
        <v>160.16</v>
      </c>
      <c r="Y62" s="2"/>
      <c r="Z62" s="7">
        <f t="shared" si="47"/>
        <v>0</v>
      </c>
    </row>
    <row r="63" spans="1:26" s="29" customFormat="1" outlineLevel="1" collapsed="1" x14ac:dyDescent="0.3">
      <c r="A63" s="28"/>
      <c r="B63" s="14" t="str">
        <f>CONCATENATE("     ","Telephone/Data Lines                              ")</f>
        <v xml:space="preserve">     Telephone/Data Lines                              </v>
      </c>
      <c r="C63" s="14"/>
      <c r="D63" s="1">
        <f>SUM(OSRRefD22_11x_0)</f>
        <v>187.3</v>
      </c>
      <c r="E63" s="1"/>
      <c r="F63" s="5">
        <f t="shared" si="40"/>
        <v>0</v>
      </c>
      <c r="G63" s="1"/>
      <c r="H63" s="1">
        <f>SUM(OSRRefH22_11x_0)</f>
        <v>0</v>
      </c>
      <c r="I63" s="1"/>
      <c r="J63" s="5">
        <f t="shared" si="41"/>
        <v>0</v>
      </c>
      <c r="K63" s="1"/>
      <c r="L63" s="1">
        <f t="shared" si="42"/>
        <v>187.3</v>
      </c>
      <c r="M63" s="1"/>
      <c r="N63" s="5">
        <f t="shared" si="43"/>
        <v>0</v>
      </c>
      <c r="O63" s="14"/>
      <c r="P63" s="1">
        <f>SUM(OSRRefP22_11x_0)</f>
        <v>1127.6099999999999</v>
      </c>
      <c r="Q63" s="1"/>
      <c r="R63" s="5">
        <f t="shared" si="44"/>
        <v>0</v>
      </c>
      <c r="S63" s="1"/>
      <c r="T63" s="1">
        <f>SUM(OSRRefT22_11x_0)</f>
        <v>0</v>
      </c>
      <c r="U63" s="1"/>
      <c r="V63" s="5">
        <f t="shared" si="45"/>
        <v>0</v>
      </c>
      <c r="W63" s="1"/>
      <c r="X63" s="1">
        <f t="shared" si="46"/>
        <v>1127.6099999999999</v>
      </c>
      <c r="Y63" s="1"/>
      <c r="Z63" s="5">
        <f t="shared" si="47"/>
        <v>0</v>
      </c>
    </row>
    <row r="64" spans="1:26" s="24" customFormat="1" hidden="1" outlineLevel="2" x14ac:dyDescent="0.3">
      <c r="A64" s="27"/>
      <c r="B64" s="11" t="str">
        <f>CONCATENATE("          ", "6309", " - ", "TELEPHONE")</f>
        <v xml:space="preserve">          6309 - TELEPHONE</v>
      </c>
      <c r="C64" s="11"/>
      <c r="D64" s="6">
        <v>187.3</v>
      </c>
      <c r="E64" s="2"/>
      <c r="F64" s="7">
        <f t="shared" si="40"/>
        <v>0</v>
      </c>
      <c r="G64" s="2"/>
      <c r="H64" s="6"/>
      <c r="I64" s="2"/>
      <c r="J64" s="7">
        <f t="shared" si="41"/>
        <v>0</v>
      </c>
      <c r="K64" s="2"/>
      <c r="L64" s="6">
        <f t="shared" si="42"/>
        <v>187.3</v>
      </c>
      <c r="M64" s="2"/>
      <c r="N64" s="7">
        <f t="shared" si="43"/>
        <v>0</v>
      </c>
      <c r="O64" s="11"/>
      <c r="P64" s="6">
        <v>1127.6099999999999</v>
      </c>
      <c r="Q64" s="2"/>
      <c r="R64" s="7">
        <f t="shared" si="44"/>
        <v>0</v>
      </c>
      <c r="S64" s="2"/>
      <c r="T64" s="6"/>
      <c r="U64" s="2"/>
      <c r="V64" s="7">
        <f t="shared" si="45"/>
        <v>0</v>
      </c>
      <c r="W64" s="2"/>
      <c r="X64" s="6">
        <f t="shared" si="46"/>
        <v>1127.6099999999999</v>
      </c>
      <c r="Y64" s="2"/>
      <c r="Z64" s="7">
        <f t="shared" si="47"/>
        <v>0</v>
      </c>
    </row>
    <row r="65" spans="1:26" s="29" customFormat="1" outlineLevel="1" collapsed="1" x14ac:dyDescent="0.3">
      <c r="A65" s="28"/>
      <c r="B65" s="14" t="str">
        <f>CONCATENATE("     ","Training                                          ")</f>
        <v xml:space="preserve">     Training                                          </v>
      </c>
      <c r="C65" s="14"/>
      <c r="D65" s="1">
        <f>SUM(OSRRefD22_12x_0)</f>
        <v>0</v>
      </c>
      <c r="E65" s="1"/>
      <c r="F65" s="5">
        <f t="shared" si="40"/>
        <v>0</v>
      </c>
      <c r="G65" s="1"/>
      <c r="H65" s="1">
        <f>SUM(OSRRefH22_12x_0)</f>
        <v>0</v>
      </c>
      <c r="I65" s="1"/>
      <c r="J65" s="5">
        <f t="shared" si="41"/>
        <v>0</v>
      </c>
      <c r="K65" s="1"/>
      <c r="L65" s="1">
        <f t="shared" si="42"/>
        <v>0</v>
      </c>
      <c r="M65" s="1"/>
      <c r="N65" s="5">
        <f t="shared" si="43"/>
        <v>0</v>
      </c>
      <c r="O65" s="14"/>
      <c r="P65" s="1">
        <f>SUM(OSRRefP22_12x_0)</f>
        <v>0</v>
      </c>
      <c r="Q65" s="1"/>
      <c r="R65" s="5">
        <f t="shared" si="44"/>
        <v>0</v>
      </c>
      <c r="S65" s="1"/>
      <c r="T65" s="1">
        <f>SUM(OSRRefT22_12x_0)</f>
        <v>0</v>
      </c>
      <c r="U65" s="1"/>
      <c r="V65" s="5">
        <f t="shared" si="45"/>
        <v>0</v>
      </c>
      <c r="W65" s="1"/>
      <c r="X65" s="1">
        <f t="shared" si="46"/>
        <v>0</v>
      </c>
      <c r="Y65" s="1"/>
      <c r="Z65" s="5">
        <f t="shared" si="47"/>
        <v>0</v>
      </c>
    </row>
    <row r="66" spans="1:26" s="24" customFormat="1" hidden="1" outlineLevel="2" x14ac:dyDescent="0.3">
      <c r="A66" s="27"/>
      <c r="B66" s="11" t="str">
        <f>CONCATENATE("          ", "6376", " - ", "TRAINING")</f>
        <v xml:space="preserve">          6376 - TRAINING</v>
      </c>
      <c r="C66" s="11"/>
      <c r="D66" s="6"/>
      <c r="E66" s="2"/>
      <c r="F66" s="7">
        <f t="shared" si="40"/>
        <v>0</v>
      </c>
      <c r="G66" s="2"/>
      <c r="H66" s="6"/>
      <c r="I66" s="2"/>
      <c r="J66" s="7">
        <f t="shared" si="41"/>
        <v>0</v>
      </c>
      <c r="K66" s="2"/>
      <c r="L66" s="6">
        <f t="shared" si="42"/>
        <v>0</v>
      </c>
      <c r="M66" s="2"/>
      <c r="N66" s="7">
        <f t="shared" si="43"/>
        <v>0</v>
      </c>
      <c r="O66" s="11"/>
      <c r="P66" s="6"/>
      <c r="Q66" s="2"/>
      <c r="R66" s="7">
        <f t="shared" si="44"/>
        <v>0</v>
      </c>
      <c r="S66" s="2"/>
      <c r="T66" s="6">
        <v>0</v>
      </c>
      <c r="U66" s="2"/>
      <c r="V66" s="7">
        <f t="shared" si="45"/>
        <v>0</v>
      </c>
      <c r="W66" s="2"/>
      <c r="X66" s="6">
        <f t="shared" si="46"/>
        <v>0</v>
      </c>
      <c r="Y66" s="2"/>
      <c r="Z66" s="7">
        <f t="shared" si="47"/>
        <v>0</v>
      </c>
    </row>
    <row r="67" spans="1:26" s="29" customFormat="1" outlineLevel="1" collapsed="1" x14ac:dyDescent="0.3">
      <c r="A67" s="28"/>
      <c r="B67" s="14" t="str">
        <f>CONCATENATE("     ","Travel                                            ")</f>
        <v xml:space="preserve">     Travel                                            </v>
      </c>
      <c r="C67" s="14"/>
      <c r="D67" s="1">
        <f>SUM(OSRRefD22_13x_0)</f>
        <v>18.59</v>
      </c>
      <c r="E67" s="1"/>
      <c r="F67" s="5">
        <f t="shared" si="40"/>
        <v>0</v>
      </c>
      <c r="G67" s="1"/>
      <c r="H67" s="1">
        <f>SUM(OSRRefH22_13x_0)</f>
        <v>0</v>
      </c>
      <c r="I67" s="1"/>
      <c r="J67" s="5">
        <f t="shared" si="41"/>
        <v>0</v>
      </c>
      <c r="K67" s="1"/>
      <c r="L67" s="1">
        <f t="shared" si="42"/>
        <v>18.59</v>
      </c>
      <c r="M67" s="1"/>
      <c r="N67" s="5">
        <f t="shared" si="43"/>
        <v>0</v>
      </c>
      <c r="O67" s="14"/>
      <c r="P67" s="1">
        <f>SUM(OSRRefP22_13x_0)</f>
        <v>18.59</v>
      </c>
      <c r="Q67" s="1"/>
      <c r="R67" s="5">
        <f t="shared" si="44"/>
        <v>0</v>
      </c>
      <c r="S67" s="1"/>
      <c r="T67" s="1">
        <f>SUM(OSRRefT22_13x_0)</f>
        <v>0</v>
      </c>
      <c r="U67" s="1"/>
      <c r="V67" s="5">
        <f t="shared" si="45"/>
        <v>0</v>
      </c>
      <c r="W67" s="1"/>
      <c r="X67" s="1">
        <f t="shared" si="46"/>
        <v>18.59</v>
      </c>
      <c r="Y67" s="1"/>
      <c r="Z67" s="5">
        <f t="shared" si="47"/>
        <v>0</v>
      </c>
    </row>
    <row r="68" spans="1:26" s="24" customFormat="1" hidden="1" outlineLevel="2" x14ac:dyDescent="0.3">
      <c r="A68" s="27"/>
      <c r="B68" s="11" t="str">
        <f>CONCATENATE("          ", "6292", " - ", "TRAVEL/CONFERENCE")</f>
        <v xml:space="preserve">          6292 - TRAVEL/CONFERENCE</v>
      </c>
      <c r="C68" s="11"/>
      <c r="D68" s="6">
        <v>18.59</v>
      </c>
      <c r="E68" s="2"/>
      <c r="F68" s="7">
        <f t="shared" si="40"/>
        <v>0</v>
      </c>
      <c r="G68" s="2"/>
      <c r="H68" s="6"/>
      <c r="I68" s="2"/>
      <c r="J68" s="7">
        <f t="shared" si="41"/>
        <v>0</v>
      </c>
      <c r="K68" s="2"/>
      <c r="L68" s="6">
        <f t="shared" si="42"/>
        <v>18.59</v>
      </c>
      <c r="M68" s="2"/>
      <c r="N68" s="7">
        <f t="shared" si="43"/>
        <v>0</v>
      </c>
      <c r="O68" s="11"/>
      <c r="P68" s="6">
        <v>18.59</v>
      </c>
      <c r="Q68" s="2"/>
      <c r="R68" s="7">
        <f t="shared" si="44"/>
        <v>0</v>
      </c>
      <c r="S68" s="2"/>
      <c r="T68" s="6"/>
      <c r="U68" s="2"/>
      <c r="V68" s="7">
        <f t="shared" si="45"/>
        <v>0</v>
      </c>
      <c r="W68" s="2"/>
      <c r="X68" s="6">
        <f t="shared" si="46"/>
        <v>18.59</v>
      </c>
      <c r="Y68" s="2"/>
      <c r="Z68" s="7">
        <f t="shared" si="47"/>
        <v>0</v>
      </c>
    </row>
    <row r="69" spans="1:26" s="29" customFormat="1" outlineLevel="1" collapsed="1" x14ac:dyDescent="0.3">
      <c r="A69" s="28"/>
      <c r="B69" s="14" t="str">
        <f>CONCATENATE("     ","Utilities                                         ")</f>
        <v xml:space="preserve">     Utilities                                         </v>
      </c>
      <c r="C69" s="14"/>
      <c r="D69" s="1">
        <f>SUM(OSRRefD22_14x_0)</f>
        <v>5550</v>
      </c>
      <c r="E69" s="1"/>
      <c r="F69" s="5">
        <f t="shared" si="40"/>
        <v>0</v>
      </c>
      <c r="G69" s="1"/>
      <c r="H69" s="1">
        <f>SUM(OSRRefH22_14x_0)</f>
        <v>5550</v>
      </c>
      <c r="I69" s="1"/>
      <c r="J69" s="5">
        <f t="shared" si="41"/>
        <v>0</v>
      </c>
      <c r="K69" s="1"/>
      <c r="L69" s="1">
        <f t="shared" si="42"/>
        <v>0</v>
      </c>
      <c r="M69" s="1"/>
      <c r="N69" s="5">
        <f t="shared" si="43"/>
        <v>0</v>
      </c>
      <c r="O69" s="14"/>
      <c r="P69" s="1">
        <f>SUM(OSRRefP22_14x_0)</f>
        <v>27750</v>
      </c>
      <c r="Q69" s="1"/>
      <c r="R69" s="5">
        <f t="shared" si="44"/>
        <v>0</v>
      </c>
      <c r="S69" s="1"/>
      <c r="T69" s="1">
        <f>SUM(OSRRefT22_14x_0)</f>
        <v>27750</v>
      </c>
      <c r="U69" s="1"/>
      <c r="V69" s="5">
        <f t="shared" si="45"/>
        <v>0</v>
      </c>
      <c r="W69" s="1"/>
      <c r="X69" s="1">
        <f t="shared" si="46"/>
        <v>0</v>
      </c>
      <c r="Y69" s="1"/>
      <c r="Z69" s="5">
        <f t="shared" si="47"/>
        <v>0</v>
      </c>
    </row>
    <row r="70" spans="1:26" s="24" customFormat="1" hidden="1" outlineLevel="2" x14ac:dyDescent="0.3">
      <c r="A70" s="27"/>
      <c r="B70" s="11" t="str">
        <f>CONCATENATE("          ", "6274", " - ", "UTILITIES")</f>
        <v xml:space="preserve">          6274 - UTILITIES</v>
      </c>
      <c r="C70" s="11"/>
      <c r="D70" s="6">
        <v>5550</v>
      </c>
      <c r="E70" s="2"/>
      <c r="F70" s="7">
        <f t="shared" si="40"/>
        <v>0</v>
      </c>
      <c r="G70" s="2"/>
      <c r="H70" s="6">
        <v>5550</v>
      </c>
      <c r="I70" s="2"/>
      <c r="J70" s="7">
        <f t="shared" si="41"/>
        <v>0</v>
      </c>
      <c r="K70" s="2"/>
      <c r="L70" s="6">
        <f t="shared" si="42"/>
        <v>0</v>
      </c>
      <c r="M70" s="2"/>
      <c r="N70" s="7">
        <f t="shared" si="43"/>
        <v>0</v>
      </c>
      <c r="O70" s="11"/>
      <c r="P70" s="6">
        <v>27750</v>
      </c>
      <c r="Q70" s="2"/>
      <c r="R70" s="7">
        <f t="shared" si="44"/>
        <v>0</v>
      </c>
      <c r="S70" s="2"/>
      <c r="T70" s="6">
        <v>27750</v>
      </c>
      <c r="U70" s="2"/>
      <c r="V70" s="7">
        <f t="shared" si="45"/>
        <v>0</v>
      </c>
      <c r="W70" s="2"/>
      <c r="X70" s="6">
        <f t="shared" si="46"/>
        <v>0</v>
      </c>
      <c r="Y70" s="2"/>
      <c r="Z70" s="7">
        <f t="shared" si="47"/>
        <v>0</v>
      </c>
    </row>
    <row r="71" spans="1:26" s="63" customFormat="1" x14ac:dyDescent="0.3">
      <c r="A71" s="36"/>
      <c r="B71" s="36"/>
      <c r="C71" s="36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6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collapsed="1" x14ac:dyDescent="0.3">
      <c r="A72" s="10"/>
      <c r="B72" s="25" t="s">
        <v>293</v>
      </c>
      <c r="C72" s="10"/>
      <c r="D72" s="4">
        <f>SUM(OSRRefD25x_0)</f>
        <v>0</v>
      </c>
      <c r="E72" s="4"/>
      <c r="F72" s="12">
        <f t="shared" ref="F72:F73" si="48">IF(D$12=0,0,D72/D$12)</f>
        <v>0</v>
      </c>
      <c r="G72" s="4"/>
      <c r="H72" s="4">
        <f>SUM(OSRRefH25x_0)</f>
        <v>0</v>
      </c>
      <c r="I72" s="4"/>
      <c r="J72" s="12">
        <f t="shared" ref="J72:J73" si="49">IF(H$12=0,0,H72/H$12)</f>
        <v>0</v>
      </c>
      <c r="K72" s="4"/>
      <c r="L72" s="4">
        <f t="shared" ref="L72:L73" si="50">+D72-H72</f>
        <v>0</v>
      </c>
      <c r="M72" s="4"/>
      <c r="N72" s="12">
        <f t="shared" ref="N72:N73" si="51">IF(H72=0,0,L72/H72)</f>
        <v>0</v>
      </c>
      <c r="O72" s="10"/>
      <c r="P72" s="4">
        <f>SUM(OSRRefP25x_0)</f>
        <v>3545.95</v>
      </c>
      <c r="Q72" s="4"/>
      <c r="R72" s="12">
        <f t="shared" ref="R72:R73" si="52">IF(P$12=0,0,P72/P$12)</f>
        <v>0</v>
      </c>
      <c r="S72" s="4"/>
      <c r="T72" s="4">
        <f>SUM(OSRRefT25x_0)</f>
        <v>0</v>
      </c>
      <c r="U72" s="4"/>
      <c r="V72" s="12">
        <f t="shared" ref="V72:V73" si="53">IF(T$12=0,0,T72/T$12)</f>
        <v>0</v>
      </c>
      <c r="W72" s="4"/>
      <c r="X72" s="4">
        <f t="shared" ref="X72:X73" si="54">+P72-T72</f>
        <v>3545.95</v>
      </c>
      <c r="Y72" s="4"/>
      <c r="Z72" s="12">
        <f t="shared" ref="Z72:Z73" si="55">IF(T72=0,0,X72/T72)</f>
        <v>0</v>
      </c>
    </row>
    <row r="73" spans="1:26" s="24" customFormat="1" hidden="1" outlineLevel="1" x14ac:dyDescent="0.3">
      <c r="A73" s="44"/>
      <c r="B73" s="11" t="str">
        <f>CONCATENATE("          ", "9150", " - ", "MISC. INCOME")</f>
        <v xml:space="preserve">          9150 - MISC. INCOME</v>
      </c>
      <c r="C73" s="11"/>
      <c r="D73" s="2">
        <f>0</f>
        <v>0</v>
      </c>
      <c r="E73" s="2"/>
      <c r="F73" s="19">
        <f t="shared" si="48"/>
        <v>0</v>
      </c>
      <c r="G73" s="2"/>
      <c r="H73" s="2"/>
      <c r="I73" s="2"/>
      <c r="J73" s="19">
        <f t="shared" si="49"/>
        <v>0</v>
      </c>
      <c r="K73" s="2"/>
      <c r="L73" s="2">
        <f t="shared" si="50"/>
        <v>0</v>
      </c>
      <c r="M73" s="2"/>
      <c r="N73" s="19">
        <f t="shared" si="51"/>
        <v>0</v>
      </c>
      <c r="O73" s="11"/>
      <c r="P73" s="2">
        <f>--3545.95</f>
        <v>3545.95</v>
      </c>
      <c r="Q73" s="2"/>
      <c r="R73" s="19">
        <f t="shared" si="52"/>
        <v>0</v>
      </c>
      <c r="S73" s="2"/>
      <c r="T73" s="2"/>
      <c r="U73" s="2"/>
      <c r="V73" s="19">
        <f t="shared" si="53"/>
        <v>0</v>
      </c>
      <c r="W73" s="2"/>
      <c r="X73" s="2">
        <f t="shared" si="54"/>
        <v>3545.95</v>
      </c>
      <c r="Y73" s="2"/>
      <c r="Z73" s="19">
        <f t="shared" si="55"/>
        <v>0</v>
      </c>
    </row>
    <row r="74" spans="1:26" x14ac:dyDescent="0.3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3">
      <c r="A75" s="10"/>
      <c r="B75" s="26" t="s">
        <v>277</v>
      </c>
      <c r="C75" s="26"/>
      <c r="D75" s="20">
        <f>+D16-D18+D72</f>
        <v>-43690.45</v>
      </c>
      <c r="E75" s="13"/>
      <c r="F75" s="22">
        <f>IF(D$12=0,0,D75/D$12)</f>
        <v>0</v>
      </c>
      <c r="G75" s="13"/>
      <c r="H75" s="20">
        <f>+H16-H18+H72</f>
        <v>-41947.132430769241</v>
      </c>
      <c r="I75" s="13"/>
      <c r="J75" s="22">
        <f>IF(H$12=0,0,H75/H$12)</f>
        <v>0</v>
      </c>
      <c r="K75" s="15"/>
      <c r="L75" s="20">
        <f>+D75-H75</f>
        <v>-1743.3175692307559</v>
      </c>
      <c r="M75" s="15"/>
      <c r="N75" s="22">
        <f>IF(H75=0,0,L75/H75)</f>
        <v>4.1559874732986279E-2</v>
      </c>
      <c r="O75" s="25"/>
      <c r="P75" s="20">
        <f>+P16-P18+P72</f>
        <v>-246338.61000000002</v>
      </c>
      <c r="Q75" s="13"/>
      <c r="R75" s="22">
        <f>IF(P$12=0,0,P75/P$12)</f>
        <v>0</v>
      </c>
      <c r="S75" s="13"/>
      <c r="T75" s="20">
        <f>+T16-T18+T72</f>
        <v>-221781.72836923078</v>
      </c>
      <c r="U75" s="13"/>
      <c r="V75" s="22">
        <f>IF(T$12=0,0,T75/T$12)</f>
        <v>0</v>
      </c>
      <c r="W75" s="15"/>
      <c r="X75" s="20">
        <f>+P75-T75</f>
        <v>-24556.881630769232</v>
      </c>
      <c r="Y75" s="15"/>
      <c r="Z75" s="22">
        <f>IF(T75=0,0,X75/T75)</f>
        <v>0.11072544979848831</v>
      </c>
    </row>
    <row r="76" spans="1:26" x14ac:dyDescent="0.3">
      <c r="A76" s="9"/>
      <c r="B76" s="10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3">
      <c r="A77" s="52"/>
      <c r="B77" s="10" t="s">
        <v>128</v>
      </c>
      <c r="C77" s="10"/>
      <c r="D77" s="4"/>
      <c r="E77" s="4"/>
      <c r="F77" s="12">
        <f>IF(D$12=0,0,D77/D$12)</f>
        <v>0</v>
      </c>
      <c r="G77" s="4"/>
      <c r="H77" s="4"/>
      <c r="I77" s="4"/>
      <c r="J77" s="12">
        <f>IF(H$12=0,0,H77/H$12)</f>
        <v>0</v>
      </c>
      <c r="K77" s="4"/>
      <c r="L77" s="4">
        <f>+D77-H77</f>
        <v>0</v>
      </c>
      <c r="M77" s="4"/>
      <c r="N77" s="12">
        <f>IF(H77=0,0,L77/H77)</f>
        <v>0</v>
      </c>
      <c r="O77" s="10"/>
      <c r="P77" s="4"/>
      <c r="Q77" s="4"/>
      <c r="R77" s="12">
        <f>IF(P$12=0,0,P77/P$12)</f>
        <v>0</v>
      </c>
      <c r="S77" s="4"/>
      <c r="T77" s="4"/>
      <c r="U77" s="4"/>
      <c r="V77" s="12">
        <f>IF(T$12=0,0,T77/T$12)</f>
        <v>0</v>
      </c>
      <c r="W77" s="4"/>
      <c r="X77" s="4">
        <f>+P77-T77</f>
        <v>0</v>
      </c>
      <c r="Y77" s="4"/>
      <c r="Z77" s="12">
        <f>IF(T77=0,0,X77/T77)</f>
        <v>0</v>
      </c>
    </row>
    <row r="78" spans="1:26" x14ac:dyDescent="0.3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" thickBot="1" x14ac:dyDescent="0.35">
      <c r="A79" s="10"/>
      <c r="B79" s="26" t="s">
        <v>126</v>
      </c>
      <c r="C79" s="26"/>
      <c r="D79" s="33">
        <f>+D75-D77</f>
        <v>-43690.45</v>
      </c>
      <c r="E79" s="13"/>
      <c r="F79" s="34">
        <f>IF(D$12=0,0,D79/D$12)</f>
        <v>0</v>
      </c>
      <c r="G79" s="13"/>
      <c r="H79" s="33">
        <f>+H75-H77</f>
        <v>-41947.132430769241</v>
      </c>
      <c r="I79" s="13"/>
      <c r="J79" s="34">
        <f>IF(H$12=0,0,H79/H$12)</f>
        <v>0</v>
      </c>
      <c r="K79" s="15"/>
      <c r="L79" s="33">
        <f>D79-H79</f>
        <v>-1743.3175692307559</v>
      </c>
      <c r="M79" s="15"/>
      <c r="N79" s="34">
        <f>IF(H79=0,0,L79/H79)</f>
        <v>4.1559874732986279E-2</v>
      </c>
      <c r="O79" s="25"/>
      <c r="P79" s="33">
        <f>+P75-P77</f>
        <v>-246338.61000000002</v>
      </c>
      <c r="Q79" s="13"/>
      <c r="R79" s="34">
        <f>IF(P$12=0,0,P79/P$12)</f>
        <v>0</v>
      </c>
      <c r="S79" s="13"/>
      <c r="T79" s="33">
        <f>+T75-T77</f>
        <v>-221781.72836923078</v>
      </c>
      <c r="U79" s="13"/>
      <c r="V79" s="34">
        <f>IF(T$12=0,0,T79/T$12)</f>
        <v>0</v>
      </c>
      <c r="W79" s="15"/>
      <c r="X79" s="33">
        <f>P79-T79</f>
        <v>-24556.881630769232</v>
      </c>
      <c r="Y79" s="15"/>
      <c r="Z79" s="34">
        <f>IF(T79=0,0,X79/T79)</f>
        <v>0.11072544979848831</v>
      </c>
    </row>
    <row r="80" spans="1:26" ht="15" thickTop="1" x14ac:dyDescent="0.3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x14ac:dyDescent="0.3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" thickBot="1" x14ac:dyDescent="0.35">
      <c r="A82" s="10"/>
      <c r="B82" s="26" t="s">
        <v>294</v>
      </c>
      <c r="C82" s="26"/>
      <c r="D82" s="35">
        <f>SUM(D79:D81)</f>
        <v>-43690.45</v>
      </c>
      <c r="E82" s="13"/>
      <c r="F82" s="32">
        <f>IF(D$12=0,0,D82/D$12)</f>
        <v>0</v>
      </c>
      <c r="G82" s="13"/>
      <c r="H82" s="35">
        <f>SUM(H79:H81)</f>
        <v>-41947.132430769241</v>
      </c>
      <c r="I82" s="13"/>
      <c r="J82" s="32">
        <f>IF(H$12=0,0,H82/H$12)</f>
        <v>0</v>
      </c>
      <c r="K82" s="15"/>
      <c r="L82" s="35">
        <f>+D82-H82</f>
        <v>-1743.3175692307559</v>
      </c>
      <c r="M82" s="15"/>
      <c r="N82" s="32">
        <f>IF(H82=0,0,L82/H82)</f>
        <v>4.1559874732986279E-2</v>
      </c>
      <c r="O82" s="25"/>
      <c r="P82" s="35">
        <f>SUM(P79:P81)</f>
        <v>-246338.61000000002</v>
      </c>
      <c r="Q82" s="13"/>
      <c r="R82" s="32">
        <f>IF(P$12=0,0,P82/P$12)</f>
        <v>0</v>
      </c>
      <c r="S82" s="13"/>
      <c r="T82" s="35">
        <f>SUM(T79:T81)</f>
        <v>-221781.72836923078</v>
      </c>
      <c r="U82" s="13"/>
      <c r="V82" s="32">
        <f>IF(T$12=0,0,T82/T$12)</f>
        <v>0</v>
      </c>
      <c r="W82" s="15"/>
      <c r="X82" s="35">
        <f>+P82-T82</f>
        <v>-24556.881630769232</v>
      </c>
      <c r="Y82" s="15"/>
      <c r="Z82" s="32">
        <f>IF(T82=0,0,X82/T82)</f>
        <v>0.11072544979848831</v>
      </c>
    </row>
    <row r="83" spans="1:26" ht="15" thickTop="1" x14ac:dyDescent="0.3">
      <c r="A83" s="9"/>
      <c r="C83" s="9"/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6" x14ac:dyDescent="0.3">
      <c r="A84" s="9"/>
      <c r="B84" s="60">
        <v>44543.753113078703</v>
      </c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6" x14ac:dyDescent="0.3">
      <c r="A85" s="9"/>
      <c r="B85" s="58" t="s">
        <v>56</v>
      </c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3">
      <c r="A86" s="9"/>
      <c r="B86" s="55"/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  <row r="87" spans="1:26" x14ac:dyDescent="0.3"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92D050"/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","412", " - ", "Chartroom")</f>
        <v>Department 412 - Chartroom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5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1">
        <f>SUM(OSRRefD22x_0)</f>
        <v>577.36</v>
      </c>
      <c r="E18" s="21"/>
      <c r="F18" s="30">
        <f t="shared" ref="F18:F26" si="0">IF(D$12=0,0,D18/D$12)</f>
        <v>0</v>
      </c>
      <c r="G18" s="21"/>
      <c r="H18" s="21">
        <f>SUM(OSRRefH22x_0)</f>
        <v>577</v>
      </c>
      <c r="I18" s="21"/>
      <c r="J18" s="30">
        <f t="shared" ref="J18:J26" si="1">IF(H$12=0,0,H18/H$12)</f>
        <v>0</v>
      </c>
      <c r="K18" s="4"/>
      <c r="L18" s="21">
        <f t="shared" ref="L18:L26" si="2">+D18-H18</f>
        <v>0.36000000000001364</v>
      </c>
      <c r="M18" s="4"/>
      <c r="N18" s="30">
        <f t="shared" ref="N18:N26" si="3">IF(H18=0,0,L18/H18)</f>
        <v>6.2391681109187809E-4</v>
      </c>
      <c r="O18" s="10"/>
      <c r="P18" s="21">
        <f>SUM(OSRRefP22x_0)</f>
        <v>3082.83</v>
      </c>
      <c r="Q18" s="21"/>
      <c r="R18" s="30">
        <f t="shared" ref="R18:R26" si="4">IF(P$12=0,0,P18/P$12)</f>
        <v>0</v>
      </c>
      <c r="S18" s="21"/>
      <c r="T18" s="21">
        <f>SUM(OSRRefT22x_0)</f>
        <v>2885</v>
      </c>
      <c r="U18" s="21"/>
      <c r="V18" s="30">
        <f t="shared" ref="V18:V26" si="5">IF(T$12=0,0,T18/T$12)</f>
        <v>0</v>
      </c>
      <c r="W18" s="4"/>
      <c r="X18" s="21">
        <f t="shared" ref="X18:X26" si="6">+P18-T18</f>
        <v>197.82999999999993</v>
      </c>
      <c r="Y18" s="4"/>
      <c r="Z18" s="30">
        <f t="shared" ref="Z18:Z26" si="7">IF(T18=0,0,X18/T18)</f>
        <v>6.8571923743500837E-2</v>
      </c>
    </row>
    <row r="19" spans="1:26" s="29" customFormat="1" outlineLevel="1" collapsed="1" x14ac:dyDescent="0.3">
      <c r="A19" s="28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577.36</v>
      </c>
      <c r="E19" s="1"/>
      <c r="F19" s="5">
        <f t="shared" si="0"/>
        <v>0</v>
      </c>
      <c r="G19" s="1"/>
      <c r="H19" s="1">
        <f>SUM(OSRRefH22_0x_0)</f>
        <v>577</v>
      </c>
      <c r="I19" s="1"/>
      <c r="J19" s="5">
        <f t="shared" si="1"/>
        <v>0</v>
      </c>
      <c r="K19" s="1"/>
      <c r="L19" s="1">
        <f t="shared" si="2"/>
        <v>0.36000000000001364</v>
      </c>
      <c r="M19" s="1"/>
      <c r="N19" s="5">
        <f t="shared" si="3"/>
        <v>6.2391681109187809E-4</v>
      </c>
      <c r="O19" s="14"/>
      <c r="P19" s="1">
        <f>SUM(OSRRefP22_0x_0)</f>
        <v>2886.8</v>
      </c>
      <c r="Q19" s="1"/>
      <c r="R19" s="5">
        <f t="shared" si="4"/>
        <v>0</v>
      </c>
      <c r="S19" s="1"/>
      <c r="T19" s="1">
        <f>SUM(OSRRefT22_0x_0)</f>
        <v>2885</v>
      </c>
      <c r="U19" s="1"/>
      <c r="V19" s="5">
        <f t="shared" si="5"/>
        <v>0</v>
      </c>
      <c r="W19" s="1"/>
      <c r="X19" s="1">
        <f t="shared" si="6"/>
        <v>1.8000000000001819</v>
      </c>
      <c r="Y19" s="1"/>
      <c r="Z19" s="5">
        <f t="shared" si="7"/>
        <v>6.2391681109191745E-4</v>
      </c>
    </row>
    <row r="20" spans="1:26" s="24" customFormat="1" hidden="1" outlineLevel="2" x14ac:dyDescent="0.3">
      <c r="A20" s="27"/>
      <c r="B20" s="11" t="str">
        <f>CONCATENATE("          ", "6322", " - ", "EQUIPMENT DEPRECIATION EXPENSE")</f>
        <v xml:space="preserve">          6322 - EQUIPMENT DEPRECIATION EXPENSE</v>
      </c>
      <c r="C20" s="11"/>
      <c r="D20" s="6">
        <v>577.36</v>
      </c>
      <c r="E20" s="2"/>
      <c r="F20" s="7">
        <f t="shared" si="0"/>
        <v>0</v>
      </c>
      <c r="G20" s="2"/>
      <c r="H20" s="6">
        <v>577</v>
      </c>
      <c r="I20" s="2"/>
      <c r="J20" s="7">
        <f t="shared" si="1"/>
        <v>0</v>
      </c>
      <c r="K20" s="2"/>
      <c r="L20" s="6">
        <f t="shared" si="2"/>
        <v>0.36000000000001364</v>
      </c>
      <c r="M20" s="2"/>
      <c r="N20" s="7">
        <f t="shared" si="3"/>
        <v>6.2391681109187809E-4</v>
      </c>
      <c r="O20" s="11"/>
      <c r="P20" s="6">
        <v>2886.8</v>
      </c>
      <c r="Q20" s="2"/>
      <c r="R20" s="7">
        <f t="shared" si="4"/>
        <v>0</v>
      </c>
      <c r="S20" s="2"/>
      <c r="T20" s="6">
        <v>2885</v>
      </c>
      <c r="U20" s="2"/>
      <c r="V20" s="7">
        <f t="shared" si="5"/>
        <v>0</v>
      </c>
      <c r="W20" s="2"/>
      <c r="X20" s="6">
        <f t="shared" si="6"/>
        <v>1.8000000000001819</v>
      </c>
      <c r="Y20" s="2"/>
      <c r="Z20" s="7">
        <f t="shared" si="7"/>
        <v>6.2391681109191745E-4</v>
      </c>
    </row>
    <row r="21" spans="1:26" s="29" customFormat="1" outlineLevel="1" collapsed="1" x14ac:dyDescent="0.3">
      <c r="A21" s="28"/>
      <c r="B21" s="14" t="str">
        <f>CONCATENATE("     ","Repair and Maintenance                            ")</f>
        <v xml:space="preserve">     Repair and Maintenance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0</v>
      </c>
      <c r="M21" s="1"/>
      <c r="N21" s="5">
        <f t="shared" si="3"/>
        <v>0</v>
      </c>
      <c r="O21" s="14"/>
      <c r="P21" s="1">
        <f>SUM(OSRRefP22_1x_0)</f>
        <v>60.43</v>
      </c>
      <c r="Q21" s="1"/>
      <c r="R21" s="5">
        <f t="shared" si="4"/>
        <v>0</v>
      </c>
      <c r="S21" s="1"/>
      <c r="T21" s="1">
        <f>SUM(OSRRefT22_1x_0)</f>
        <v>0</v>
      </c>
      <c r="U21" s="1"/>
      <c r="V21" s="5">
        <f t="shared" si="5"/>
        <v>0</v>
      </c>
      <c r="W21" s="1"/>
      <c r="X21" s="1">
        <f t="shared" si="6"/>
        <v>60.43</v>
      </c>
      <c r="Y21" s="1"/>
      <c r="Z21" s="5">
        <f t="shared" si="7"/>
        <v>0</v>
      </c>
    </row>
    <row r="22" spans="1:26" s="24" customFormat="1" hidden="1" outlineLevel="2" x14ac:dyDescent="0.3">
      <c r="A22" s="27"/>
      <c r="B22" s="11" t="str">
        <f>CONCATENATE("          ", "6373", " - ", "MAINTENANCE CONTRACTS")</f>
        <v xml:space="preserve">          6373 - MAINTENANCE CONTRACTS</v>
      </c>
      <c r="C22" s="11"/>
      <c r="D22" s="6"/>
      <c r="E22" s="2"/>
      <c r="F22" s="7">
        <f t="shared" si="0"/>
        <v>0</v>
      </c>
      <c r="G22" s="2"/>
      <c r="H22" s="6"/>
      <c r="I22" s="2"/>
      <c r="J22" s="7">
        <f t="shared" si="1"/>
        <v>0</v>
      </c>
      <c r="K22" s="2"/>
      <c r="L22" s="6">
        <f t="shared" si="2"/>
        <v>0</v>
      </c>
      <c r="M22" s="2"/>
      <c r="N22" s="7">
        <f t="shared" si="3"/>
        <v>0</v>
      </c>
      <c r="O22" s="11"/>
      <c r="P22" s="6">
        <v>60.43</v>
      </c>
      <c r="Q22" s="2"/>
      <c r="R22" s="7">
        <f t="shared" si="4"/>
        <v>0</v>
      </c>
      <c r="S22" s="2"/>
      <c r="T22" s="6"/>
      <c r="U22" s="2"/>
      <c r="V22" s="7">
        <f t="shared" si="5"/>
        <v>0</v>
      </c>
      <c r="W22" s="2"/>
      <c r="X22" s="6">
        <f t="shared" si="6"/>
        <v>60.43</v>
      </c>
      <c r="Y22" s="2"/>
      <c r="Z22" s="7">
        <f t="shared" si="7"/>
        <v>0</v>
      </c>
    </row>
    <row r="23" spans="1:26" s="29" customFormat="1" outlineLevel="1" collapsed="1" x14ac:dyDescent="0.3">
      <c r="A23" s="28"/>
      <c r="B23" s="14" t="str">
        <f>CONCATENATE("     ","Services                                          ")</f>
        <v xml:space="preserve">     Services                                          </v>
      </c>
      <c r="C23" s="14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0</v>
      </c>
      <c r="M23" s="1"/>
      <c r="N23" s="5">
        <f t="shared" si="3"/>
        <v>0</v>
      </c>
      <c r="O23" s="14"/>
      <c r="P23" s="1">
        <f>SUM(OSRRefP22_2x_0)</f>
        <v>0</v>
      </c>
      <c r="Q23" s="1"/>
      <c r="R23" s="5">
        <f t="shared" si="4"/>
        <v>0</v>
      </c>
      <c r="S23" s="1"/>
      <c r="T23" s="1">
        <f>SUM(OSRRefT22_2x_0)</f>
        <v>0</v>
      </c>
      <c r="U23" s="1"/>
      <c r="V23" s="5">
        <f t="shared" si="5"/>
        <v>0</v>
      </c>
      <c r="W23" s="1"/>
      <c r="X23" s="1">
        <f t="shared" si="6"/>
        <v>0</v>
      </c>
      <c r="Y23" s="1"/>
      <c r="Z23" s="5">
        <f t="shared" si="7"/>
        <v>0</v>
      </c>
    </row>
    <row r="24" spans="1:26" s="24" customFormat="1" hidden="1" outlineLevel="2" x14ac:dyDescent="0.3">
      <c r="A24" s="27"/>
      <c r="B24" s="11" t="str">
        <f>CONCATENATE("          ", "6284", " - ", "TRASH REMOVAL EXPENSE")</f>
        <v xml:space="preserve">          6284 - TRASH REMOVAL EXPENSE</v>
      </c>
      <c r="C24" s="11"/>
      <c r="D24" s="6"/>
      <c r="E24" s="2"/>
      <c r="F24" s="7">
        <f t="shared" si="0"/>
        <v>0</v>
      </c>
      <c r="G24" s="2"/>
      <c r="H24" s="6"/>
      <c r="I24" s="2"/>
      <c r="J24" s="7">
        <f t="shared" si="1"/>
        <v>0</v>
      </c>
      <c r="K24" s="2"/>
      <c r="L24" s="6">
        <f t="shared" si="2"/>
        <v>0</v>
      </c>
      <c r="M24" s="2"/>
      <c r="N24" s="7">
        <f t="shared" si="3"/>
        <v>0</v>
      </c>
      <c r="O24" s="11"/>
      <c r="P24" s="6"/>
      <c r="Q24" s="2"/>
      <c r="R24" s="7">
        <f t="shared" si="4"/>
        <v>0</v>
      </c>
      <c r="S24" s="2"/>
      <c r="T24" s="6">
        <v>0</v>
      </c>
      <c r="U24" s="2"/>
      <c r="V24" s="7">
        <f t="shared" si="5"/>
        <v>0</v>
      </c>
      <c r="W24" s="2"/>
      <c r="X24" s="6">
        <f t="shared" si="6"/>
        <v>0</v>
      </c>
      <c r="Y24" s="2"/>
      <c r="Z24" s="7">
        <f t="shared" si="7"/>
        <v>0</v>
      </c>
    </row>
    <row r="25" spans="1:26" s="29" customFormat="1" outlineLevel="1" collapsed="1" x14ac:dyDescent="0.3">
      <c r="A25" s="28"/>
      <c r="B25" s="14" t="str">
        <f>CONCATENATE("     ","Telephone/Data Lines                              ")</f>
        <v xml:space="preserve">     Telephone/Data Lines                              </v>
      </c>
      <c r="C25" s="14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4"/>
      <c r="P25" s="1">
        <f>SUM(OSRRefP22_3x_0)</f>
        <v>135.6</v>
      </c>
      <c r="Q25" s="1"/>
      <c r="R25" s="5">
        <f t="shared" si="4"/>
        <v>0</v>
      </c>
      <c r="S25" s="1"/>
      <c r="T25" s="1">
        <f>SUM(OSRRefT22_3x_0)</f>
        <v>0</v>
      </c>
      <c r="U25" s="1"/>
      <c r="V25" s="5">
        <f t="shared" si="5"/>
        <v>0</v>
      </c>
      <c r="W25" s="1"/>
      <c r="X25" s="1">
        <f t="shared" si="6"/>
        <v>135.6</v>
      </c>
      <c r="Y25" s="1"/>
      <c r="Z25" s="5">
        <f t="shared" si="7"/>
        <v>0</v>
      </c>
    </row>
    <row r="26" spans="1:26" s="24" customFormat="1" hidden="1" outlineLevel="2" x14ac:dyDescent="0.3">
      <c r="A26" s="27"/>
      <c r="B26" s="11" t="str">
        <f>CONCATENATE("          ", "6309", " - ", "TELEPHONE")</f>
        <v xml:space="preserve">          6309 - TELEPHONE</v>
      </c>
      <c r="C26" s="11"/>
      <c r="D26" s="6"/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1"/>
      <c r="P26" s="6">
        <v>135.6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135.6</v>
      </c>
      <c r="Y26" s="2"/>
      <c r="Z26" s="7">
        <f t="shared" si="7"/>
        <v>0</v>
      </c>
    </row>
    <row r="27" spans="1:26" s="63" customFormat="1" x14ac:dyDescent="0.3">
      <c r="A27" s="36"/>
      <c r="B27" s="36"/>
      <c r="C27" s="36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6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3">
      <c r="A28" s="10"/>
      <c r="B28" s="25" t="s">
        <v>293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3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3">
      <c r="A30" s="10"/>
      <c r="B30" s="26" t="s">
        <v>277</v>
      </c>
      <c r="C30" s="26"/>
      <c r="D30" s="20">
        <f>+D16-D18+D28</f>
        <v>-577.36</v>
      </c>
      <c r="E30" s="13"/>
      <c r="F30" s="22">
        <f>IF(D$12=0,0,D30/D$12)</f>
        <v>0</v>
      </c>
      <c r="G30" s="13"/>
      <c r="H30" s="20">
        <f>+H16-H18+H28</f>
        <v>-577</v>
      </c>
      <c r="I30" s="13"/>
      <c r="J30" s="22">
        <f>IF(H$12=0,0,H30/H$12)</f>
        <v>0</v>
      </c>
      <c r="K30" s="15"/>
      <c r="L30" s="20">
        <f>+D30-H30</f>
        <v>-0.36000000000001364</v>
      </c>
      <c r="M30" s="15"/>
      <c r="N30" s="22">
        <f>IF(H30=0,0,L30/H30)</f>
        <v>6.2391681109187809E-4</v>
      </c>
      <c r="O30" s="25"/>
      <c r="P30" s="20">
        <f>+P16-P18+P28</f>
        <v>-3082.83</v>
      </c>
      <c r="Q30" s="13"/>
      <c r="R30" s="22">
        <f>IF(P$12=0,0,P30/P$12)</f>
        <v>0</v>
      </c>
      <c r="S30" s="13"/>
      <c r="T30" s="20">
        <f>+T16-T18+T28</f>
        <v>-2885</v>
      </c>
      <c r="U30" s="13"/>
      <c r="V30" s="22">
        <f>IF(T$12=0,0,T30/T$12)</f>
        <v>0</v>
      </c>
      <c r="W30" s="15"/>
      <c r="X30" s="20">
        <f>+P30-T30</f>
        <v>-197.82999999999993</v>
      </c>
      <c r="Y30" s="15"/>
      <c r="Z30" s="22">
        <f>IF(T30=0,0,X30/T30)</f>
        <v>6.8571923743500837E-2</v>
      </c>
    </row>
    <row r="31" spans="1:26" x14ac:dyDescent="0.3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3">
      <c r="A32" s="52"/>
      <c r="B32" s="10" t="s">
        <v>128</v>
      </c>
      <c r="C32" s="10"/>
      <c r="D32" s="4"/>
      <c r="E32" s="4"/>
      <c r="F32" s="12">
        <f>IF(D$12=0,0,D32/D$12)</f>
        <v>0</v>
      </c>
      <c r="G32" s="4"/>
      <c r="H32" s="4"/>
      <c r="I32" s="4"/>
      <c r="J32" s="12">
        <f>IF(H$12=0,0,H32/H$12)</f>
        <v>0</v>
      </c>
      <c r="K32" s="4"/>
      <c r="L32" s="4">
        <f>+D32-H32</f>
        <v>0</v>
      </c>
      <c r="M32" s="4"/>
      <c r="N32" s="12">
        <f>IF(H32=0,0,L32/H32)</f>
        <v>0</v>
      </c>
      <c r="O32" s="10"/>
      <c r="P32" s="4"/>
      <c r="Q32" s="4"/>
      <c r="R32" s="12">
        <f>IF(P$12=0,0,P32/P$12)</f>
        <v>0</v>
      </c>
      <c r="S32" s="4"/>
      <c r="T32" s="4"/>
      <c r="U32" s="4"/>
      <c r="V32" s="12">
        <f>IF(T$12=0,0,T32/T$12)</f>
        <v>0</v>
      </c>
      <c r="W32" s="4"/>
      <c r="X32" s="4">
        <f>+P32-T32</f>
        <v>0</v>
      </c>
      <c r="Y32" s="4"/>
      <c r="Z32" s="12">
        <f>IF(T32=0,0,X32/T32)</f>
        <v>0</v>
      </c>
    </row>
    <row r="33" spans="1:26" x14ac:dyDescent="0.3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" thickBot="1" x14ac:dyDescent="0.35">
      <c r="A34" s="10"/>
      <c r="B34" s="26" t="s">
        <v>126</v>
      </c>
      <c r="C34" s="26"/>
      <c r="D34" s="33">
        <f>+D30-D32</f>
        <v>-577.36</v>
      </c>
      <c r="E34" s="13"/>
      <c r="F34" s="34">
        <f>IF(D$12=0,0,D34/D$12)</f>
        <v>0</v>
      </c>
      <c r="G34" s="13"/>
      <c r="H34" s="33">
        <f>+H30-H32</f>
        <v>-577</v>
      </c>
      <c r="I34" s="13"/>
      <c r="J34" s="34">
        <f>IF(H$12=0,0,H34/H$12)</f>
        <v>0</v>
      </c>
      <c r="K34" s="15"/>
      <c r="L34" s="33">
        <f>D34-H34</f>
        <v>-0.36000000000001364</v>
      </c>
      <c r="M34" s="15"/>
      <c r="N34" s="34">
        <f>IF(H34=0,0,L34/H34)</f>
        <v>6.2391681109187809E-4</v>
      </c>
      <c r="O34" s="25"/>
      <c r="P34" s="33">
        <f>+P30-P32</f>
        <v>-3082.83</v>
      </c>
      <c r="Q34" s="13"/>
      <c r="R34" s="34">
        <f>IF(P$12=0,0,P34/P$12)</f>
        <v>0</v>
      </c>
      <c r="S34" s="13"/>
      <c r="T34" s="33">
        <f>+T30-T32</f>
        <v>-2885</v>
      </c>
      <c r="U34" s="13"/>
      <c r="V34" s="34">
        <f>IF(T$12=0,0,T34/T$12)</f>
        <v>0</v>
      </c>
      <c r="W34" s="15"/>
      <c r="X34" s="33">
        <f>P34-T34</f>
        <v>-197.82999999999993</v>
      </c>
      <c r="Y34" s="15"/>
      <c r="Z34" s="34">
        <f>IF(T34=0,0,X34/T34)</f>
        <v>6.8571923743500837E-2</v>
      </c>
    </row>
    <row r="35" spans="1:26" ht="15" thickTop="1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3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" thickBot="1" x14ac:dyDescent="0.35">
      <c r="A37" s="10"/>
      <c r="B37" s="26" t="s">
        <v>294</v>
      </c>
      <c r="C37" s="26"/>
      <c r="D37" s="35">
        <f>SUM(D34:D36)</f>
        <v>-577.36</v>
      </c>
      <c r="E37" s="13"/>
      <c r="F37" s="32">
        <f>IF(D$12=0,0,D37/D$12)</f>
        <v>0</v>
      </c>
      <c r="G37" s="13"/>
      <c r="H37" s="35">
        <f>SUM(H34:H36)</f>
        <v>-577</v>
      </c>
      <c r="I37" s="13"/>
      <c r="J37" s="32">
        <f>IF(H$12=0,0,H37/H$12)</f>
        <v>0</v>
      </c>
      <c r="K37" s="15"/>
      <c r="L37" s="35">
        <f>+D37-H37</f>
        <v>-0.36000000000001364</v>
      </c>
      <c r="M37" s="15"/>
      <c r="N37" s="32">
        <f>IF(H37=0,0,L37/H37)</f>
        <v>6.2391681109187809E-4</v>
      </c>
      <c r="O37" s="25"/>
      <c r="P37" s="35">
        <f>SUM(P34:P36)</f>
        <v>-3082.83</v>
      </c>
      <c r="Q37" s="13"/>
      <c r="R37" s="32">
        <f>IF(P$12=0,0,P37/P$12)</f>
        <v>0</v>
      </c>
      <c r="S37" s="13"/>
      <c r="T37" s="35">
        <f>SUM(T34:T36)</f>
        <v>-2885</v>
      </c>
      <c r="U37" s="13"/>
      <c r="V37" s="32">
        <f>IF(T$12=0,0,T37/T$12)</f>
        <v>0</v>
      </c>
      <c r="W37" s="15"/>
      <c r="X37" s="35">
        <f>+P37-T37</f>
        <v>-197.82999999999993</v>
      </c>
      <c r="Y37" s="15"/>
      <c r="Z37" s="32">
        <f>IF(T37=0,0,X37/T37)</f>
        <v>6.8571923743500837E-2</v>
      </c>
    </row>
    <row r="38" spans="1:26" ht="15" thickTop="1" x14ac:dyDescent="0.3">
      <c r="A38" s="9"/>
      <c r="C38" s="9"/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60">
        <v>44543.753113078703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8" t="s">
        <v>56</v>
      </c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A41" s="9"/>
      <c r="B41" s="55"/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  <row r="42" spans="1:26" x14ac:dyDescent="0.3">
      <c r="D42" s="17"/>
      <c r="E42" s="17"/>
      <c r="G42" s="17"/>
      <c r="H42" s="17"/>
      <c r="I42" s="17"/>
      <c r="J42" s="42"/>
      <c r="K42" s="17"/>
      <c r="L42" s="17"/>
      <c r="M42" s="17"/>
      <c r="P42" s="17"/>
      <c r="Q42" s="17"/>
      <c r="R42" s="42"/>
      <c r="S42" s="17"/>
      <c r="T42" s="17"/>
      <c r="U42" s="17"/>
      <c r="V42" s="42"/>
      <c r="W42" s="17"/>
      <c r="X42" s="17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rgb="FF92D050"/>
    <outlinePr summaryBelow="0" summaryRight="0"/>
  </sheetPr>
  <dimension ref="A2:Z4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","413", " - ", "Beach Walk")</f>
        <v>Department 413 - Beach Walk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5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1">
        <f>SUM(OSRRefD22x_0)</f>
        <v>58.03</v>
      </c>
      <c r="E18" s="21"/>
      <c r="F18" s="30">
        <f t="shared" ref="F18:F24" si="0">IF(D$12=0,0,D18/D$12)</f>
        <v>0</v>
      </c>
      <c r="G18" s="21"/>
      <c r="H18" s="21">
        <f>SUM(OSRRefH22x_0)</f>
        <v>58</v>
      </c>
      <c r="I18" s="21"/>
      <c r="J18" s="30">
        <f t="shared" ref="J18:J24" si="1">IF(H$12=0,0,H18/H$12)</f>
        <v>0</v>
      </c>
      <c r="K18" s="4"/>
      <c r="L18" s="21">
        <f t="shared" ref="L18:L24" si="2">+D18-H18</f>
        <v>3.0000000000001137E-2</v>
      </c>
      <c r="M18" s="4"/>
      <c r="N18" s="30">
        <f t="shared" ref="N18:N24" si="3">IF(H18=0,0,L18/H18)</f>
        <v>5.1724137931036447E-4</v>
      </c>
      <c r="O18" s="10"/>
      <c r="P18" s="21">
        <f>SUM(OSRRefP22x_0)</f>
        <v>455.24</v>
      </c>
      <c r="Q18" s="21"/>
      <c r="R18" s="30">
        <f t="shared" ref="R18:R24" si="4">IF(P$12=0,0,P18/P$12)</f>
        <v>0</v>
      </c>
      <c r="S18" s="21"/>
      <c r="T18" s="21">
        <f>SUM(OSRRefT22x_0)</f>
        <v>290</v>
      </c>
      <c r="U18" s="21"/>
      <c r="V18" s="30">
        <f t="shared" ref="V18:V24" si="5">IF(T$12=0,0,T18/T$12)</f>
        <v>0</v>
      </c>
      <c r="W18" s="4"/>
      <c r="X18" s="21">
        <f t="shared" ref="X18:X24" si="6">+P18-T18</f>
        <v>165.24</v>
      </c>
      <c r="Y18" s="4"/>
      <c r="Z18" s="30">
        <f t="shared" ref="Z18:Z24" si="7">IF(T18=0,0,X18/T18)</f>
        <v>0.56979310344827594</v>
      </c>
    </row>
    <row r="19" spans="1:26" s="29" customFormat="1" outlineLevel="1" collapsed="1" x14ac:dyDescent="0.3">
      <c r="A19" s="28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58.03</v>
      </c>
      <c r="E19" s="1"/>
      <c r="F19" s="5">
        <f t="shared" si="0"/>
        <v>0</v>
      </c>
      <c r="G19" s="1"/>
      <c r="H19" s="1">
        <f>SUM(OSRRefH22_0x_0)</f>
        <v>58</v>
      </c>
      <c r="I19" s="1"/>
      <c r="J19" s="5">
        <f t="shared" si="1"/>
        <v>0</v>
      </c>
      <c r="K19" s="1"/>
      <c r="L19" s="1">
        <f t="shared" si="2"/>
        <v>3.0000000000001137E-2</v>
      </c>
      <c r="M19" s="1"/>
      <c r="N19" s="5">
        <f t="shared" si="3"/>
        <v>5.1724137931036447E-4</v>
      </c>
      <c r="O19" s="14"/>
      <c r="P19" s="1">
        <f>SUM(OSRRefP22_0x_0)</f>
        <v>290.14999999999998</v>
      </c>
      <c r="Q19" s="1"/>
      <c r="R19" s="5">
        <f t="shared" si="4"/>
        <v>0</v>
      </c>
      <c r="S19" s="1"/>
      <c r="T19" s="1">
        <f>SUM(OSRRefT22_0x_0)</f>
        <v>290</v>
      </c>
      <c r="U19" s="1"/>
      <c r="V19" s="5">
        <f t="shared" si="5"/>
        <v>0</v>
      </c>
      <c r="W19" s="1"/>
      <c r="X19" s="1">
        <f t="shared" si="6"/>
        <v>0.14999999999997726</v>
      </c>
      <c r="Y19" s="1"/>
      <c r="Z19" s="5">
        <f t="shared" si="7"/>
        <v>5.1724137931026645E-4</v>
      </c>
    </row>
    <row r="20" spans="1:26" s="24" customFormat="1" hidden="1" outlineLevel="2" x14ac:dyDescent="0.3">
      <c r="A20" s="27"/>
      <c r="B20" s="11" t="str">
        <f>CONCATENATE("          ", "6322", " - ", "EQUIPMENT DEPRECIATION EXPENSE")</f>
        <v xml:space="preserve">          6322 - EQUIPMENT DEPRECIATION EXPENSE</v>
      </c>
      <c r="C20" s="11"/>
      <c r="D20" s="6">
        <v>58.03</v>
      </c>
      <c r="E20" s="2"/>
      <c r="F20" s="7">
        <f t="shared" si="0"/>
        <v>0</v>
      </c>
      <c r="G20" s="2"/>
      <c r="H20" s="6">
        <v>58</v>
      </c>
      <c r="I20" s="2"/>
      <c r="J20" s="7">
        <f t="shared" si="1"/>
        <v>0</v>
      </c>
      <c r="K20" s="2"/>
      <c r="L20" s="6">
        <f t="shared" si="2"/>
        <v>3.0000000000001137E-2</v>
      </c>
      <c r="M20" s="2"/>
      <c r="N20" s="7">
        <f t="shared" si="3"/>
        <v>5.1724137931036447E-4</v>
      </c>
      <c r="O20" s="11"/>
      <c r="P20" s="6">
        <v>290.14999999999998</v>
      </c>
      <c r="Q20" s="2"/>
      <c r="R20" s="7">
        <f t="shared" si="4"/>
        <v>0</v>
      </c>
      <c r="S20" s="2"/>
      <c r="T20" s="6">
        <v>290</v>
      </c>
      <c r="U20" s="2"/>
      <c r="V20" s="7">
        <f t="shared" si="5"/>
        <v>0</v>
      </c>
      <c r="W20" s="2"/>
      <c r="X20" s="6">
        <f t="shared" si="6"/>
        <v>0.14999999999997726</v>
      </c>
      <c r="Y20" s="2"/>
      <c r="Z20" s="7">
        <f t="shared" si="7"/>
        <v>5.1724137931026645E-4</v>
      </c>
    </row>
    <row r="21" spans="1:26" s="29" customFormat="1" outlineLevel="1" collapsed="1" x14ac:dyDescent="0.3">
      <c r="A21" s="28"/>
      <c r="B21" s="14" t="str">
        <f>CONCATENATE("     ","Repair and Maintenance                            ")</f>
        <v xml:space="preserve">     Repair and Maintenance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0</v>
      </c>
      <c r="M21" s="1"/>
      <c r="N21" s="5">
        <f t="shared" si="3"/>
        <v>0</v>
      </c>
      <c r="O21" s="14"/>
      <c r="P21" s="1">
        <f>SUM(OSRRefP22_1x_0)</f>
        <v>165.09</v>
      </c>
      <c r="Q21" s="1"/>
      <c r="R21" s="5">
        <f t="shared" si="4"/>
        <v>0</v>
      </c>
      <c r="S21" s="1"/>
      <c r="T21" s="1">
        <f>SUM(OSRRefT22_1x_0)</f>
        <v>0</v>
      </c>
      <c r="U21" s="1"/>
      <c r="V21" s="5">
        <f t="shared" si="5"/>
        <v>0</v>
      </c>
      <c r="W21" s="1"/>
      <c r="X21" s="1">
        <f t="shared" si="6"/>
        <v>165.09</v>
      </c>
      <c r="Y21" s="1"/>
      <c r="Z21" s="5">
        <f t="shared" si="7"/>
        <v>0</v>
      </c>
    </row>
    <row r="22" spans="1:26" s="24" customFormat="1" hidden="1" outlineLevel="2" x14ac:dyDescent="0.3">
      <c r="A22" s="27"/>
      <c r="B22" s="11" t="str">
        <f>CONCATENATE("          ", "6373", " - ", "MAINTENANCE CONTRACTS")</f>
        <v xml:space="preserve">          6373 - MAINTENANCE CONTRACTS</v>
      </c>
      <c r="C22" s="11"/>
      <c r="D22" s="6"/>
      <c r="E22" s="2"/>
      <c r="F22" s="7">
        <f t="shared" si="0"/>
        <v>0</v>
      </c>
      <c r="G22" s="2"/>
      <c r="H22" s="6"/>
      <c r="I22" s="2"/>
      <c r="J22" s="7">
        <f t="shared" si="1"/>
        <v>0</v>
      </c>
      <c r="K22" s="2"/>
      <c r="L22" s="6">
        <f t="shared" si="2"/>
        <v>0</v>
      </c>
      <c r="M22" s="2"/>
      <c r="N22" s="7">
        <f t="shared" si="3"/>
        <v>0</v>
      </c>
      <c r="O22" s="11"/>
      <c r="P22" s="6">
        <v>165.09</v>
      </c>
      <c r="Q22" s="2"/>
      <c r="R22" s="7">
        <f t="shared" si="4"/>
        <v>0</v>
      </c>
      <c r="S22" s="2"/>
      <c r="T22" s="6"/>
      <c r="U22" s="2"/>
      <c r="V22" s="7">
        <f t="shared" si="5"/>
        <v>0</v>
      </c>
      <c r="W22" s="2"/>
      <c r="X22" s="6">
        <f t="shared" si="6"/>
        <v>165.09</v>
      </c>
      <c r="Y22" s="2"/>
      <c r="Z22" s="7">
        <f t="shared" si="7"/>
        <v>0</v>
      </c>
    </row>
    <row r="23" spans="1:26" s="29" customFormat="1" outlineLevel="1" collapsed="1" x14ac:dyDescent="0.3">
      <c r="A23" s="28"/>
      <c r="B23" s="14" t="str">
        <f>CONCATENATE("     ","Services                                          ")</f>
        <v xml:space="preserve">     Services                                          </v>
      </c>
      <c r="C23" s="14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0</v>
      </c>
      <c r="M23" s="1"/>
      <c r="N23" s="5">
        <f t="shared" si="3"/>
        <v>0</v>
      </c>
      <c r="O23" s="14"/>
      <c r="P23" s="1">
        <f>SUM(OSRRefP22_2x_0)</f>
        <v>0</v>
      </c>
      <c r="Q23" s="1"/>
      <c r="R23" s="5">
        <f t="shared" si="4"/>
        <v>0</v>
      </c>
      <c r="S23" s="1"/>
      <c r="T23" s="1">
        <f>SUM(OSRRefT22_2x_0)</f>
        <v>0</v>
      </c>
      <c r="U23" s="1"/>
      <c r="V23" s="5">
        <f t="shared" si="5"/>
        <v>0</v>
      </c>
      <c r="W23" s="1"/>
      <c r="X23" s="1">
        <f t="shared" si="6"/>
        <v>0</v>
      </c>
      <c r="Y23" s="1"/>
      <c r="Z23" s="5">
        <f t="shared" si="7"/>
        <v>0</v>
      </c>
    </row>
    <row r="24" spans="1:26" s="24" customFormat="1" hidden="1" outlineLevel="2" x14ac:dyDescent="0.3">
      <c r="A24" s="27"/>
      <c r="B24" s="11" t="str">
        <f>CONCATENATE("          ", "6284", " - ", "TRASH REMOVAL EXPENSE")</f>
        <v xml:space="preserve">          6284 - TRASH REMOVAL EXPENSE</v>
      </c>
      <c r="C24" s="11"/>
      <c r="D24" s="6"/>
      <c r="E24" s="2"/>
      <c r="F24" s="7">
        <f t="shared" si="0"/>
        <v>0</v>
      </c>
      <c r="G24" s="2"/>
      <c r="H24" s="6"/>
      <c r="I24" s="2"/>
      <c r="J24" s="7">
        <f t="shared" si="1"/>
        <v>0</v>
      </c>
      <c r="K24" s="2"/>
      <c r="L24" s="6">
        <f t="shared" si="2"/>
        <v>0</v>
      </c>
      <c r="M24" s="2"/>
      <c r="N24" s="7">
        <f t="shared" si="3"/>
        <v>0</v>
      </c>
      <c r="O24" s="11"/>
      <c r="P24" s="6"/>
      <c r="Q24" s="2"/>
      <c r="R24" s="7">
        <f t="shared" si="4"/>
        <v>0</v>
      </c>
      <c r="S24" s="2"/>
      <c r="T24" s="6">
        <v>0</v>
      </c>
      <c r="U24" s="2"/>
      <c r="V24" s="7">
        <f t="shared" si="5"/>
        <v>0</v>
      </c>
      <c r="W24" s="2"/>
      <c r="X24" s="6">
        <f t="shared" si="6"/>
        <v>0</v>
      </c>
      <c r="Y24" s="2"/>
      <c r="Z24" s="7">
        <f t="shared" si="7"/>
        <v>0</v>
      </c>
    </row>
    <row r="25" spans="1:26" s="63" customFormat="1" x14ac:dyDescent="0.3">
      <c r="A25" s="36"/>
      <c r="B25" s="36"/>
      <c r="C25" s="36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3">
      <c r="A26" s="10"/>
      <c r="B26" s="25" t="s">
        <v>293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3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3">
      <c r="A28" s="10"/>
      <c r="B28" s="26" t="s">
        <v>277</v>
      </c>
      <c r="C28" s="26"/>
      <c r="D28" s="20">
        <f>+D16-D18+D26</f>
        <v>-58.03</v>
      </c>
      <c r="E28" s="13"/>
      <c r="F28" s="22">
        <f>IF(D$12=0,0,D28/D$12)</f>
        <v>0</v>
      </c>
      <c r="G28" s="13"/>
      <c r="H28" s="20">
        <f>+H16-H18+H26</f>
        <v>-58</v>
      </c>
      <c r="I28" s="13"/>
      <c r="J28" s="22">
        <f>IF(H$12=0,0,H28/H$12)</f>
        <v>0</v>
      </c>
      <c r="K28" s="15"/>
      <c r="L28" s="20">
        <f>+D28-H28</f>
        <v>-3.0000000000001137E-2</v>
      </c>
      <c r="M28" s="15"/>
      <c r="N28" s="22">
        <f>IF(H28=0,0,L28/H28)</f>
        <v>5.1724137931036447E-4</v>
      </c>
      <c r="O28" s="25"/>
      <c r="P28" s="20">
        <f>+P16-P18+P26</f>
        <v>-455.24</v>
      </c>
      <c r="Q28" s="13"/>
      <c r="R28" s="22">
        <f>IF(P$12=0,0,P28/P$12)</f>
        <v>0</v>
      </c>
      <c r="S28" s="13"/>
      <c r="T28" s="20">
        <f>+T16-T18+T26</f>
        <v>-290</v>
      </c>
      <c r="U28" s="13"/>
      <c r="V28" s="22">
        <f>IF(T$12=0,0,T28/T$12)</f>
        <v>0</v>
      </c>
      <c r="W28" s="15"/>
      <c r="X28" s="20">
        <f>+P28-T28</f>
        <v>-165.24</v>
      </c>
      <c r="Y28" s="15"/>
      <c r="Z28" s="22">
        <f>IF(T28=0,0,X28/T28)</f>
        <v>0.56979310344827594</v>
      </c>
    </row>
    <row r="29" spans="1:26" x14ac:dyDescent="0.3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3">
      <c r="A30" s="52"/>
      <c r="B30" s="10" t="s">
        <v>128</v>
      </c>
      <c r="C30" s="10"/>
      <c r="D30" s="4"/>
      <c r="E30" s="4"/>
      <c r="F30" s="12">
        <f>IF(D$12=0,0,D30/D$12)</f>
        <v>0</v>
      </c>
      <c r="G30" s="4"/>
      <c r="H30" s="4"/>
      <c r="I30" s="4"/>
      <c r="J30" s="12">
        <f>IF(H$12=0,0,H30/H$12)</f>
        <v>0</v>
      </c>
      <c r="K30" s="4"/>
      <c r="L30" s="4">
        <f>+D30-H30</f>
        <v>0</v>
      </c>
      <c r="M30" s="4"/>
      <c r="N30" s="12">
        <f>IF(H30=0,0,L30/H30)</f>
        <v>0</v>
      </c>
      <c r="O30" s="10"/>
      <c r="P30" s="4"/>
      <c r="Q30" s="4"/>
      <c r="R30" s="12">
        <f>IF(P$12=0,0,P30/P$12)</f>
        <v>0</v>
      </c>
      <c r="S30" s="4"/>
      <c r="T30" s="4"/>
      <c r="U30" s="4"/>
      <c r="V30" s="12">
        <f>IF(T$12=0,0,T30/T$12)</f>
        <v>0</v>
      </c>
      <c r="W30" s="4"/>
      <c r="X30" s="4">
        <f>+P30-T30</f>
        <v>0</v>
      </c>
      <c r="Y30" s="4"/>
      <c r="Z30" s="12">
        <f>IF(T30=0,0,X30/T30)</f>
        <v>0</v>
      </c>
    </row>
    <row r="31" spans="1:26" x14ac:dyDescent="0.3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" thickBot="1" x14ac:dyDescent="0.35">
      <c r="A32" s="10"/>
      <c r="B32" s="26" t="s">
        <v>126</v>
      </c>
      <c r="C32" s="26"/>
      <c r="D32" s="33">
        <f>+D28-D30</f>
        <v>-58.03</v>
      </c>
      <c r="E32" s="13"/>
      <c r="F32" s="34">
        <f>IF(D$12=0,0,D32/D$12)</f>
        <v>0</v>
      </c>
      <c r="G32" s="13"/>
      <c r="H32" s="33">
        <f>+H28-H30</f>
        <v>-58</v>
      </c>
      <c r="I32" s="13"/>
      <c r="J32" s="34">
        <f>IF(H$12=0,0,H32/H$12)</f>
        <v>0</v>
      </c>
      <c r="K32" s="15"/>
      <c r="L32" s="33">
        <f>D32-H32</f>
        <v>-3.0000000000001137E-2</v>
      </c>
      <c r="M32" s="15"/>
      <c r="N32" s="34">
        <f>IF(H32=0,0,L32/H32)</f>
        <v>5.1724137931036447E-4</v>
      </c>
      <c r="O32" s="25"/>
      <c r="P32" s="33">
        <f>+P28-P30</f>
        <v>-455.24</v>
      </c>
      <c r="Q32" s="13"/>
      <c r="R32" s="34">
        <f>IF(P$12=0,0,P32/P$12)</f>
        <v>0</v>
      </c>
      <c r="S32" s="13"/>
      <c r="T32" s="33">
        <f>+T28-T30</f>
        <v>-290</v>
      </c>
      <c r="U32" s="13"/>
      <c r="V32" s="34">
        <f>IF(T$12=0,0,T32/T$12)</f>
        <v>0</v>
      </c>
      <c r="W32" s="15"/>
      <c r="X32" s="33">
        <f>P32-T32</f>
        <v>-165.24</v>
      </c>
      <c r="Y32" s="15"/>
      <c r="Z32" s="34">
        <f>IF(T32=0,0,X32/T32)</f>
        <v>0.56979310344827594</v>
      </c>
    </row>
    <row r="33" spans="1:26" ht="15" thickTop="1" x14ac:dyDescent="0.3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x14ac:dyDescent="0.3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" thickBot="1" x14ac:dyDescent="0.35">
      <c r="A35" s="10"/>
      <c r="B35" s="26" t="s">
        <v>294</v>
      </c>
      <c r="C35" s="26"/>
      <c r="D35" s="35">
        <f>SUM(D32:D34)</f>
        <v>-58.03</v>
      </c>
      <c r="E35" s="13"/>
      <c r="F35" s="32">
        <f>IF(D$12=0,0,D35/D$12)</f>
        <v>0</v>
      </c>
      <c r="G35" s="13"/>
      <c r="H35" s="35">
        <f>SUM(H32:H34)</f>
        <v>-58</v>
      </c>
      <c r="I35" s="13"/>
      <c r="J35" s="32">
        <f>IF(H$12=0,0,H35/H$12)</f>
        <v>0</v>
      </c>
      <c r="K35" s="15"/>
      <c r="L35" s="35">
        <f>+D35-H35</f>
        <v>-3.0000000000001137E-2</v>
      </c>
      <c r="M35" s="15"/>
      <c r="N35" s="32">
        <f>IF(H35=0,0,L35/H35)</f>
        <v>5.1724137931036447E-4</v>
      </c>
      <c r="O35" s="25"/>
      <c r="P35" s="35">
        <f>SUM(P32:P34)</f>
        <v>-455.24</v>
      </c>
      <c r="Q35" s="13"/>
      <c r="R35" s="32">
        <f>IF(P$12=0,0,P35/P$12)</f>
        <v>0</v>
      </c>
      <c r="S35" s="13"/>
      <c r="T35" s="35">
        <f>SUM(T32:T34)</f>
        <v>-290</v>
      </c>
      <c r="U35" s="13"/>
      <c r="V35" s="32">
        <f>IF(T$12=0,0,T35/T$12)</f>
        <v>0</v>
      </c>
      <c r="W35" s="15"/>
      <c r="X35" s="35">
        <f>+P35-T35</f>
        <v>-165.24</v>
      </c>
      <c r="Y35" s="15"/>
      <c r="Z35" s="32">
        <f>IF(T35=0,0,X35/T35)</f>
        <v>0.56979310344827594</v>
      </c>
    </row>
    <row r="36" spans="1:26" ht="15" thickTop="1" x14ac:dyDescent="0.3">
      <c r="A36" s="9"/>
      <c r="C36" s="9"/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  <row r="37" spans="1:26" x14ac:dyDescent="0.3">
      <c r="A37" s="9"/>
      <c r="B37" s="60">
        <v>44543.753113078703</v>
      </c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8" t="s">
        <v>56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5"/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rgb="FF92D050"/>
    <outlinePr summaryBelow="0" summaryRight="0"/>
  </sheetPr>
  <dimension ref="A2:Z4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","414", " - ", "Starbucks UDP")</f>
        <v>Department 414 - Starbucks UDP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5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1">
        <f>SUM(OSRRefD22x_0)</f>
        <v>118.91</v>
      </c>
      <c r="E18" s="21"/>
      <c r="F18" s="30">
        <f t="shared" ref="F18:F24" si="0">IF(D$12=0,0,D18/D$12)</f>
        <v>0</v>
      </c>
      <c r="G18" s="21"/>
      <c r="H18" s="21">
        <f>SUM(OSRRefH22x_0)</f>
        <v>0</v>
      </c>
      <c r="I18" s="21"/>
      <c r="J18" s="30">
        <f t="shared" ref="J18:J24" si="1">IF(H$12=0,0,H18/H$12)</f>
        <v>0</v>
      </c>
      <c r="K18" s="4"/>
      <c r="L18" s="21">
        <f t="shared" ref="L18:L24" si="2">+D18-H18</f>
        <v>118.91</v>
      </c>
      <c r="M18" s="4"/>
      <c r="N18" s="30">
        <f t="shared" ref="N18:N24" si="3">IF(H18=0,0,L18/H18)</f>
        <v>0</v>
      </c>
      <c r="O18" s="10"/>
      <c r="P18" s="21">
        <f>SUM(OSRRefP22x_0)</f>
        <v>248.07999999999998</v>
      </c>
      <c r="Q18" s="21"/>
      <c r="R18" s="30">
        <f t="shared" ref="R18:R24" si="4">IF(P$12=0,0,P18/P$12)</f>
        <v>0</v>
      </c>
      <c r="S18" s="21"/>
      <c r="T18" s="21">
        <f>SUM(OSRRefT22x_0)</f>
        <v>0</v>
      </c>
      <c r="U18" s="21"/>
      <c r="V18" s="30">
        <f t="shared" ref="V18:V24" si="5">IF(T$12=0,0,T18/T$12)</f>
        <v>0</v>
      </c>
      <c r="W18" s="4"/>
      <c r="X18" s="21">
        <f t="shared" ref="X18:X24" si="6">+P18-T18</f>
        <v>248.07999999999998</v>
      </c>
      <c r="Y18" s="4"/>
      <c r="Z18" s="30">
        <f t="shared" ref="Z18:Z24" si="7">IF(T18=0,0,X18/T18)</f>
        <v>0</v>
      </c>
    </row>
    <row r="19" spans="1:26" s="29" customFormat="1" outlineLevel="1" collapsed="1" x14ac:dyDescent="0.3">
      <c r="A19" s="28"/>
      <c r="B19" s="14" t="str">
        <f>CONCATENATE("     ","Equipment Rental                                  ")</f>
        <v xml:space="preserve">     Equipment Rental                                  </v>
      </c>
      <c r="C19" s="14"/>
      <c r="D19" s="1">
        <f>SUM(OSRRefD22_0x_0)</f>
        <v>118.91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118.91</v>
      </c>
      <c r="M19" s="1"/>
      <c r="N19" s="5">
        <f t="shared" si="3"/>
        <v>0</v>
      </c>
      <c r="O19" s="14"/>
      <c r="P19" s="1">
        <f>SUM(OSRRefP22_0x_0)</f>
        <v>118.91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118.91</v>
      </c>
      <c r="Y19" s="1"/>
      <c r="Z19" s="5">
        <f t="shared" si="7"/>
        <v>0</v>
      </c>
    </row>
    <row r="20" spans="1:26" s="24" customFormat="1" hidden="1" outlineLevel="2" x14ac:dyDescent="0.3">
      <c r="A20" s="27"/>
      <c r="B20" s="11" t="str">
        <f>CONCATENATE("          ", "6351", " - ", "EQUIPMENT RENTAL")</f>
        <v xml:space="preserve">          6351 - EQUIPMENT RENTAL</v>
      </c>
      <c r="C20" s="11"/>
      <c r="D20" s="6">
        <v>118.91</v>
      </c>
      <c r="E20" s="2"/>
      <c r="F20" s="7">
        <f t="shared" si="0"/>
        <v>0</v>
      </c>
      <c r="G20" s="2"/>
      <c r="H20" s="6"/>
      <c r="I20" s="2"/>
      <c r="J20" s="7">
        <f t="shared" si="1"/>
        <v>0</v>
      </c>
      <c r="K20" s="2"/>
      <c r="L20" s="6">
        <f t="shared" si="2"/>
        <v>118.91</v>
      </c>
      <c r="M20" s="2"/>
      <c r="N20" s="7">
        <f t="shared" si="3"/>
        <v>0</v>
      </c>
      <c r="O20" s="11"/>
      <c r="P20" s="6">
        <v>118.91</v>
      </c>
      <c r="Q20" s="2"/>
      <c r="R20" s="7">
        <f t="shared" si="4"/>
        <v>0</v>
      </c>
      <c r="S20" s="2"/>
      <c r="T20" s="6"/>
      <c r="U20" s="2"/>
      <c r="V20" s="7">
        <f t="shared" si="5"/>
        <v>0</v>
      </c>
      <c r="W20" s="2"/>
      <c r="X20" s="6">
        <f t="shared" si="6"/>
        <v>118.91</v>
      </c>
      <c r="Y20" s="2"/>
      <c r="Z20" s="7">
        <f t="shared" si="7"/>
        <v>0</v>
      </c>
    </row>
    <row r="21" spans="1:26" s="29" customFormat="1" outlineLevel="1" collapsed="1" x14ac:dyDescent="0.3">
      <c r="A21" s="28"/>
      <c r="B21" s="14" t="str">
        <f>CONCATENATE("     ","Repair and Maintenance                            ")</f>
        <v xml:space="preserve">     Repair and Maintenance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0</v>
      </c>
      <c r="M21" s="1"/>
      <c r="N21" s="5">
        <f t="shared" si="3"/>
        <v>0</v>
      </c>
      <c r="O21" s="14"/>
      <c r="P21" s="1">
        <f>SUM(OSRRefP22_1x_0)</f>
        <v>129.16999999999999</v>
      </c>
      <c r="Q21" s="1"/>
      <c r="R21" s="5">
        <f t="shared" si="4"/>
        <v>0</v>
      </c>
      <c r="S21" s="1"/>
      <c r="T21" s="1">
        <f>SUM(OSRRefT22_1x_0)</f>
        <v>0</v>
      </c>
      <c r="U21" s="1"/>
      <c r="V21" s="5">
        <f t="shared" si="5"/>
        <v>0</v>
      </c>
      <c r="W21" s="1"/>
      <c r="X21" s="1">
        <f t="shared" si="6"/>
        <v>129.16999999999999</v>
      </c>
      <c r="Y21" s="1"/>
      <c r="Z21" s="5">
        <f t="shared" si="7"/>
        <v>0</v>
      </c>
    </row>
    <row r="22" spans="1:26" s="24" customFormat="1" hidden="1" outlineLevel="2" x14ac:dyDescent="0.3">
      <c r="A22" s="27"/>
      <c r="B22" s="11" t="str">
        <f>CONCATENATE("          ", "6373", " - ", "MAINTENANCE CONTRACTS")</f>
        <v xml:space="preserve">          6373 - MAINTENANCE CONTRACTS</v>
      </c>
      <c r="C22" s="11"/>
      <c r="D22" s="6"/>
      <c r="E22" s="2"/>
      <c r="F22" s="7">
        <f t="shared" si="0"/>
        <v>0</v>
      </c>
      <c r="G22" s="2"/>
      <c r="H22" s="6"/>
      <c r="I22" s="2"/>
      <c r="J22" s="7">
        <f t="shared" si="1"/>
        <v>0</v>
      </c>
      <c r="K22" s="2"/>
      <c r="L22" s="6">
        <f t="shared" si="2"/>
        <v>0</v>
      </c>
      <c r="M22" s="2"/>
      <c r="N22" s="7">
        <f t="shared" si="3"/>
        <v>0</v>
      </c>
      <c r="O22" s="11"/>
      <c r="P22" s="6">
        <v>129.16999999999999</v>
      </c>
      <c r="Q22" s="2"/>
      <c r="R22" s="7">
        <f t="shared" si="4"/>
        <v>0</v>
      </c>
      <c r="S22" s="2"/>
      <c r="T22" s="6"/>
      <c r="U22" s="2"/>
      <c r="V22" s="7">
        <f t="shared" si="5"/>
        <v>0</v>
      </c>
      <c r="W22" s="2"/>
      <c r="X22" s="6">
        <f t="shared" si="6"/>
        <v>129.16999999999999</v>
      </c>
      <c r="Y22" s="2"/>
      <c r="Z22" s="7">
        <f t="shared" si="7"/>
        <v>0</v>
      </c>
    </row>
    <row r="23" spans="1:26" s="29" customFormat="1" outlineLevel="1" collapsed="1" x14ac:dyDescent="0.3">
      <c r="A23" s="28"/>
      <c r="B23" s="14" t="str">
        <f>CONCATENATE("     ","Services                                          ")</f>
        <v xml:space="preserve">     Services                                          </v>
      </c>
      <c r="C23" s="14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0</v>
      </c>
      <c r="M23" s="1"/>
      <c r="N23" s="5">
        <f t="shared" si="3"/>
        <v>0</v>
      </c>
      <c r="O23" s="14"/>
      <c r="P23" s="1">
        <f>SUM(OSRRefP22_2x_0)</f>
        <v>0</v>
      </c>
      <c r="Q23" s="1"/>
      <c r="R23" s="5">
        <f t="shared" si="4"/>
        <v>0</v>
      </c>
      <c r="S23" s="1"/>
      <c r="T23" s="1">
        <f>SUM(OSRRefT22_2x_0)</f>
        <v>0</v>
      </c>
      <c r="U23" s="1"/>
      <c r="V23" s="5">
        <f t="shared" si="5"/>
        <v>0</v>
      </c>
      <c r="W23" s="1"/>
      <c r="X23" s="1">
        <f t="shared" si="6"/>
        <v>0</v>
      </c>
      <c r="Y23" s="1"/>
      <c r="Z23" s="5">
        <f t="shared" si="7"/>
        <v>0</v>
      </c>
    </row>
    <row r="24" spans="1:26" s="24" customFormat="1" hidden="1" outlineLevel="2" x14ac:dyDescent="0.3">
      <c r="A24" s="27"/>
      <c r="B24" s="11" t="str">
        <f>CONCATENATE("          ", "6284", " - ", "TRASH REMOVAL EXPENSE")</f>
        <v xml:space="preserve">          6284 - TRASH REMOVAL EXPENSE</v>
      </c>
      <c r="C24" s="11"/>
      <c r="D24" s="6"/>
      <c r="E24" s="2"/>
      <c r="F24" s="7">
        <f t="shared" si="0"/>
        <v>0</v>
      </c>
      <c r="G24" s="2"/>
      <c r="H24" s="6"/>
      <c r="I24" s="2"/>
      <c r="J24" s="7">
        <f t="shared" si="1"/>
        <v>0</v>
      </c>
      <c r="K24" s="2"/>
      <c r="L24" s="6">
        <f t="shared" si="2"/>
        <v>0</v>
      </c>
      <c r="M24" s="2"/>
      <c r="N24" s="7">
        <f t="shared" si="3"/>
        <v>0</v>
      </c>
      <c r="O24" s="11"/>
      <c r="P24" s="6"/>
      <c r="Q24" s="2"/>
      <c r="R24" s="7">
        <f t="shared" si="4"/>
        <v>0</v>
      </c>
      <c r="S24" s="2"/>
      <c r="T24" s="6">
        <v>0</v>
      </c>
      <c r="U24" s="2"/>
      <c r="V24" s="7">
        <f t="shared" si="5"/>
        <v>0</v>
      </c>
      <c r="W24" s="2"/>
      <c r="X24" s="6">
        <f t="shared" si="6"/>
        <v>0</v>
      </c>
      <c r="Y24" s="2"/>
      <c r="Z24" s="7">
        <f t="shared" si="7"/>
        <v>0</v>
      </c>
    </row>
    <row r="25" spans="1:26" s="63" customFormat="1" x14ac:dyDescent="0.3">
      <c r="A25" s="36"/>
      <c r="B25" s="36"/>
      <c r="C25" s="36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3">
      <c r="A26" s="10"/>
      <c r="B26" s="25" t="s">
        <v>293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3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3">
      <c r="A28" s="10"/>
      <c r="B28" s="26" t="s">
        <v>277</v>
      </c>
      <c r="C28" s="26"/>
      <c r="D28" s="20">
        <f>+D16-D18+D26</f>
        <v>-118.91</v>
      </c>
      <c r="E28" s="13"/>
      <c r="F28" s="22">
        <f>IF(D$12=0,0,D28/D$12)</f>
        <v>0</v>
      </c>
      <c r="G28" s="13"/>
      <c r="H28" s="20">
        <f>+H16-H18+H26</f>
        <v>0</v>
      </c>
      <c r="I28" s="13"/>
      <c r="J28" s="22">
        <f>IF(H$12=0,0,H28/H$12)</f>
        <v>0</v>
      </c>
      <c r="K28" s="15"/>
      <c r="L28" s="20">
        <f>+D28-H28</f>
        <v>-118.91</v>
      </c>
      <c r="M28" s="15"/>
      <c r="N28" s="22">
        <f>IF(H28=0,0,L28/H28)</f>
        <v>0</v>
      </c>
      <c r="O28" s="25"/>
      <c r="P28" s="20">
        <f>+P16-P18+P26</f>
        <v>-248.07999999999998</v>
      </c>
      <c r="Q28" s="13"/>
      <c r="R28" s="22">
        <f>IF(P$12=0,0,P28/P$12)</f>
        <v>0</v>
      </c>
      <c r="S28" s="13"/>
      <c r="T28" s="20">
        <f>+T16-T18+T26</f>
        <v>0</v>
      </c>
      <c r="U28" s="13"/>
      <c r="V28" s="22">
        <f>IF(T$12=0,0,T28/T$12)</f>
        <v>0</v>
      </c>
      <c r="W28" s="15"/>
      <c r="X28" s="20">
        <f>+P28-T28</f>
        <v>-248.07999999999998</v>
      </c>
      <c r="Y28" s="15"/>
      <c r="Z28" s="22">
        <f>IF(T28=0,0,X28/T28)</f>
        <v>0</v>
      </c>
    </row>
    <row r="29" spans="1:26" x14ac:dyDescent="0.3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3">
      <c r="A30" s="52"/>
      <c r="B30" s="10" t="s">
        <v>128</v>
      </c>
      <c r="C30" s="10"/>
      <c r="D30" s="4"/>
      <c r="E30" s="4"/>
      <c r="F30" s="12">
        <f>IF(D$12=0,0,D30/D$12)</f>
        <v>0</v>
      </c>
      <c r="G30" s="4"/>
      <c r="H30" s="4"/>
      <c r="I30" s="4"/>
      <c r="J30" s="12">
        <f>IF(H$12=0,0,H30/H$12)</f>
        <v>0</v>
      </c>
      <c r="K30" s="4"/>
      <c r="L30" s="4">
        <f>+D30-H30</f>
        <v>0</v>
      </c>
      <c r="M30" s="4"/>
      <c r="N30" s="12">
        <f>IF(H30=0,0,L30/H30)</f>
        <v>0</v>
      </c>
      <c r="O30" s="10"/>
      <c r="P30" s="4"/>
      <c r="Q30" s="4"/>
      <c r="R30" s="12">
        <f>IF(P$12=0,0,P30/P$12)</f>
        <v>0</v>
      </c>
      <c r="S30" s="4"/>
      <c r="T30" s="4"/>
      <c r="U30" s="4"/>
      <c r="V30" s="12">
        <f>IF(T$12=0,0,T30/T$12)</f>
        <v>0</v>
      </c>
      <c r="W30" s="4"/>
      <c r="X30" s="4">
        <f>+P30-T30</f>
        <v>0</v>
      </c>
      <c r="Y30" s="4"/>
      <c r="Z30" s="12">
        <f>IF(T30=0,0,X30/T30)</f>
        <v>0</v>
      </c>
    </row>
    <row r="31" spans="1:26" x14ac:dyDescent="0.3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" thickBot="1" x14ac:dyDescent="0.35">
      <c r="A32" s="10"/>
      <c r="B32" s="26" t="s">
        <v>126</v>
      </c>
      <c r="C32" s="26"/>
      <c r="D32" s="33">
        <f>+D28-D30</f>
        <v>-118.91</v>
      </c>
      <c r="E32" s="13"/>
      <c r="F32" s="34">
        <f>IF(D$12=0,0,D32/D$12)</f>
        <v>0</v>
      </c>
      <c r="G32" s="13"/>
      <c r="H32" s="33">
        <f>+H28-H30</f>
        <v>0</v>
      </c>
      <c r="I32" s="13"/>
      <c r="J32" s="34">
        <f>IF(H$12=0,0,H32/H$12)</f>
        <v>0</v>
      </c>
      <c r="K32" s="15"/>
      <c r="L32" s="33">
        <f>D32-H32</f>
        <v>-118.91</v>
      </c>
      <c r="M32" s="15"/>
      <c r="N32" s="34">
        <f>IF(H32=0,0,L32/H32)</f>
        <v>0</v>
      </c>
      <c r="O32" s="25"/>
      <c r="P32" s="33">
        <f>+P28-P30</f>
        <v>-248.07999999999998</v>
      </c>
      <c r="Q32" s="13"/>
      <c r="R32" s="34">
        <f>IF(P$12=0,0,P32/P$12)</f>
        <v>0</v>
      </c>
      <c r="S32" s="13"/>
      <c r="T32" s="33">
        <f>+T28-T30</f>
        <v>0</v>
      </c>
      <c r="U32" s="13"/>
      <c r="V32" s="34">
        <f>IF(T$12=0,0,T32/T$12)</f>
        <v>0</v>
      </c>
      <c r="W32" s="15"/>
      <c r="X32" s="33">
        <f>P32-T32</f>
        <v>-248.07999999999998</v>
      </c>
      <c r="Y32" s="15"/>
      <c r="Z32" s="34">
        <f>IF(T32=0,0,X32/T32)</f>
        <v>0</v>
      </c>
    </row>
    <row r="33" spans="1:26" ht="15" thickTop="1" x14ac:dyDescent="0.3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x14ac:dyDescent="0.3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" thickBot="1" x14ac:dyDescent="0.35">
      <c r="A35" s="10"/>
      <c r="B35" s="26" t="s">
        <v>294</v>
      </c>
      <c r="C35" s="26"/>
      <c r="D35" s="35">
        <f>SUM(D32:D34)</f>
        <v>-118.91</v>
      </c>
      <c r="E35" s="13"/>
      <c r="F35" s="32">
        <f>IF(D$12=0,0,D35/D$12)</f>
        <v>0</v>
      </c>
      <c r="G35" s="13"/>
      <c r="H35" s="35">
        <f>SUM(H32:H34)</f>
        <v>0</v>
      </c>
      <c r="I35" s="13"/>
      <c r="J35" s="32">
        <f>IF(H$12=0,0,H35/H$12)</f>
        <v>0</v>
      </c>
      <c r="K35" s="15"/>
      <c r="L35" s="35">
        <f>+D35-H35</f>
        <v>-118.91</v>
      </c>
      <c r="M35" s="15"/>
      <c r="N35" s="32">
        <f>IF(H35=0,0,L35/H35)</f>
        <v>0</v>
      </c>
      <c r="O35" s="25"/>
      <c r="P35" s="35">
        <f>SUM(P32:P34)</f>
        <v>-248.07999999999998</v>
      </c>
      <c r="Q35" s="13"/>
      <c r="R35" s="32">
        <f>IF(P$12=0,0,P35/P$12)</f>
        <v>0</v>
      </c>
      <c r="S35" s="13"/>
      <c r="T35" s="35">
        <f>SUM(T32:T34)</f>
        <v>0</v>
      </c>
      <c r="U35" s="13"/>
      <c r="V35" s="32">
        <f>IF(T$12=0,0,T35/T$12)</f>
        <v>0</v>
      </c>
      <c r="W35" s="15"/>
      <c r="X35" s="35">
        <f>+P35-T35</f>
        <v>-248.07999999999998</v>
      </c>
      <c r="Y35" s="15"/>
      <c r="Z35" s="32">
        <f>IF(T35=0,0,X35/T35)</f>
        <v>0</v>
      </c>
    </row>
    <row r="36" spans="1:26" ht="15" thickTop="1" x14ac:dyDescent="0.3">
      <c r="A36" s="9"/>
      <c r="C36" s="9"/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  <row r="37" spans="1:26" x14ac:dyDescent="0.3">
      <c r="A37" s="9"/>
      <c r="B37" s="60">
        <v>44543.753113078703</v>
      </c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8" t="s">
        <v>56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5"/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92D050"/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","415", " - ", "Outpost")</f>
        <v>Department 415 - Outpost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54563.040000000001</v>
      </c>
      <c r="E12" s="4"/>
      <c r="F12" s="12"/>
      <c r="G12" s="4"/>
      <c r="H12" s="4">
        <f>SUM(OSRRefH13x_0)</f>
        <v>23425</v>
      </c>
      <c r="I12" s="4"/>
      <c r="J12" s="12"/>
      <c r="K12" s="4"/>
      <c r="L12" s="4">
        <f t="shared" ref="L12:L16" si="0">+D12-H12</f>
        <v>31138.04</v>
      </c>
      <c r="M12" s="4"/>
      <c r="N12" s="12">
        <f t="shared" ref="N12:N16" si="1">IF(H12=0,0,L12/H12)</f>
        <v>1.3292653148345785</v>
      </c>
      <c r="O12" s="10"/>
      <c r="P12" s="4">
        <f>SUM(OSRRefP13x_0)</f>
        <v>263960.51</v>
      </c>
      <c r="Q12" s="4"/>
      <c r="R12" s="12"/>
      <c r="S12" s="4"/>
      <c r="T12" s="4">
        <f>SUM(OSRRefT13x_0)</f>
        <v>121032</v>
      </c>
      <c r="U12" s="4"/>
      <c r="V12" s="12"/>
      <c r="W12" s="4"/>
      <c r="X12" s="4">
        <f t="shared" ref="X12:X16" si="2">+P12-T12</f>
        <v>142928.51</v>
      </c>
      <c r="Y12" s="4"/>
      <c r="Z12" s="12">
        <f t="shared" ref="Z12:Z16" si="3">IF(T12=0,0,X12/T12)</f>
        <v>1.1809150472602288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7286</v>
      </c>
      <c r="I13" s="2"/>
      <c r="J13" s="19"/>
      <c r="K13" s="2"/>
      <c r="L13" s="2">
        <f t="shared" si="0"/>
        <v>-7286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37644</v>
      </c>
      <c r="U13" s="2"/>
      <c r="V13" s="19"/>
      <c r="W13" s="2"/>
      <c r="X13" s="2">
        <f t="shared" si="2"/>
        <v>-37644</v>
      </c>
      <c r="Y13" s="2"/>
      <c r="Z13" s="19">
        <f t="shared" si="3"/>
        <v>-1</v>
      </c>
    </row>
    <row r="14" spans="1:26" s="24" customFormat="1" hidden="1" outlineLevel="1" x14ac:dyDescent="0.3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--20449.96</f>
        <v>20449.96</v>
      </c>
      <c r="E14" s="2"/>
      <c r="F14" s="19"/>
      <c r="G14" s="2"/>
      <c r="H14" s="2"/>
      <c r="I14" s="2"/>
      <c r="J14" s="19"/>
      <c r="K14" s="2"/>
      <c r="L14" s="2">
        <f t="shared" si="0"/>
        <v>20449.96</v>
      </c>
      <c r="M14" s="2"/>
      <c r="N14" s="19">
        <f t="shared" si="1"/>
        <v>0</v>
      </c>
      <c r="O14" s="11"/>
      <c r="P14" s="2">
        <f>--106852.02</f>
        <v>106852.02</v>
      </c>
      <c r="Q14" s="2"/>
      <c r="R14" s="19"/>
      <c r="S14" s="2"/>
      <c r="T14" s="2"/>
      <c r="U14" s="2"/>
      <c r="V14" s="19"/>
      <c r="W14" s="2"/>
      <c r="X14" s="2">
        <f t="shared" si="2"/>
        <v>106852.02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16139</v>
      </c>
      <c r="I15" s="2"/>
      <c r="J15" s="19"/>
      <c r="K15" s="2"/>
      <c r="L15" s="2">
        <f t="shared" si="0"/>
        <v>-16139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83388</v>
      </c>
      <c r="U15" s="2"/>
      <c r="V15" s="19"/>
      <c r="W15" s="2"/>
      <c r="X15" s="2">
        <f t="shared" si="2"/>
        <v>-83388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>--34113.08</f>
        <v>34113.08</v>
      </c>
      <c r="E16" s="2"/>
      <c r="F16" s="19"/>
      <c r="G16" s="2"/>
      <c r="H16" s="2"/>
      <c r="I16" s="2"/>
      <c r="J16" s="19"/>
      <c r="K16" s="2"/>
      <c r="L16" s="2">
        <f t="shared" si="0"/>
        <v>34113.08</v>
      </c>
      <c r="M16" s="2"/>
      <c r="N16" s="19">
        <f t="shared" si="1"/>
        <v>0</v>
      </c>
      <c r="O16" s="11"/>
      <c r="P16" s="2">
        <f>--157108.49</f>
        <v>157108.49</v>
      </c>
      <c r="Q16" s="2"/>
      <c r="R16" s="19"/>
      <c r="S16" s="2"/>
      <c r="T16" s="2"/>
      <c r="U16" s="2"/>
      <c r="V16" s="19"/>
      <c r="W16" s="2"/>
      <c r="X16" s="2">
        <f t="shared" si="2"/>
        <v>157108.49</v>
      </c>
      <c r="Y16" s="2"/>
      <c r="Z16" s="19">
        <f t="shared" si="3"/>
        <v>0</v>
      </c>
    </row>
    <row r="17" spans="1:26" x14ac:dyDescent="0.3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">
      <c r="A18" s="10"/>
      <c r="B18" s="25" t="s">
        <v>257</v>
      </c>
      <c r="C18" s="10"/>
      <c r="D18" s="4">
        <f>SUM(OSRRefD16x_0)</f>
        <v>21749.71</v>
      </c>
      <c r="E18" s="4"/>
      <c r="F18" s="12">
        <f t="shared" ref="F18:F21" si="4">IF(D$12=0,0,D18/D$12)</f>
        <v>0.39861616948029288</v>
      </c>
      <c r="G18" s="4"/>
      <c r="H18" s="4">
        <f>SUM(OSRRefH16x_0)</f>
        <v>7730</v>
      </c>
      <c r="I18" s="4"/>
      <c r="J18" s="12">
        <f t="shared" ref="J18:J21" si="5">IF(H$12=0,0,H18/H$12)</f>
        <v>0.32998932764140876</v>
      </c>
      <c r="K18" s="4"/>
      <c r="L18" s="4">
        <f t="shared" ref="L18:L21" si="6">+D18-H18</f>
        <v>14019.71</v>
      </c>
      <c r="M18" s="4"/>
      <c r="N18" s="12">
        <f t="shared" ref="N18:N21" si="7">IF(H18=0,0,L18/H18)</f>
        <v>1.8136752910737386</v>
      </c>
      <c r="O18" s="10"/>
      <c r="P18" s="4">
        <f>SUM(OSRRefP16x_0)</f>
        <v>93693.65</v>
      </c>
      <c r="Q18" s="4"/>
      <c r="R18" s="12">
        <f t="shared" ref="R18:R21" si="8">IF(P$12=0,0,P18/P$12)</f>
        <v>0.35495328448941088</v>
      </c>
      <c r="S18" s="4"/>
      <c r="T18" s="4">
        <f>SUM(OSRRefT16x_0)</f>
        <v>39651</v>
      </c>
      <c r="U18" s="4"/>
      <c r="V18" s="12">
        <f t="shared" ref="V18:V21" si="9">IF(T$12=0,0,T18/T$12)</f>
        <v>0.32760757485623637</v>
      </c>
      <c r="W18" s="4"/>
      <c r="X18" s="4">
        <f t="shared" ref="X18:X21" si="10">+P18-T18</f>
        <v>54042.649999999994</v>
      </c>
      <c r="Y18" s="4"/>
      <c r="Z18" s="12">
        <f t="shared" ref="Z18:Z21" si="11">IF(T18=0,0,X18/T18)</f>
        <v>1.362958059065345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7730</v>
      </c>
      <c r="I19" s="2"/>
      <c r="J19" s="19">
        <f t="shared" si="5"/>
        <v>0.32998932764140876</v>
      </c>
      <c r="K19" s="2"/>
      <c r="L19" s="2">
        <f t="shared" si="6"/>
        <v>-7730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39651</v>
      </c>
      <c r="U19" s="2"/>
      <c r="V19" s="19">
        <f t="shared" si="9"/>
        <v>0.32760757485623637</v>
      </c>
      <c r="W19" s="2"/>
      <c r="X19" s="2">
        <f t="shared" si="10"/>
        <v>-39651</v>
      </c>
      <c r="Y19" s="2"/>
      <c r="Z19" s="19">
        <f t="shared" si="11"/>
        <v>-1</v>
      </c>
    </row>
    <row r="20" spans="1:26" s="24" customFormat="1" hidden="1" outlineLevel="1" x14ac:dyDescent="0.3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20379.34</v>
      </c>
      <c r="E20" s="2"/>
      <c r="F20" s="19">
        <f t="shared" si="4"/>
        <v>0.37350081667003893</v>
      </c>
      <c r="G20" s="2"/>
      <c r="H20" s="2"/>
      <c r="I20" s="2"/>
      <c r="J20" s="19">
        <f t="shared" si="5"/>
        <v>0</v>
      </c>
      <c r="K20" s="2"/>
      <c r="L20" s="2">
        <f t="shared" si="6"/>
        <v>20379.34</v>
      </c>
      <c r="M20" s="2"/>
      <c r="N20" s="19">
        <f t="shared" si="7"/>
        <v>0</v>
      </c>
      <c r="O20" s="11"/>
      <c r="P20" s="2">
        <v>100584.28</v>
      </c>
      <c r="Q20" s="2"/>
      <c r="R20" s="19">
        <f t="shared" si="8"/>
        <v>0.38105806054094982</v>
      </c>
      <c r="S20" s="2"/>
      <c r="T20" s="2"/>
      <c r="U20" s="2"/>
      <c r="V20" s="19">
        <f t="shared" si="9"/>
        <v>0</v>
      </c>
      <c r="W20" s="2"/>
      <c r="X20" s="2">
        <f t="shared" si="10"/>
        <v>100584.28</v>
      </c>
      <c r="Y20" s="2"/>
      <c r="Z20" s="19">
        <f t="shared" si="11"/>
        <v>0</v>
      </c>
    </row>
    <row r="21" spans="1:26" s="24" customFormat="1" hidden="1" outlineLevel="1" x14ac:dyDescent="0.3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1370.37</v>
      </c>
      <c r="E21" s="2"/>
      <c r="F21" s="19">
        <f t="shared" si="4"/>
        <v>2.5115352810253972E-2</v>
      </c>
      <c r="G21" s="2"/>
      <c r="H21" s="2"/>
      <c r="I21" s="2"/>
      <c r="J21" s="19">
        <f t="shared" si="5"/>
        <v>0</v>
      </c>
      <c r="K21" s="2"/>
      <c r="L21" s="2">
        <f t="shared" si="6"/>
        <v>1370.37</v>
      </c>
      <c r="M21" s="2"/>
      <c r="N21" s="19">
        <f t="shared" si="7"/>
        <v>0</v>
      </c>
      <c r="O21" s="11"/>
      <c r="P21" s="2">
        <v>-6890.63</v>
      </c>
      <c r="Q21" s="2"/>
      <c r="R21" s="19">
        <f t="shared" si="8"/>
        <v>-2.6104776051538922E-2</v>
      </c>
      <c r="S21" s="2"/>
      <c r="T21" s="2"/>
      <c r="U21" s="2"/>
      <c r="V21" s="19">
        <f t="shared" si="9"/>
        <v>0</v>
      </c>
      <c r="W21" s="2"/>
      <c r="X21" s="2">
        <f t="shared" si="10"/>
        <v>-6890.63</v>
      </c>
      <c r="Y21" s="2"/>
      <c r="Z21" s="19">
        <f t="shared" si="11"/>
        <v>0</v>
      </c>
    </row>
    <row r="22" spans="1:26" x14ac:dyDescent="0.3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3">
      <c r="A23" s="10"/>
      <c r="B23" s="26" t="s">
        <v>108</v>
      </c>
      <c r="C23" s="26"/>
      <c r="D23" s="20">
        <f>D12-D18</f>
        <v>32813.33</v>
      </c>
      <c r="E23" s="13"/>
      <c r="F23" s="22">
        <f>IF(D$12=0,0,D23/D$12)</f>
        <v>0.60138383051970712</v>
      </c>
      <c r="G23" s="13"/>
      <c r="H23" s="20">
        <f>H12-H18</f>
        <v>15695</v>
      </c>
      <c r="I23" s="13"/>
      <c r="J23" s="22">
        <f>IF(H$12=0,0,H23/H$12)</f>
        <v>0.67001067235859124</v>
      </c>
      <c r="K23" s="15"/>
      <c r="L23" s="20">
        <f>+D23-H23</f>
        <v>17118.330000000002</v>
      </c>
      <c r="M23" s="15"/>
      <c r="N23" s="22">
        <f>IF(H23=0,0,L23/H23)</f>
        <v>1.0906868429436127</v>
      </c>
      <c r="O23" s="25"/>
      <c r="P23" s="20">
        <f>P12-P18</f>
        <v>170266.86000000002</v>
      </c>
      <c r="Q23" s="13"/>
      <c r="R23" s="22">
        <f>IF(P$12=0,0,P23/P$12)</f>
        <v>0.64504671551058912</v>
      </c>
      <c r="S23" s="13"/>
      <c r="T23" s="20">
        <f>T12-T18</f>
        <v>81381</v>
      </c>
      <c r="U23" s="13"/>
      <c r="V23" s="22">
        <f>IF(T$12=0,0,T23/T$12)</f>
        <v>0.67239242514376363</v>
      </c>
      <c r="W23" s="15"/>
      <c r="X23" s="20">
        <f>+P23-T23</f>
        <v>88885.860000000015</v>
      </c>
      <c r="Y23" s="15"/>
      <c r="Z23" s="22">
        <f>IF(T23=0,0,X23/T23)</f>
        <v>1.0922188225752942</v>
      </c>
    </row>
    <row r="24" spans="1:26" x14ac:dyDescent="0.3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">
      <c r="A25" s="10"/>
      <c r="B25" s="25" t="s">
        <v>295</v>
      </c>
      <c r="C25" s="10"/>
      <c r="D25" s="21">
        <f>SUM(OSRRefD22x_0)</f>
        <v>72254.130000000019</v>
      </c>
      <c r="E25" s="21"/>
      <c r="F25" s="30">
        <f t="shared" ref="F25:F35" si="12">IF(D$12=0,0,D25/D$12)</f>
        <v>1.3242321175652974</v>
      </c>
      <c r="G25" s="21"/>
      <c r="H25" s="21">
        <f>SUM(OSRRefH22x_0)</f>
        <v>51556.156238122152</v>
      </c>
      <c r="I25" s="21"/>
      <c r="J25" s="30">
        <f t="shared" ref="J25:J35" si="13">IF(H$12=0,0,H25/H$12)</f>
        <v>2.200903147838726</v>
      </c>
      <c r="K25" s="4"/>
      <c r="L25" s="21">
        <f t="shared" ref="L25:L35" si="14">+D25-H25</f>
        <v>20697.973761877867</v>
      </c>
      <c r="M25" s="4"/>
      <c r="N25" s="30">
        <f t="shared" ref="N25:N35" si="15">IF(H25=0,0,L25/H25)</f>
        <v>0.40146464112414126</v>
      </c>
      <c r="O25" s="10"/>
      <c r="P25" s="21">
        <f>SUM(OSRRefP22x_0)</f>
        <v>377800.42999999993</v>
      </c>
      <c r="Q25" s="21"/>
      <c r="R25" s="30">
        <f t="shared" ref="R25:R35" si="16">IF(P$12=0,0,P25/P$12)</f>
        <v>1.431276329932837</v>
      </c>
      <c r="S25" s="21"/>
      <c r="T25" s="21">
        <f>SUM(OSRRefT22x_0)</f>
        <v>283082.29128260585</v>
      </c>
      <c r="U25" s="21"/>
      <c r="V25" s="30">
        <f t="shared" ref="V25:V35" si="17">IF(T$12=0,0,T25/T$12)</f>
        <v>2.3389045151910723</v>
      </c>
      <c r="W25" s="4"/>
      <c r="X25" s="21">
        <f t="shared" ref="X25:X35" si="18">+P25-T25</f>
        <v>94718.138717394089</v>
      </c>
      <c r="Y25" s="4"/>
      <c r="Z25" s="30">
        <f t="shared" ref="Z25:Z35" si="19">IF(T25=0,0,X25/T25)</f>
        <v>0.33459577527170486</v>
      </c>
    </row>
    <row r="26" spans="1:26" s="29" customFormat="1" outlineLevel="1" collapsed="1" x14ac:dyDescent="0.3">
      <c r="A26" s="28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13538.03</v>
      </c>
      <c r="E26" s="1"/>
      <c r="F26" s="5">
        <f t="shared" si="12"/>
        <v>0.24811722367375424</v>
      </c>
      <c r="G26" s="1"/>
      <c r="H26" s="1">
        <f>SUM(OSRRefH22_0x_0)</f>
        <v>5764.3944981221503</v>
      </c>
      <c r="I26" s="1"/>
      <c r="J26" s="5">
        <f t="shared" si="13"/>
        <v>0.24607874058152188</v>
      </c>
      <c r="K26" s="1"/>
      <c r="L26" s="1">
        <f t="shared" si="14"/>
        <v>7773.6355018778504</v>
      </c>
      <c r="M26" s="1"/>
      <c r="N26" s="5">
        <f t="shared" si="15"/>
        <v>1.3485606344968659</v>
      </c>
      <c r="O26" s="14"/>
      <c r="P26" s="1">
        <f>SUM(OSRRefP22_0x_0)</f>
        <v>62399.64</v>
      </c>
      <c r="Q26" s="1"/>
      <c r="R26" s="5">
        <f t="shared" si="16"/>
        <v>0.23639763387333959</v>
      </c>
      <c r="S26" s="1"/>
      <c r="T26" s="1">
        <f>SUM(OSRRefT22_0x_0)</f>
        <v>33752.390552605808</v>
      </c>
      <c r="U26" s="1"/>
      <c r="V26" s="5">
        <f t="shared" si="17"/>
        <v>0.27887162529418508</v>
      </c>
      <c r="W26" s="1"/>
      <c r="X26" s="1">
        <f t="shared" si="18"/>
        <v>28647.249447394192</v>
      </c>
      <c r="Y26" s="1"/>
      <c r="Z26" s="5">
        <f t="shared" si="19"/>
        <v>0.84874727325595367</v>
      </c>
    </row>
    <row r="27" spans="1:26" s="24" customFormat="1" hidden="1" outlineLevel="2" x14ac:dyDescent="0.3">
      <c r="A27" s="27"/>
      <c r="B27" s="11" t="str">
        <f>CONCATENATE("          ", "6111", " - ", "F.I.C.A.")</f>
        <v xml:space="preserve">          6111 - F.I.C.A.</v>
      </c>
      <c r="C27" s="11"/>
      <c r="D27" s="6">
        <v>1676.45</v>
      </c>
      <c r="E27" s="2"/>
      <c r="F27" s="7">
        <f t="shared" si="12"/>
        <v>3.0725010923145044E-2</v>
      </c>
      <c r="G27" s="2"/>
      <c r="H27" s="6">
        <v>813.72429627600002</v>
      </c>
      <c r="I27" s="2"/>
      <c r="J27" s="7">
        <f t="shared" si="13"/>
        <v>3.4737429937075771E-2</v>
      </c>
      <c r="K27" s="2"/>
      <c r="L27" s="6">
        <f t="shared" si="14"/>
        <v>862.72570372400003</v>
      </c>
      <c r="M27" s="2"/>
      <c r="N27" s="7">
        <f t="shared" si="15"/>
        <v>1.0602186854592575</v>
      </c>
      <c r="O27" s="11"/>
      <c r="P27" s="6">
        <v>8500.61</v>
      </c>
      <c r="Q27" s="2"/>
      <c r="R27" s="7">
        <f t="shared" si="16"/>
        <v>3.2204097499281235E-2</v>
      </c>
      <c r="S27" s="2"/>
      <c r="T27" s="6">
        <v>4926.5367404520002</v>
      </c>
      <c r="U27" s="2"/>
      <c r="V27" s="7">
        <f t="shared" si="17"/>
        <v>4.0704414869224673E-2</v>
      </c>
      <c r="W27" s="2"/>
      <c r="X27" s="6">
        <f t="shared" si="18"/>
        <v>3574.0732595480004</v>
      </c>
      <c r="Y27" s="2"/>
      <c r="Z27" s="7">
        <f t="shared" si="19"/>
        <v>0.72547378571261523</v>
      </c>
    </row>
    <row r="28" spans="1:26" s="24" customFormat="1" hidden="1" outlineLevel="2" x14ac:dyDescent="0.3">
      <c r="A28" s="27"/>
      <c r="B28" s="11" t="str">
        <f>CONCATENATE("          ", "6112", " - ", "COMPENSATION INSURANCE")</f>
        <v xml:space="preserve">          6112 - COMPENSATION INSURANCE</v>
      </c>
      <c r="C28" s="11"/>
      <c r="D28" s="6">
        <v>987.61</v>
      </c>
      <c r="E28" s="2"/>
      <c r="F28" s="7">
        <f t="shared" si="12"/>
        <v>1.810034778120867E-2</v>
      </c>
      <c r="G28" s="2"/>
      <c r="H28" s="6">
        <v>523.73059467999997</v>
      </c>
      <c r="I28" s="2"/>
      <c r="J28" s="7">
        <f t="shared" si="13"/>
        <v>2.2357762846531484E-2</v>
      </c>
      <c r="K28" s="2"/>
      <c r="L28" s="6">
        <f t="shared" si="14"/>
        <v>463.87940532000005</v>
      </c>
      <c r="M28" s="2"/>
      <c r="N28" s="7">
        <f t="shared" si="15"/>
        <v>0.88572141866837273</v>
      </c>
      <c r="O28" s="11"/>
      <c r="P28" s="6">
        <v>4778.53</v>
      </c>
      <c r="Q28" s="2"/>
      <c r="R28" s="7">
        <f t="shared" si="16"/>
        <v>1.8103200361296468E-2</v>
      </c>
      <c r="S28" s="2"/>
      <c r="T28" s="6">
        <v>3068.1159863600001</v>
      </c>
      <c r="U28" s="2"/>
      <c r="V28" s="7">
        <f t="shared" si="17"/>
        <v>2.534962643234847E-2</v>
      </c>
      <c r="W28" s="2"/>
      <c r="X28" s="6">
        <f t="shared" si="18"/>
        <v>1710.4140136399997</v>
      </c>
      <c r="Y28" s="2"/>
      <c r="Z28" s="7">
        <f t="shared" si="19"/>
        <v>0.55748023257400636</v>
      </c>
    </row>
    <row r="29" spans="1:26" s="24" customFormat="1" hidden="1" outlineLevel="2" x14ac:dyDescent="0.3">
      <c r="A29" s="27"/>
      <c r="B29" s="11" t="str">
        <f>CONCATENATE("          ", "6113", " - ", "GROUP INSURANCE")</f>
        <v xml:space="preserve">          6113 - GROUP INSURANCE</v>
      </c>
      <c r="C29" s="11"/>
      <c r="D29" s="6">
        <v>7197.43</v>
      </c>
      <c r="E29" s="2"/>
      <c r="F29" s="7">
        <f t="shared" si="12"/>
        <v>0.13191035543474117</v>
      </c>
      <c r="G29" s="2"/>
      <c r="H29" s="6">
        <v>3254.4461538461501</v>
      </c>
      <c r="I29" s="2"/>
      <c r="J29" s="7">
        <f t="shared" si="13"/>
        <v>0.13893046547902455</v>
      </c>
      <c r="K29" s="2"/>
      <c r="L29" s="6">
        <f t="shared" si="14"/>
        <v>3942.9838461538502</v>
      </c>
      <c r="M29" s="2"/>
      <c r="N29" s="7">
        <f t="shared" si="15"/>
        <v>1.2115683160079256</v>
      </c>
      <c r="O29" s="11"/>
      <c r="P29" s="6">
        <v>30108.13</v>
      </c>
      <c r="Q29" s="2"/>
      <c r="R29" s="7">
        <f t="shared" si="16"/>
        <v>0.11406300889477748</v>
      </c>
      <c r="S29" s="2"/>
      <c r="T29" s="6">
        <v>19283.353846153801</v>
      </c>
      <c r="U29" s="2"/>
      <c r="V29" s="7">
        <f t="shared" si="17"/>
        <v>0.15932442532680449</v>
      </c>
      <c r="W29" s="2"/>
      <c r="X29" s="6">
        <f t="shared" si="18"/>
        <v>10824.7761538462</v>
      </c>
      <c r="Y29" s="2"/>
      <c r="Z29" s="7">
        <f t="shared" si="19"/>
        <v>0.56135339527596118</v>
      </c>
    </row>
    <row r="30" spans="1:26" s="24" customFormat="1" hidden="1" outlineLevel="2" x14ac:dyDescent="0.3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71.33</v>
      </c>
      <c r="E30" s="2"/>
      <c r="F30" s="7">
        <f t="shared" si="12"/>
        <v>1.3072951946958968E-3</v>
      </c>
      <c r="G30" s="2"/>
      <c r="H30" s="6">
        <v>29.01937332</v>
      </c>
      <c r="I30" s="2"/>
      <c r="J30" s="7">
        <f t="shared" si="13"/>
        <v>1.2388206326574172E-3</v>
      </c>
      <c r="K30" s="2"/>
      <c r="L30" s="6">
        <f t="shared" si="14"/>
        <v>42.310626679999999</v>
      </c>
      <c r="M30" s="2"/>
      <c r="N30" s="7">
        <f t="shared" si="15"/>
        <v>1.4580131077758229</v>
      </c>
      <c r="O30" s="11"/>
      <c r="P30" s="6">
        <v>345.13</v>
      </c>
      <c r="Q30" s="2"/>
      <c r="R30" s="7">
        <f t="shared" si="16"/>
        <v>1.3075061871944405E-3</v>
      </c>
      <c r="S30" s="2"/>
      <c r="T30" s="6">
        <v>170.00114963999999</v>
      </c>
      <c r="U30" s="2"/>
      <c r="V30" s="7">
        <f t="shared" si="17"/>
        <v>1.4045967152488598E-3</v>
      </c>
      <c r="W30" s="2"/>
      <c r="X30" s="6">
        <f t="shared" si="18"/>
        <v>175.12885036</v>
      </c>
      <c r="Y30" s="2"/>
      <c r="Z30" s="7">
        <f t="shared" si="19"/>
        <v>1.0301627414335643</v>
      </c>
    </row>
    <row r="31" spans="1:26" s="24" customFormat="1" hidden="1" outlineLevel="2" x14ac:dyDescent="0.3">
      <c r="A31" s="27"/>
      <c r="B31" s="11" t="str">
        <f>CONCATENATE("          ", "6115", " - ", "P.E.R.S.")</f>
        <v xml:space="preserve">          6115 - P.E.R.S.</v>
      </c>
      <c r="C31" s="11"/>
      <c r="D31" s="6">
        <v>905.43</v>
      </c>
      <c r="E31" s="2"/>
      <c r="F31" s="7">
        <f t="shared" si="12"/>
        <v>1.6594200029910355E-2</v>
      </c>
      <c r="G31" s="2"/>
      <c r="H31" s="6">
        <v>437.49662000000001</v>
      </c>
      <c r="I31" s="2"/>
      <c r="J31" s="7">
        <f t="shared" si="13"/>
        <v>1.8676483244397014E-2</v>
      </c>
      <c r="K31" s="2"/>
      <c r="L31" s="6">
        <f t="shared" si="14"/>
        <v>467.93337999999994</v>
      </c>
      <c r="M31" s="2"/>
      <c r="N31" s="7">
        <f t="shared" si="15"/>
        <v>1.0695702746229214</v>
      </c>
      <c r="O31" s="11"/>
      <c r="P31" s="6">
        <v>4823.18</v>
      </c>
      <c r="Q31" s="2"/>
      <c r="R31" s="7">
        <f t="shared" si="16"/>
        <v>1.8272354451807964E-2</v>
      </c>
      <c r="S31" s="2"/>
      <c r="T31" s="6">
        <v>2406.2314099999999</v>
      </c>
      <c r="U31" s="2"/>
      <c r="V31" s="7">
        <f t="shared" si="17"/>
        <v>1.9880952227510081E-2</v>
      </c>
      <c r="W31" s="2"/>
      <c r="X31" s="6">
        <f t="shared" si="18"/>
        <v>2416.9485900000004</v>
      </c>
      <c r="Y31" s="2"/>
      <c r="Z31" s="7">
        <f t="shared" si="19"/>
        <v>1.0044539273967836</v>
      </c>
    </row>
    <row r="32" spans="1:26" s="24" customFormat="1" hidden="1" outlineLevel="2" x14ac:dyDescent="0.3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3">
      <c r="A33" s="27"/>
      <c r="B33" s="11" t="str">
        <f>CONCATENATE("          ", "6118", " - ", "VACATION")</f>
        <v xml:space="preserve">          6118 - VACATION</v>
      </c>
      <c r="C33" s="11"/>
      <c r="D33" s="6">
        <v>1188.24</v>
      </c>
      <c r="E33" s="2"/>
      <c r="F33" s="7">
        <f t="shared" si="12"/>
        <v>2.1777378973019099E-2</v>
      </c>
      <c r="G33" s="2"/>
      <c r="H33" s="6">
        <v>222.592476</v>
      </c>
      <c r="I33" s="2"/>
      <c r="J33" s="7">
        <f t="shared" si="13"/>
        <v>9.5023468943436495E-3</v>
      </c>
      <c r="K33" s="2"/>
      <c r="L33" s="6">
        <f t="shared" si="14"/>
        <v>965.64752399999998</v>
      </c>
      <c r="M33" s="2"/>
      <c r="N33" s="7">
        <f t="shared" si="15"/>
        <v>4.3381858243941718</v>
      </c>
      <c r="O33" s="11"/>
      <c r="P33" s="6">
        <v>5861.59</v>
      </c>
      <c r="Q33" s="2"/>
      <c r="R33" s="7">
        <f t="shared" si="16"/>
        <v>2.2206314118729351E-2</v>
      </c>
      <c r="S33" s="2"/>
      <c r="T33" s="6">
        <v>1354.216602</v>
      </c>
      <c r="U33" s="2"/>
      <c r="V33" s="7">
        <f t="shared" si="17"/>
        <v>1.1188913692246678E-2</v>
      </c>
      <c r="W33" s="2"/>
      <c r="X33" s="6">
        <f t="shared" si="18"/>
        <v>4507.3733979999997</v>
      </c>
      <c r="Y33" s="2"/>
      <c r="Z33" s="7">
        <f t="shared" si="19"/>
        <v>3.3283991581134078</v>
      </c>
    </row>
    <row r="34" spans="1:26" s="24" customFormat="1" hidden="1" outlineLevel="2" x14ac:dyDescent="0.3">
      <c r="A34" s="27"/>
      <c r="B34" s="11" t="str">
        <f>CONCATENATE("          ", "6119", " - ", "SICK LEAVE")</f>
        <v xml:space="preserve">          6119 - SICK LEAVE</v>
      </c>
      <c r="C34" s="11"/>
      <c r="D34" s="6">
        <v>773.44</v>
      </c>
      <c r="E34" s="2"/>
      <c r="F34" s="7">
        <f t="shared" si="12"/>
        <v>1.4175163260698086E-2</v>
      </c>
      <c r="G34" s="2"/>
      <c r="H34" s="6">
        <v>212.384984</v>
      </c>
      <c r="I34" s="2"/>
      <c r="J34" s="7">
        <f t="shared" si="13"/>
        <v>9.0665948345784418E-3</v>
      </c>
      <c r="K34" s="2"/>
      <c r="L34" s="6">
        <f t="shared" si="14"/>
        <v>561.05501600000002</v>
      </c>
      <c r="M34" s="2"/>
      <c r="N34" s="7">
        <f t="shared" si="15"/>
        <v>2.6416887175036821</v>
      </c>
      <c r="O34" s="11"/>
      <c r="P34" s="6">
        <v>4598.18</v>
      </c>
      <c r="Q34" s="2"/>
      <c r="R34" s="7">
        <f t="shared" si="16"/>
        <v>1.7419954219667178E-2</v>
      </c>
      <c r="S34" s="2"/>
      <c r="T34" s="6">
        <v>1260.934818</v>
      </c>
      <c r="U34" s="2"/>
      <c r="V34" s="7">
        <f t="shared" si="17"/>
        <v>1.0418193684314892E-2</v>
      </c>
      <c r="W34" s="2"/>
      <c r="X34" s="6">
        <f t="shared" si="18"/>
        <v>3337.2451820000006</v>
      </c>
      <c r="Y34" s="2"/>
      <c r="Z34" s="7">
        <f t="shared" si="19"/>
        <v>2.6466436919342811</v>
      </c>
    </row>
    <row r="35" spans="1:26" s="24" customFormat="1" hidden="1" outlineLevel="2" x14ac:dyDescent="0.3">
      <c r="A35" s="27"/>
      <c r="B35" s="11" t="str">
        <f>CONCATENATE("          ", "6156", " - ", "EMPLOYEE MEALS")</f>
        <v xml:space="preserve">          6156 - EMPLOYEE MEALS</v>
      </c>
      <c r="C35" s="11"/>
      <c r="D35" s="6">
        <v>738.1</v>
      </c>
      <c r="E35" s="2"/>
      <c r="F35" s="7">
        <f t="shared" si="12"/>
        <v>1.3527472076335922E-2</v>
      </c>
      <c r="G35" s="2"/>
      <c r="H35" s="6">
        <v>271</v>
      </c>
      <c r="I35" s="2"/>
      <c r="J35" s="7">
        <f t="shared" si="13"/>
        <v>1.1568836712913554E-2</v>
      </c>
      <c r="K35" s="2"/>
      <c r="L35" s="6">
        <f t="shared" si="14"/>
        <v>467.1</v>
      </c>
      <c r="M35" s="2"/>
      <c r="N35" s="7">
        <f t="shared" si="15"/>
        <v>1.7236162361623617</v>
      </c>
      <c r="O35" s="11"/>
      <c r="P35" s="6">
        <v>3384.29</v>
      </c>
      <c r="Q35" s="2"/>
      <c r="R35" s="7">
        <f t="shared" si="16"/>
        <v>1.2821198140585499E-2</v>
      </c>
      <c r="S35" s="2"/>
      <c r="T35" s="6">
        <v>1283</v>
      </c>
      <c r="U35" s="2"/>
      <c r="V35" s="7">
        <f t="shared" si="17"/>
        <v>1.060050234648688E-2</v>
      </c>
      <c r="W35" s="2"/>
      <c r="X35" s="6">
        <f t="shared" si="18"/>
        <v>2101.29</v>
      </c>
      <c r="Y35" s="2"/>
      <c r="Z35" s="7">
        <f t="shared" si="19"/>
        <v>1.6377942322681216</v>
      </c>
    </row>
    <row r="36" spans="1:26" s="29" customFormat="1" outlineLevel="1" collapsed="1" x14ac:dyDescent="0.3">
      <c r="A36" s="28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SUM(OSRRefD22_1x_0)</f>
        <v>25176.67</v>
      </c>
      <c r="E36" s="1"/>
      <c r="F36" s="5">
        <f t="shared" ref="F36:F46" si="20">IF(D$12=0,0,D36/D$12)</f>
        <v>0.46142352039035944</v>
      </c>
      <c r="G36" s="1"/>
      <c r="H36" s="1">
        <f>SUM(OSRRefH22_1x_0)</f>
        <v>13447.76174</v>
      </c>
      <c r="I36" s="1"/>
      <c r="J36" s="5">
        <f t="shared" ref="J36:J46" si="21">IF(H$12=0,0,H36/H$12)</f>
        <v>0.57407734215581641</v>
      </c>
      <c r="K36" s="1"/>
      <c r="L36" s="1">
        <f t="shared" ref="L36:L46" si="22">+D36-H36</f>
        <v>11728.908259999998</v>
      </c>
      <c r="M36" s="1"/>
      <c r="N36" s="5">
        <f t="shared" ref="N36:N46" si="23">IF(H36=0,0,L36/H36)</f>
        <v>0.87218293175976502</v>
      </c>
      <c r="O36" s="14"/>
      <c r="P36" s="1">
        <f>SUM(OSRRefP22_1x_0)</f>
        <v>126326.41</v>
      </c>
      <c r="Q36" s="1"/>
      <c r="R36" s="5">
        <f t="shared" ref="R36:R46" si="24">IF(P$12=0,0,P36/P$12)</f>
        <v>0.4785807164867199</v>
      </c>
      <c r="S36" s="1"/>
      <c r="T36" s="1">
        <f>SUM(OSRRefT22_1x_0)</f>
        <v>78695.900729999994</v>
      </c>
      <c r="U36" s="1"/>
      <c r="V36" s="5">
        <f t="shared" ref="V36:V46" si="25">IF(T$12=0,0,T36/T$12)</f>
        <v>0.65020738920285537</v>
      </c>
      <c r="W36" s="1"/>
      <c r="X36" s="1">
        <f t="shared" ref="X36:X46" si="26">+P36-T36</f>
        <v>47630.50927000001</v>
      </c>
      <c r="Y36" s="1"/>
      <c r="Z36" s="5">
        <f t="shared" ref="Z36:Z46" si="27">IF(T36=0,0,X36/T36)</f>
        <v>0.60524765366644551</v>
      </c>
    </row>
    <row r="37" spans="1:26" s="24" customFormat="1" hidden="1" outlineLevel="2" x14ac:dyDescent="0.3">
      <c r="A37" s="27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3">
      <c r="A38" s="27"/>
      <c r="B38" s="11" t="str">
        <f>CONCATENATE("          ", "6002", " - ", "STAFF SALARIES")</f>
        <v xml:space="preserve">          6002 - STAFF SALARIES</v>
      </c>
      <c r="C38" s="11"/>
      <c r="D38" s="6">
        <v>9443.7999999999993</v>
      </c>
      <c r="E38" s="2"/>
      <c r="F38" s="7">
        <f t="shared" si="20"/>
        <v>0.1730805321697618</v>
      </c>
      <c r="G38" s="2"/>
      <c r="H38" s="6">
        <v>4832.8114999999998</v>
      </c>
      <c r="I38" s="2"/>
      <c r="J38" s="7">
        <f t="shared" si="21"/>
        <v>0.20630998932764141</v>
      </c>
      <c r="K38" s="2"/>
      <c r="L38" s="6">
        <f t="shared" si="22"/>
        <v>4610.9884999999995</v>
      </c>
      <c r="M38" s="2"/>
      <c r="N38" s="7">
        <f t="shared" si="23"/>
        <v>0.95410063065774442</v>
      </c>
      <c r="O38" s="11"/>
      <c r="P38" s="6">
        <v>50416.69</v>
      </c>
      <c r="Q38" s="2"/>
      <c r="R38" s="7">
        <f t="shared" si="24"/>
        <v>0.19100088115453331</v>
      </c>
      <c r="S38" s="2"/>
      <c r="T38" s="6">
        <v>26580.463250000001</v>
      </c>
      <c r="U38" s="2"/>
      <c r="V38" s="7">
        <f t="shared" si="25"/>
        <v>0.2196151699550532</v>
      </c>
      <c r="W38" s="2"/>
      <c r="X38" s="6">
        <f t="shared" si="26"/>
        <v>23836.226750000002</v>
      </c>
      <c r="Y38" s="2"/>
      <c r="Z38" s="7">
        <f t="shared" si="27"/>
        <v>0.89675738627316814</v>
      </c>
    </row>
    <row r="39" spans="1:26" s="24" customFormat="1" hidden="1" outlineLevel="2" x14ac:dyDescent="0.3">
      <c r="A39" s="27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3">
      <c r="A40" s="27"/>
      <c r="B40" s="11" t="str">
        <f>CONCATENATE("          ", "6004", " - ", "STAFF HOURLY")</f>
        <v xml:space="preserve">          6004 - STAFF HOURLY</v>
      </c>
      <c r="C40" s="11"/>
      <c r="D40" s="6">
        <v>4795.76</v>
      </c>
      <c r="E40" s="2"/>
      <c r="F40" s="7">
        <f t="shared" si="20"/>
        <v>8.7893929663743084E-2</v>
      </c>
      <c r="G40" s="2"/>
      <c r="H40" s="6">
        <v>5428.9502400000001</v>
      </c>
      <c r="I40" s="2"/>
      <c r="J40" s="7">
        <f t="shared" si="21"/>
        <v>0.23175881494130204</v>
      </c>
      <c r="K40" s="2"/>
      <c r="L40" s="6">
        <f t="shared" si="22"/>
        <v>-633.1902399999999</v>
      </c>
      <c r="M40" s="2"/>
      <c r="N40" s="7">
        <f t="shared" si="23"/>
        <v>-0.11663216865292172</v>
      </c>
      <c r="O40" s="11"/>
      <c r="P40" s="6">
        <v>22565.89</v>
      </c>
      <c r="Q40" s="2"/>
      <c r="R40" s="7">
        <f t="shared" si="24"/>
        <v>8.5489643886504083E-2</v>
      </c>
      <c r="S40" s="2"/>
      <c r="T40" s="6">
        <v>34738.437480000001</v>
      </c>
      <c r="U40" s="2"/>
      <c r="V40" s="7">
        <f t="shared" si="25"/>
        <v>0.28701861887765218</v>
      </c>
      <c r="W40" s="2"/>
      <c r="X40" s="6">
        <f t="shared" si="26"/>
        <v>-12172.547480000001</v>
      </c>
      <c r="Y40" s="2"/>
      <c r="Z40" s="7">
        <f t="shared" si="27"/>
        <v>-0.3504057281507873</v>
      </c>
    </row>
    <row r="41" spans="1:26" s="24" customFormat="1" hidden="1" outlineLevel="2" x14ac:dyDescent="0.3">
      <c r="A41" s="27"/>
      <c r="B41" s="11" t="str">
        <f>CONCATENATE("          ", "6005", " - ", "TEMPORARY WAGES-HOURLY")</f>
        <v xml:space="preserve">          6005 - TEMPORARY WAGES-HOURLY</v>
      </c>
      <c r="C41" s="11"/>
      <c r="D41" s="6">
        <v>6463.01</v>
      </c>
      <c r="E41" s="2"/>
      <c r="F41" s="7">
        <f t="shared" si="20"/>
        <v>0.11845032828082892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6463.01</v>
      </c>
      <c r="M41" s="2"/>
      <c r="N41" s="7">
        <f t="shared" si="23"/>
        <v>0</v>
      </c>
      <c r="O41" s="11"/>
      <c r="P41" s="6">
        <v>32086.46</v>
      </c>
      <c r="Q41" s="2"/>
      <c r="R41" s="7">
        <f t="shared" si="24"/>
        <v>0.12155780423367116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32086.46</v>
      </c>
      <c r="Y41" s="2"/>
      <c r="Z41" s="7">
        <f t="shared" si="27"/>
        <v>0</v>
      </c>
    </row>
    <row r="42" spans="1:26" s="24" customFormat="1" hidden="1" outlineLevel="2" x14ac:dyDescent="0.3">
      <c r="A42" s="27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/>
      <c r="Q42" s="2"/>
      <c r="R42" s="7">
        <f t="shared" si="24"/>
        <v>0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0</v>
      </c>
      <c r="Y42" s="2"/>
      <c r="Z42" s="7">
        <f t="shared" si="27"/>
        <v>0</v>
      </c>
    </row>
    <row r="43" spans="1:26" s="24" customFormat="1" hidden="1" outlineLevel="2" x14ac:dyDescent="0.3">
      <c r="A43" s="27"/>
      <c r="B43" s="11" t="str">
        <f>CONCATENATE("          ", "6007", " - ", "STUDENT HOURLY")</f>
        <v xml:space="preserve">          6007 - STUDENT HOURLY</v>
      </c>
      <c r="C43" s="11"/>
      <c r="D43" s="6">
        <v>4474.1000000000004</v>
      </c>
      <c r="E43" s="2"/>
      <c r="F43" s="7">
        <f t="shared" si="20"/>
        <v>8.199873027602568E-2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4474.1000000000004</v>
      </c>
      <c r="M43" s="2"/>
      <c r="N43" s="7">
        <f t="shared" si="23"/>
        <v>0</v>
      </c>
      <c r="O43" s="11"/>
      <c r="P43" s="6">
        <v>21257.37</v>
      </c>
      <c r="Q43" s="2"/>
      <c r="R43" s="7">
        <f t="shared" si="24"/>
        <v>8.0532387212011364E-2</v>
      </c>
      <c r="S43" s="2"/>
      <c r="T43" s="6">
        <v>798</v>
      </c>
      <c r="U43" s="2"/>
      <c r="V43" s="7">
        <f t="shared" si="25"/>
        <v>6.5932976402934759E-3</v>
      </c>
      <c r="W43" s="2"/>
      <c r="X43" s="6">
        <f t="shared" si="26"/>
        <v>20459.37</v>
      </c>
      <c r="Y43" s="2"/>
      <c r="Z43" s="7">
        <f t="shared" si="27"/>
        <v>25.638308270676692</v>
      </c>
    </row>
    <row r="44" spans="1:26" s="24" customFormat="1" hidden="1" outlineLevel="2" x14ac:dyDescent="0.3">
      <c r="A44" s="27"/>
      <c r="B44" s="11" t="str">
        <f>CONCATENATE("          ", "6008", " - ", "STUDENT HOURLY-FICA EXEMPT")</f>
        <v xml:space="preserve">          6008 - STUDENT HOURLY-FICA EXEMPT</v>
      </c>
      <c r="C44" s="11"/>
      <c r="D44" s="6"/>
      <c r="E44" s="2"/>
      <c r="F44" s="7">
        <f t="shared" si="20"/>
        <v>0</v>
      </c>
      <c r="G44" s="2"/>
      <c r="H44" s="6">
        <v>3186</v>
      </c>
      <c r="I44" s="2"/>
      <c r="J44" s="7">
        <f t="shared" si="21"/>
        <v>0.136008537886873</v>
      </c>
      <c r="K44" s="2"/>
      <c r="L44" s="6">
        <f t="shared" si="22"/>
        <v>-3186</v>
      </c>
      <c r="M44" s="2"/>
      <c r="N44" s="7">
        <f t="shared" si="23"/>
        <v>-1</v>
      </c>
      <c r="O44" s="11"/>
      <c r="P44" s="6"/>
      <c r="Q44" s="2"/>
      <c r="R44" s="7">
        <f t="shared" si="24"/>
        <v>0</v>
      </c>
      <c r="S44" s="2"/>
      <c r="T44" s="6">
        <v>16579</v>
      </c>
      <c r="U44" s="2"/>
      <c r="V44" s="7">
        <f t="shared" si="25"/>
        <v>0.13698030272985656</v>
      </c>
      <c r="W44" s="2"/>
      <c r="X44" s="6">
        <f t="shared" si="26"/>
        <v>-16579</v>
      </c>
      <c r="Y44" s="2"/>
      <c r="Z44" s="7">
        <f t="shared" si="27"/>
        <v>-1</v>
      </c>
    </row>
    <row r="45" spans="1:26" s="24" customFormat="1" hidden="1" outlineLevel="2" x14ac:dyDescent="0.3">
      <c r="A45" s="27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3">
      <c r="A46" s="27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9" customFormat="1" outlineLevel="1" collapsed="1" x14ac:dyDescent="0.3">
      <c r="A47" s="28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SUM(OSRRefD22_2x_0)</f>
        <v>128.31</v>
      </c>
      <c r="E47" s="1"/>
      <c r="F47" s="5">
        <f t="shared" ref="F47:F55" si="28">IF(D$12=0,0,D47/D$12)</f>
        <v>2.3515918467885955E-3</v>
      </c>
      <c r="G47" s="1"/>
      <c r="H47" s="1">
        <f>SUM(OSRRefH22_2x_0)</f>
        <v>0</v>
      </c>
      <c r="I47" s="1"/>
      <c r="J47" s="5">
        <f t="shared" ref="J47:J55" si="29">IF(H$12=0,0,H47/H$12)</f>
        <v>0</v>
      </c>
      <c r="K47" s="1"/>
      <c r="L47" s="1">
        <f t="shared" ref="L47:L55" si="30">+D47-H47</f>
        <v>128.31</v>
      </c>
      <c r="M47" s="1"/>
      <c r="N47" s="5">
        <f t="shared" ref="N47:N55" si="31">IF(H47=0,0,L47/H47)</f>
        <v>0</v>
      </c>
      <c r="O47" s="14"/>
      <c r="P47" s="1">
        <f>SUM(OSRRefP22_2x_0)</f>
        <v>387.99</v>
      </c>
      <c r="Q47" s="1"/>
      <c r="R47" s="5">
        <f t="shared" ref="R47:R55" si="32">IF(P$12=0,0,P47/P$12)</f>
        <v>1.4698789603035697E-3</v>
      </c>
      <c r="S47" s="1"/>
      <c r="T47" s="1">
        <f>SUM(OSRRefT22_2x_0)</f>
        <v>0</v>
      </c>
      <c r="U47" s="1"/>
      <c r="V47" s="5">
        <f t="shared" ref="V47:V55" si="33">IF(T$12=0,0,T47/T$12)</f>
        <v>0</v>
      </c>
      <c r="W47" s="1"/>
      <c r="X47" s="1">
        <f t="shared" ref="X47:X55" si="34">+P47-T47</f>
        <v>387.99</v>
      </c>
      <c r="Y47" s="1"/>
      <c r="Z47" s="5">
        <f t="shared" ref="Z47:Z55" si="35">IF(T47=0,0,X47/T47)</f>
        <v>0</v>
      </c>
    </row>
    <row r="48" spans="1:26" s="24" customFormat="1" hidden="1" outlineLevel="2" x14ac:dyDescent="0.3">
      <c r="A48" s="27"/>
      <c r="B48" s="11" t="str">
        <f>CONCATENATE("          ", "6362", " - ", "ADVERTISING EXPENSE")</f>
        <v xml:space="preserve">          6362 - ADVERTISING EXPENSE</v>
      </c>
      <c r="C48" s="11"/>
      <c r="D48" s="6">
        <v>128.31</v>
      </c>
      <c r="E48" s="2"/>
      <c r="F48" s="7">
        <f t="shared" si="28"/>
        <v>2.3515918467885955E-3</v>
      </c>
      <c r="G48" s="2"/>
      <c r="H48" s="6"/>
      <c r="I48" s="2"/>
      <c r="J48" s="7">
        <f t="shared" si="29"/>
        <v>0</v>
      </c>
      <c r="K48" s="2"/>
      <c r="L48" s="6">
        <f t="shared" si="30"/>
        <v>128.31</v>
      </c>
      <c r="M48" s="2"/>
      <c r="N48" s="7">
        <f t="shared" si="31"/>
        <v>0</v>
      </c>
      <c r="O48" s="11"/>
      <c r="P48" s="6">
        <v>387.99</v>
      </c>
      <c r="Q48" s="2"/>
      <c r="R48" s="7">
        <f t="shared" si="32"/>
        <v>1.4698789603035697E-3</v>
      </c>
      <c r="S48" s="2"/>
      <c r="T48" s="6"/>
      <c r="U48" s="2"/>
      <c r="V48" s="7">
        <f t="shared" si="33"/>
        <v>0</v>
      </c>
      <c r="W48" s="2"/>
      <c r="X48" s="6">
        <f t="shared" si="34"/>
        <v>387.99</v>
      </c>
      <c r="Y48" s="2"/>
      <c r="Z48" s="7">
        <f t="shared" si="35"/>
        <v>0</v>
      </c>
    </row>
    <row r="49" spans="1:26" s="29" customFormat="1" outlineLevel="1" collapsed="1" x14ac:dyDescent="0.3">
      <c r="A49" s="28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SUM(OSRRefD22_3x_0)</f>
        <v>-6.09</v>
      </c>
      <c r="E49" s="1"/>
      <c r="F49" s="5">
        <f t="shared" si="28"/>
        <v>-1.1161401564135722E-4</v>
      </c>
      <c r="G49" s="1"/>
      <c r="H49" s="1">
        <f>SUM(OSRRefH22_3x_0)</f>
        <v>0</v>
      </c>
      <c r="I49" s="1"/>
      <c r="J49" s="5">
        <f t="shared" si="29"/>
        <v>0</v>
      </c>
      <c r="K49" s="1"/>
      <c r="L49" s="1">
        <f t="shared" si="30"/>
        <v>-6.09</v>
      </c>
      <c r="M49" s="1"/>
      <c r="N49" s="5">
        <f t="shared" si="31"/>
        <v>0</v>
      </c>
      <c r="O49" s="14"/>
      <c r="P49" s="1">
        <f>SUM(OSRRefP22_3x_0)</f>
        <v>-28.15</v>
      </c>
      <c r="Q49" s="1"/>
      <c r="R49" s="5">
        <f t="shared" si="32"/>
        <v>-1.0664474015450265E-4</v>
      </c>
      <c r="S49" s="1"/>
      <c r="T49" s="1">
        <f>SUM(OSRRefT22_3x_0)</f>
        <v>40</v>
      </c>
      <c r="U49" s="1"/>
      <c r="V49" s="5">
        <f t="shared" si="33"/>
        <v>3.3049110978914666E-4</v>
      </c>
      <c r="W49" s="1"/>
      <c r="X49" s="1">
        <f t="shared" si="34"/>
        <v>-68.150000000000006</v>
      </c>
      <c r="Y49" s="1"/>
      <c r="Z49" s="5">
        <f t="shared" si="35"/>
        <v>-1.7037500000000001</v>
      </c>
    </row>
    <row r="50" spans="1:26" s="24" customFormat="1" hidden="1" outlineLevel="2" x14ac:dyDescent="0.3">
      <c r="A50" s="27"/>
      <c r="B50" s="11" t="str">
        <f>CONCATENATE("          ", "6272", " - ", "CASH (OVER/SHORT)")</f>
        <v xml:space="preserve">          6272 - CASH (OVER/SHORT)</v>
      </c>
      <c r="C50" s="11"/>
      <c r="D50" s="6">
        <v>-6.09</v>
      </c>
      <c r="E50" s="2"/>
      <c r="F50" s="7">
        <f t="shared" si="28"/>
        <v>-1.1161401564135722E-4</v>
      </c>
      <c r="G50" s="2"/>
      <c r="H50" s="6"/>
      <c r="I50" s="2"/>
      <c r="J50" s="7">
        <f t="shared" si="29"/>
        <v>0</v>
      </c>
      <c r="K50" s="2"/>
      <c r="L50" s="6">
        <f t="shared" si="30"/>
        <v>-6.09</v>
      </c>
      <c r="M50" s="2"/>
      <c r="N50" s="7">
        <f t="shared" si="31"/>
        <v>0</v>
      </c>
      <c r="O50" s="11"/>
      <c r="P50" s="6">
        <v>-28.15</v>
      </c>
      <c r="Q50" s="2"/>
      <c r="R50" s="7">
        <f t="shared" si="32"/>
        <v>-1.0664474015450265E-4</v>
      </c>
      <c r="S50" s="2"/>
      <c r="T50" s="6">
        <v>40</v>
      </c>
      <c r="U50" s="2"/>
      <c r="V50" s="7">
        <f t="shared" si="33"/>
        <v>3.3049110978914666E-4</v>
      </c>
      <c r="W50" s="2"/>
      <c r="X50" s="6">
        <f t="shared" si="34"/>
        <v>-68.150000000000006</v>
      </c>
      <c r="Y50" s="2"/>
      <c r="Z50" s="7">
        <f t="shared" si="35"/>
        <v>-1.7037500000000001</v>
      </c>
    </row>
    <row r="51" spans="1:26" s="29" customFormat="1" outlineLevel="1" collapsed="1" x14ac:dyDescent="0.3">
      <c r="A51" s="28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SUM(OSRRefD22_4x_0)</f>
        <v>2243.3200000000002</v>
      </c>
      <c r="E51" s="1"/>
      <c r="F51" s="5">
        <f t="shared" si="28"/>
        <v>4.1114278090077096E-2</v>
      </c>
      <c r="G51" s="1"/>
      <c r="H51" s="1">
        <f>SUM(OSRRefH22_4x_0)</f>
        <v>1175</v>
      </c>
      <c r="I51" s="1"/>
      <c r="J51" s="5">
        <f t="shared" si="29"/>
        <v>5.0160085378868728E-2</v>
      </c>
      <c r="K51" s="1"/>
      <c r="L51" s="1">
        <f t="shared" si="30"/>
        <v>1068.3200000000002</v>
      </c>
      <c r="M51" s="1"/>
      <c r="N51" s="5">
        <f t="shared" si="31"/>
        <v>0.909208510638298</v>
      </c>
      <c r="O51" s="14"/>
      <c r="P51" s="1">
        <f>SUM(OSRRefP22_4x_0)</f>
        <v>9393.2999999999993</v>
      </c>
      <c r="Q51" s="1"/>
      <c r="R51" s="5">
        <f t="shared" si="32"/>
        <v>3.5586004891413489E-2</v>
      </c>
      <c r="S51" s="1"/>
      <c r="T51" s="1">
        <f>SUM(OSRRefT22_4x_0)</f>
        <v>6070</v>
      </c>
      <c r="U51" s="1"/>
      <c r="V51" s="5">
        <f t="shared" si="33"/>
        <v>5.0152025910503009E-2</v>
      </c>
      <c r="W51" s="1"/>
      <c r="X51" s="1">
        <f t="shared" si="34"/>
        <v>3323.2999999999993</v>
      </c>
      <c r="Y51" s="1"/>
      <c r="Z51" s="5">
        <f t="shared" si="35"/>
        <v>0.54749588138385485</v>
      </c>
    </row>
    <row r="52" spans="1:26" s="24" customFormat="1" hidden="1" outlineLevel="2" x14ac:dyDescent="0.3">
      <c r="A52" s="27"/>
      <c r="B52" s="11" t="str">
        <f>CONCATENATE("          ", "6381", " - ", "BANK/CREDIT CARD FEES")</f>
        <v xml:space="preserve">          6381 - BANK/CREDIT CARD FEES</v>
      </c>
      <c r="C52" s="11"/>
      <c r="D52" s="6">
        <v>2243.3200000000002</v>
      </c>
      <c r="E52" s="2"/>
      <c r="F52" s="7">
        <f t="shared" si="28"/>
        <v>4.1114278090077096E-2</v>
      </c>
      <c r="G52" s="2"/>
      <c r="H52" s="6">
        <v>1175</v>
      </c>
      <c r="I52" s="2"/>
      <c r="J52" s="7">
        <f t="shared" si="29"/>
        <v>5.0160085378868728E-2</v>
      </c>
      <c r="K52" s="2"/>
      <c r="L52" s="6">
        <f t="shared" si="30"/>
        <v>1068.3200000000002</v>
      </c>
      <c r="M52" s="2"/>
      <c r="N52" s="7">
        <f t="shared" si="31"/>
        <v>0.909208510638298</v>
      </c>
      <c r="O52" s="11"/>
      <c r="P52" s="6">
        <v>9393.2999999999993</v>
      </c>
      <c r="Q52" s="2"/>
      <c r="R52" s="7">
        <f t="shared" si="32"/>
        <v>3.5586004891413489E-2</v>
      </c>
      <c r="S52" s="2"/>
      <c r="T52" s="6">
        <v>6070</v>
      </c>
      <c r="U52" s="2"/>
      <c r="V52" s="7">
        <f t="shared" si="33"/>
        <v>5.0152025910503009E-2</v>
      </c>
      <c r="W52" s="2"/>
      <c r="X52" s="6">
        <f t="shared" si="34"/>
        <v>3323.2999999999993</v>
      </c>
      <c r="Y52" s="2"/>
      <c r="Z52" s="7">
        <f t="shared" si="35"/>
        <v>0.54749588138385485</v>
      </c>
    </row>
    <row r="53" spans="1:26" s="29" customFormat="1" outlineLevel="1" collapsed="1" x14ac:dyDescent="0.3">
      <c r="A53" s="28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SUM(OSRRefD22_5x_0)</f>
        <v>14007.34</v>
      </c>
      <c r="E53" s="1"/>
      <c r="F53" s="5">
        <f t="shared" si="28"/>
        <v>0.25671846729947601</v>
      </c>
      <c r="G53" s="1"/>
      <c r="H53" s="1">
        <f>SUM(OSRRefH22_5x_0)</f>
        <v>13902</v>
      </c>
      <c r="I53" s="1"/>
      <c r="J53" s="5">
        <f t="shared" si="29"/>
        <v>0.59346851654215582</v>
      </c>
      <c r="K53" s="1"/>
      <c r="L53" s="1">
        <f t="shared" si="30"/>
        <v>105.34000000000015</v>
      </c>
      <c r="M53" s="1"/>
      <c r="N53" s="5">
        <f t="shared" si="31"/>
        <v>7.577327003308887E-3</v>
      </c>
      <c r="O53" s="14"/>
      <c r="P53" s="1">
        <f>SUM(OSRRefP22_5x_0)</f>
        <v>70036.700000000012</v>
      </c>
      <c r="Q53" s="1"/>
      <c r="R53" s="5">
        <f t="shared" si="32"/>
        <v>0.26533021928166456</v>
      </c>
      <c r="S53" s="1"/>
      <c r="T53" s="1">
        <f>SUM(OSRRefT22_5x_0)</f>
        <v>69510</v>
      </c>
      <c r="U53" s="1"/>
      <c r="V53" s="5">
        <f t="shared" si="33"/>
        <v>0.57431092603608958</v>
      </c>
      <c r="W53" s="1"/>
      <c r="X53" s="1">
        <f t="shared" si="34"/>
        <v>526.70000000001164</v>
      </c>
      <c r="Y53" s="1"/>
      <c r="Z53" s="5">
        <f t="shared" si="35"/>
        <v>7.577327003309044E-3</v>
      </c>
    </row>
    <row r="54" spans="1:26" s="24" customFormat="1" hidden="1" outlineLevel="2" x14ac:dyDescent="0.3">
      <c r="A54" s="27"/>
      <c r="B54" s="11" t="str">
        <f>CONCATENATE("          ", "6321", " - ", "BUILDING DEPRECIATION")</f>
        <v xml:space="preserve">          6321 - BUILDING DEPRECIATION</v>
      </c>
      <c r="C54" s="11"/>
      <c r="D54" s="6">
        <v>10597.26</v>
      </c>
      <c r="E54" s="2"/>
      <c r="F54" s="7">
        <f t="shared" si="28"/>
        <v>0.19422048331617886</v>
      </c>
      <c r="G54" s="2"/>
      <c r="H54" s="6"/>
      <c r="I54" s="2"/>
      <c r="J54" s="7">
        <f t="shared" si="29"/>
        <v>0</v>
      </c>
      <c r="K54" s="2"/>
      <c r="L54" s="6">
        <f t="shared" si="30"/>
        <v>10597.26</v>
      </c>
      <c r="M54" s="2"/>
      <c r="N54" s="7">
        <f t="shared" si="31"/>
        <v>0</v>
      </c>
      <c r="O54" s="11"/>
      <c r="P54" s="6">
        <v>52986.3</v>
      </c>
      <c r="Q54" s="2"/>
      <c r="R54" s="7">
        <f t="shared" si="32"/>
        <v>0.20073570853458345</v>
      </c>
      <c r="S54" s="2"/>
      <c r="T54" s="6"/>
      <c r="U54" s="2"/>
      <c r="V54" s="7">
        <f t="shared" si="33"/>
        <v>0</v>
      </c>
      <c r="W54" s="2"/>
      <c r="X54" s="6">
        <f t="shared" si="34"/>
        <v>52986.3</v>
      </c>
      <c r="Y54" s="2"/>
      <c r="Z54" s="7">
        <f t="shared" si="35"/>
        <v>0</v>
      </c>
    </row>
    <row r="55" spans="1:26" s="24" customFormat="1" hidden="1" outlineLevel="2" x14ac:dyDescent="0.3">
      <c r="A55" s="27"/>
      <c r="B55" s="11" t="str">
        <f>CONCATENATE("          ", "6322", " - ", "EQUIPMENT DEPRECIATION EXPENSE")</f>
        <v xml:space="preserve">          6322 - EQUIPMENT DEPRECIATION EXPENSE</v>
      </c>
      <c r="C55" s="11"/>
      <c r="D55" s="6">
        <v>3410.08</v>
      </c>
      <c r="E55" s="2"/>
      <c r="F55" s="7">
        <f t="shared" si="28"/>
        <v>6.2497983983297117E-2</v>
      </c>
      <c r="G55" s="2"/>
      <c r="H55" s="6">
        <v>13902</v>
      </c>
      <c r="I55" s="2"/>
      <c r="J55" s="7">
        <f t="shared" si="29"/>
        <v>0.59346851654215582</v>
      </c>
      <c r="K55" s="2"/>
      <c r="L55" s="6">
        <f t="shared" si="30"/>
        <v>-10491.92</v>
      </c>
      <c r="M55" s="2"/>
      <c r="N55" s="7">
        <f t="shared" si="31"/>
        <v>-0.75470579772694579</v>
      </c>
      <c r="O55" s="11"/>
      <c r="P55" s="6">
        <v>17050.400000000001</v>
      </c>
      <c r="Q55" s="2"/>
      <c r="R55" s="7">
        <f t="shared" si="32"/>
        <v>6.4594510747081071E-2</v>
      </c>
      <c r="S55" s="2"/>
      <c r="T55" s="6">
        <v>69510</v>
      </c>
      <c r="U55" s="2"/>
      <c r="V55" s="7">
        <f t="shared" si="33"/>
        <v>0.57431092603608958</v>
      </c>
      <c r="W55" s="2"/>
      <c r="X55" s="6">
        <f t="shared" si="34"/>
        <v>-52459.6</v>
      </c>
      <c r="Y55" s="2"/>
      <c r="Z55" s="7">
        <f t="shared" si="35"/>
        <v>-0.75470579772694579</v>
      </c>
    </row>
    <row r="56" spans="1:26" s="29" customFormat="1" outlineLevel="1" collapsed="1" x14ac:dyDescent="0.3">
      <c r="A56" s="28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SUM(OSRRefD22_6x_0)</f>
        <v>0</v>
      </c>
      <c r="E56" s="1"/>
      <c r="F56" s="5">
        <f t="shared" ref="F56:F66" si="36">IF(D$12=0,0,D56/D$12)</f>
        <v>0</v>
      </c>
      <c r="G56" s="1"/>
      <c r="H56" s="1">
        <f>SUM(OSRRefH22_6x_0)</f>
        <v>275</v>
      </c>
      <c r="I56" s="1"/>
      <c r="J56" s="5">
        <f t="shared" ref="J56:J66" si="37">IF(H$12=0,0,H56/H$12)</f>
        <v>1.1739594450373533E-2</v>
      </c>
      <c r="K56" s="1"/>
      <c r="L56" s="1">
        <f t="shared" ref="L56:L66" si="38">+D56-H56</f>
        <v>-275</v>
      </c>
      <c r="M56" s="1"/>
      <c r="N56" s="5">
        <f t="shared" ref="N56:N66" si="39">IF(H56=0,0,L56/H56)</f>
        <v>-1</v>
      </c>
      <c r="O56" s="14"/>
      <c r="P56" s="1">
        <f>SUM(OSRRefP22_6x_0)</f>
        <v>858.79</v>
      </c>
      <c r="Q56" s="1"/>
      <c r="R56" s="5">
        <f t="shared" ref="R56:R66" si="40">IF(P$12=0,0,P56/P$12)</f>
        <v>3.2534790904897096E-3</v>
      </c>
      <c r="S56" s="1"/>
      <c r="T56" s="1">
        <f>SUM(OSRRefT22_6x_0)</f>
        <v>1375</v>
      </c>
      <c r="U56" s="1"/>
      <c r="V56" s="5">
        <f t="shared" ref="V56:V66" si="41">IF(T$12=0,0,T56/T$12)</f>
        <v>1.1360631899001918E-2</v>
      </c>
      <c r="W56" s="1"/>
      <c r="X56" s="1">
        <f t="shared" ref="X56:X66" si="42">+P56-T56</f>
        <v>-516.21</v>
      </c>
      <c r="Y56" s="1"/>
      <c r="Z56" s="5">
        <f t="shared" ref="Z56:Z66" si="43">IF(T56=0,0,X56/T56)</f>
        <v>-0.37542545454545456</v>
      </c>
    </row>
    <row r="57" spans="1:26" s="24" customFormat="1" hidden="1" outlineLevel="2" x14ac:dyDescent="0.3">
      <c r="A57" s="27"/>
      <c r="B57" s="11" t="str">
        <f>CONCATENATE("          ", "6351", " - ", "EQUIPMENT RENTAL")</f>
        <v xml:space="preserve">          6351 - EQUIPMENT RENTAL</v>
      </c>
      <c r="C57" s="11"/>
      <c r="D57" s="6"/>
      <c r="E57" s="2"/>
      <c r="F57" s="7">
        <f t="shared" si="36"/>
        <v>0</v>
      </c>
      <c r="G57" s="2"/>
      <c r="H57" s="6">
        <v>275</v>
      </c>
      <c r="I57" s="2"/>
      <c r="J57" s="7">
        <f t="shared" si="37"/>
        <v>1.1739594450373533E-2</v>
      </c>
      <c r="K57" s="2"/>
      <c r="L57" s="6">
        <f t="shared" si="38"/>
        <v>-275</v>
      </c>
      <c r="M57" s="2"/>
      <c r="N57" s="7">
        <f t="shared" si="39"/>
        <v>-1</v>
      </c>
      <c r="O57" s="11"/>
      <c r="P57" s="6">
        <v>858.79</v>
      </c>
      <c r="Q57" s="2"/>
      <c r="R57" s="7">
        <f t="shared" si="40"/>
        <v>3.2534790904897096E-3</v>
      </c>
      <c r="S57" s="2"/>
      <c r="T57" s="6">
        <v>1375</v>
      </c>
      <c r="U57" s="2"/>
      <c r="V57" s="7">
        <f t="shared" si="41"/>
        <v>1.1360631899001918E-2</v>
      </c>
      <c r="W57" s="2"/>
      <c r="X57" s="6">
        <f t="shared" si="42"/>
        <v>-516.21</v>
      </c>
      <c r="Y57" s="2"/>
      <c r="Z57" s="7">
        <f t="shared" si="43"/>
        <v>-0.37542545454545456</v>
      </c>
    </row>
    <row r="58" spans="1:26" s="29" customFormat="1" outlineLevel="1" collapsed="1" x14ac:dyDescent="0.3">
      <c r="A58" s="28"/>
      <c r="B58" s="14" t="str">
        <f>CONCATENATE("     ","General                                           ")</f>
        <v xml:space="preserve">     General                                           </v>
      </c>
      <c r="C58" s="14"/>
      <c r="D58" s="1">
        <f>SUM(OSRRefD22_7x_0)</f>
        <v>0</v>
      </c>
      <c r="E58" s="1"/>
      <c r="F58" s="5">
        <f t="shared" si="36"/>
        <v>0</v>
      </c>
      <c r="G58" s="1"/>
      <c r="H58" s="1">
        <f>SUM(OSRRefH22_7x_0)</f>
        <v>0</v>
      </c>
      <c r="I58" s="1"/>
      <c r="J58" s="5">
        <f t="shared" si="37"/>
        <v>0</v>
      </c>
      <c r="K58" s="1"/>
      <c r="L58" s="1">
        <f t="shared" si="38"/>
        <v>0</v>
      </c>
      <c r="M58" s="1"/>
      <c r="N58" s="5">
        <f t="shared" si="39"/>
        <v>0</v>
      </c>
      <c r="O58" s="14"/>
      <c r="P58" s="1">
        <f>SUM(OSRRefP22_7x_0)</f>
        <v>1520.97</v>
      </c>
      <c r="Q58" s="1"/>
      <c r="R58" s="5">
        <f t="shared" si="40"/>
        <v>5.7621119159074214E-3</v>
      </c>
      <c r="S58" s="1"/>
      <c r="T58" s="1">
        <f>SUM(OSRRefT22_7x_0)</f>
        <v>1335</v>
      </c>
      <c r="U58" s="1"/>
      <c r="V58" s="5">
        <f t="shared" si="41"/>
        <v>1.1030140789212771E-2</v>
      </c>
      <c r="W58" s="1"/>
      <c r="X58" s="1">
        <f t="shared" si="42"/>
        <v>185.97000000000003</v>
      </c>
      <c r="Y58" s="1"/>
      <c r="Z58" s="5">
        <f t="shared" si="43"/>
        <v>0.13930337078651686</v>
      </c>
    </row>
    <row r="59" spans="1:26" s="24" customFormat="1" hidden="1" outlineLevel="2" x14ac:dyDescent="0.3">
      <c r="A59" s="27"/>
      <c r="B59" s="11" t="str">
        <f>CONCATENATE("          ", "6279", " - ", "GENERAL EXPENSE")</f>
        <v xml:space="preserve">          6279 - GENERAL EXPENSE</v>
      </c>
      <c r="C59" s="11"/>
      <c r="D59" s="6"/>
      <c r="E59" s="2"/>
      <c r="F59" s="7">
        <f t="shared" si="36"/>
        <v>0</v>
      </c>
      <c r="G59" s="2"/>
      <c r="H59" s="6"/>
      <c r="I59" s="2"/>
      <c r="J59" s="7">
        <f t="shared" si="37"/>
        <v>0</v>
      </c>
      <c r="K59" s="2"/>
      <c r="L59" s="6">
        <f t="shared" si="38"/>
        <v>0</v>
      </c>
      <c r="M59" s="2"/>
      <c r="N59" s="7">
        <f t="shared" si="39"/>
        <v>0</v>
      </c>
      <c r="O59" s="11"/>
      <c r="P59" s="6">
        <v>1520.97</v>
      </c>
      <c r="Q59" s="2"/>
      <c r="R59" s="7">
        <f t="shared" si="40"/>
        <v>5.7621119159074214E-3</v>
      </c>
      <c r="S59" s="2"/>
      <c r="T59" s="6">
        <v>1335</v>
      </c>
      <c r="U59" s="2"/>
      <c r="V59" s="7">
        <f t="shared" si="41"/>
        <v>1.1030140789212771E-2</v>
      </c>
      <c r="W59" s="2"/>
      <c r="X59" s="6">
        <f t="shared" si="42"/>
        <v>185.97000000000003</v>
      </c>
      <c r="Y59" s="2"/>
      <c r="Z59" s="7">
        <f t="shared" si="43"/>
        <v>0.13930337078651686</v>
      </c>
    </row>
    <row r="60" spans="1:26" s="29" customFormat="1" outlineLevel="1" collapsed="1" x14ac:dyDescent="0.3">
      <c r="A60" s="28"/>
      <c r="B60" s="14" t="str">
        <f>CONCATENATE("     ","Insurance                                         ")</f>
        <v xml:space="preserve">     Insurance                                         </v>
      </c>
      <c r="C60" s="14"/>
      <c r="D60" s="1">
        <f>SUM(OSRRefD22_8x_0)</f>
        <v>871.61</v>
      </c>
      <c r="E60" s="1"/>
      <c r="F60" s="5">
        <f t="shared" si="36"/>
        <v>1.5974366530897104E-2</v>
      </c>
      <c r="G60" s="1"/>
      <c r="H60" s="1">
        <f>SUM(OSRRefH22_8x_0)</f>
        <v>850</v>
      </c>
      <c r="I60" s="1"/>
      <c r="J60" s="5">
        <f t="shared" si="37"/>
        <v>3.6286019210245463E-2</v>
      </c>
      <c r="K60" s="1"/>
      <c r="L60" s="1">
        <f t="shared" si="38"/>
        <v>21.610000000000014</v>
      </c>
      <c r="M60" s="1"/>
      <c r="N60" s="5">
        <f t="shared" si="39"/>
        <v>2.5423529411764723E-2</v>
      </c>
      <c r="O60" s="14"/>
      <c r="P60" s="1">
        <f>SUM(OSRRefP22_8x_0)</f>
        <v>4358.05</v>
      </c>
      <c r="Q60" s="1"/>
      <c r="R60" s="5">
        <f t="shared" si="40"/>
        <v>1.6510234807471769E-2</v>
      </c>
      <c r="S60" s="1"/>
      <c r="T60" s="1">
        <f>SUM(OSRRefT22_8x_0)</f>
        <v>4250</v>
      </c>
      <c r="U60" s="1"/>
      <c r="V60" s="5">
        <f t="shared" si="41"/>
        <v>3.5114680415096834E-2</v>
      </c>
      <c r="W60" s="1"/>
      <c r="X60" s="1">
        <f t="shared" si="42"/>
        <v>108.05000000000018</v>
      </c>
      <c r="Y60" s="1"/>
      <c r="Z60" s="5">
        <f t="shared" si="43"/>
        <v>2.5423529411764748E-2</v>
      </c>
    </row>
    <row r="61" spans="1:26" s="24" customFormat="1" hidden="1" outlineLevel="2" x14ac:dyDescent="0.3">
      <c r="A61" s="27"/>
      <c r="B61" s="11" t="str">
        <f>CONCATENATE("          ", "6314", " - ", "LIABILITY INSURANCE")</f>
        <v xml:space="preserve">          6314 - LIABILITY INSURANCE</v>
      </c>
      <c r="C61" s="11"/>
      <c r="D61" s="6">
        <v>871.61</v>
      </c>
      <c r="E61" s="2"/>
      <c r="F61" s="7">
        <f t="shared" si="36"/>
        <v>1.5974366530897104E-2</v>
      </c>
      <c r="G61" s="2"/>
      <c r="H61" s="6">
        <v>850</v>
      </c>
      <c r="I61" s="2"/>
      <c r="J61" s="7">
        <f t="shared" si="37"/>
        <v>3.6286019210245463E-2</v>
      </c>
      <c r="K61" s="2"/>
      <c r="L61" s="6">
        <f t="shared" si="38"/>
        <v>21.610000000000014</v>
      </c>
      <c r="M61" s="2"/>
      <c r="N61" s="7">
        <f t="shared" si="39"/>
        <v>2.5423529411764723E-2</v>
      </c>
      <c r="O61" s="11"/>
      <c r="P61" s="6">
        <v>4358.05</v>
      </c>
      <c r="Q61" s="2"/>
      <c r="R61" s="7">
        <f t="shared" si="40"/>
        <v>1.6510234807471769E-2</v>
      </c>
      <c r="S61" s="2"/>
      <c r="T61" s="6">
        <v>4250</v>
      </c>
      <c r="U61" s="2"/>
      <c r="V61" s="7">
        <f t="shared" si="41"/>
        <v>3.5114680415096834E-2</v>
      </c>
      <c r="W61" s="2"/>
      <c r="X61" s="6">
        <f t="shared" si="42"/>
        <v>108.05000000000018</v>
      </c>
      <c r="Y61" s="2"/>
      <c r="Z61" s="7">
        <f t="shared" si="43"/>
        <v>2.5423529411764748E-2</v>
      </c>
    </row>
    <row r="62" spans="1:26" s="29" customFormat="1" outlineLevel="1" collapsed="1" x14ac:dyDescent="0.3">
      <c r="A62" s="28"/>
      <c r="B62" s="14" t="str">
        <f>CONCATENATE("     ","Interest                                          ")</f>
        <v xml:space="preserve">     Interest                                          </v>
      </c>
      <c r="C62" s="14"/>
      <c r="D62" s="1">
        <f>SUM(OSRRefD22_9x_0)</f>
        <v>7253</v>
      </c>
      <c r="E62" s="1"/>
      <c r="F62" s="5">
        <f t="shared" si="36"/>
        <v>0.13292881041818785</v>
      </c>
      <c r="G62" s="1"/>
      <c r="H62" s="1">
        <f>SUM(OSRRefH22_9x_0)</f>
        <v>7253</v>
      </c>
      <c r="I62" s="1"/>
      <c r="J62" s="5">
        <f t="shared" si="37"/>
        <v>0.30962646744930628</v>
      </c>
      <c r="K62" s="1"/>
      <c r="L62" s="1">
        <f t="shared" si="38"/>
        <v>0</v>
      </c>
      <c r="M62" s="1"/>
      <c r="N62" s="5">
        <f t="shared" si="39"/>
        <v>0</v>
      </c>
      <c r="O62" s="14"/>
      <c r="P62" s="1">
        <f>SUM(OSRRefP22_9x_0)</f>
        <v>35751</v>
      </c>
      <c r="Q62" s="1"/>
      <c r="R62" s="5">
        <f t="shared" si="40"/>
        <v>0.13544071421895645</v>
      </c>
      <c r="S62" s="1"/>
      <c r="T62" s="1">
        <f>SUM(OSRRefT22_9x_0)</f>
        <v>36265</v>
      </c>
      <c r="U62" s="1"/>
      <c r="V62" s="5">
        <f t="shared" si="41"/>
        <v>0.29963150241258513</v>
      </c>
      <c r="W62" s="1"/>
      <c r="X62" s="1">
        <f t="shared" si="42"/>
        <v>-514</v>
      </c>
      <c r="Y62" s="1"/>
      <c r="Z62" s="5">
        <f t="shared" si="43"/>
        <v>-1.4173445470839652E-2</v>
      </c>
    </row>
    <row r="63" spans="1:26" s="24" customFormat="1" hidden="1" outlineLevel="2" x14ac:dyDescent="0.3">
      <c r="A63" s="27"/>
      <c r="B63" s="11" t="str">
        <f>CONCATENATE("          ", "6401", " - ", "INTEREST EXPENSE")</f>
        <v xml:space="preserve">          6401 - INTEREST EXPENSE</v>
      </c>
      <c r="C63" s="11"/>
      <c r="D63" s="6">
        <v>7253</v>
      </c>
      <c r="E63" s="2"/>
      <c r="F63" s="7">
        <f t="shared" si="36"/>
        <v>0.13292881041818785</v>
      </c>
      <c r="G63" s="2"/>
      <c r="H63" s="6">
        <v>7253</v>
      </c>
      <c r="I63" s="2"/>
      <c r="J63" s="7">
        <f t="shared" si="37"/>
        <v>0.30962646744930628</v>
      </c>
      <c r="K63" s="2"/>
      <c r="L63" s="6">
        <f t="shared" si="38"/>
        <v>0</v>
      </c>
      <c r="M63" s="2"/>
      <c r="N63" s="7">
        <f t="shared" si="39"/>
        <v>0</v>
      </c>
      <c r="O63" s="11"/>
      <c r="P63" s="6">
        <v>35751</v>
      </c>
      <c r="Q63" s="2"/>
      <c r="R63" s="7">
        <f t="shared" si="40"/>
        <v>0.13544071421895645</v>
      </c>
      <c r="S63" s="2"/>
      <c r="T63" s="6">
        <v>36265</v>
      </c>
      <c r="U63" s="2"/>
      <c r="V63" s="7">
        <f t="shared" si="41"/>
        <v>0.29963150241258513</v>
      </c>
      <c r="W63" s="2"/>
      <c r="X63" s="6">
        <f t="shared" si="42"/>
        <v>-514</v>
      </c>
      <c r="Y63" s="2"/>
      <c r="Z63" s="7">
        <f t="shared" si="43"/>
        <v>-1.4173445470839652E-2</v>
      </c>
    </row>
    <row r="64" spans="1:26" s="29" customFormat="1" outlineLevel="1" collapsed="1" x14ac:dyDescent="0.3">
      <c r="A64" s="28"/>
      <c r="B64" s="14" t="str">
        <f>CONCATENATE("     ","Repair and Maintenance                            ")</f>
        <v xml:space="preserve">     Repair and Maintenance                            </v>
      </c>
      <c r="C64" s="14"/>
      <c r="D64" s="1">
        <f>SUM(OSRRefD22_10x_0)</f>
        <v>1153.32</v>
      </c>
      <c r="E64" s="1"/>
      <c r="F64" s="5">
        <f t="shared" si="36"/>
        <v>2.1137385306977029E-2</v>
      </c>
      <c r="G64" s="1"/>
      <c r="H64" s="1">
        <f>SUM(OSRRefH22_10x_0)</f>
        <v>900</v>
      </c>
      <c r="I64" s="1"/>
      <c r="J64" s="5">
        <f t="shared" si="37"/>
        <v>3.8420490928495199E-2</v>
      </c>
      <c r="K64" s="1"/>
      <c r="L64" s="1">
        <f t="shared" si="38"/>
        <v>253.31999999999994</v>
      </c>
      <c r="M64" s="1"/>
      <c r="N64" s="5">
        <f t="shared" si="39"/>
        <v>0.28146666666666659</v>
      </c>
      <c r="O64" s="14"/>
      <c r="P64" s="1">
        <f>SUM(OSRRefP22_10x_0)</f>
        <v>16438.66</v>
      </c>
      <c r="Q64" s="1"/>
      <c r="R64" s="5">
        <f t="shared" si="40"/>
        <v>6.2276967111481937E-2</v>
      </c>
      <c r="S64" s="1"/>
      <c r="T64" s="1">
        <f>SUM(OSRRefT22_10x_0)</f>
        <v>4427</v>
      </c>
      <c r="U64" s="1"/>
      <c r="V64" s="5">
        <f t="shared" si="41"/>
        <v>3.6577103575913809E-2</v>
      </c>
      <c r="W64" s="1"/>
      <c r="X64" s="1">
        <f t="shared" si="42"/>
        <v>12011.66</v>
      </c>
      <c r="Y64" s="1"/>
      <c r="Z64" s="5">
        <f t="shared" si="43"/>
        <v>2.7132730969053536</v>
      </c>
    </row>
    <row r="65" spans="1:26" s="24" customFormat="1" hidden="1" outlineLevel="2" x14ac:dyDescent="0.3">
      <c r="A65" s="27"/>
      <c r="B65" s="11" t="str">
        <f>CONCATENATE("          ", "6373", " - ", "MAINTENANCE CONTRACTS")</f>
        <v xml:space="preserve">          6373 - MAINTENANCE CONTRACTS</v>
      </c>
      <c r="C65" s="11"/>
      <c r="D65" s="6">
        <v>992</v>
      </c>
      <c r="E65" s="2"/>
      <c r="F65" s="7">
        <f t="shared" si="36"/>
        <v>1.8180805175078221E-2</v>
      </c>
      <c r="G65" s="2"/>
      <c r="H65" s="6">
        <v>400</v>
      </c>
      <c r="I65" s="2"/>
      <c r="J65" s="7">
        <f t="shared" si="37"/>
        <v>1.7075773745997867E-2</v>
      </c>
      <c r="K65" s="2"/>
      <c r="L65" s="6">
        <f t="shared" si="38"/>
        <v>592</v>
      </c>
      <c r="M65" s="2"/>
      <c r="N65" s="7">
        <f t="shared" si="39"/>
        <v>1.48</v>
      </c>
      <c r="O65" s="11"/>
      <c r="P65" s="6">
        <v>1539.14</v>
      </c>
      <c r="Q65" s="2"/>
      <c r="R65" s="7">
        <f t="shared" si="40"/>
        <v>5.8309479702096352E-3</v>
      </c>
      <c r="S65" s="2"/>
      <c r="T65" s="6">
        <v>1160</v>
      </c>
      <c r="U65" s="2"/>
      <c r="V65" s="7">
        <f t="shared" si="41"/>
        <v>9.584242183885254E-3</v>
      </c>
      <c r="W65" s="2"/>
      <c r="X65" s="6">
        <f t="shared" si="42"/>
        <v>379.1400000000001</v>
      </c>
      <c r="Y65" s="2"/>
      <c r="Z65" s="7">
        <f t="shared" si="43"/>
        <v>0.32684482758620698</v>
      </c>
    </row>
    <row r="66" spans="1:26" s="24" customFormat="1" hidden="1" outlineLevel="2" x14ac:dyDescent="0.3">
      <c r="A66" s="27"/>
      <c r="B66" s="11" t="str">
        <f>CONCATENATE("          ", "6375", " - ", "OUTSIDE REPAIRS &amp; MAINTENANCE")</f>
        <v xml:space="preserve">          6375 - OUTSIDE REPAIRS &amp; MAINTENANCE</v>
      </c>
      <c r="C66" s="11"/>
      <c r="D66" s="6">
        <v>161.32</v>
      </c>
      <c r="E66" s="2"/>
      <c r="F66" s="7">
        <f t="shared" si="36"/>
        <v>2.956580131898809E-3</v>
      </c>
      <c r="G66" s="2"/>
      <c r="H66" s="6">
        <v>500</v>
      </c>
      <c r="I66" s="2"/>
      <c r="J66" s="7">
        <f t="shared" si="37"/>
        <v>2.1344717182497332E-2</v>
      </c>
      <c r="K66" s="2"/>
      <c r="L66" s="6">
        <f t="shared" si="38"/>
        <v>-338.68</v>
      </c>
      <c r="M66" s="2"/>
      <c r="N66" s="7">
        <f t="shared" si="39"/>
        <v>-0.67735999999999996</v>
      </c>
      <c r="O66" s="11"/>
      <c r="P66" s="6">
        <v>14899.52</v>
      </c>
      <c r="Q66" s="2"/>
      <c r="R66" s="7">
        <f t="shared" si="40"/>
        <v>5.6446019141272306E-2</v>
      </c>
      <c r="S66" s="2"/>
      <c r="T66" s="6">
        <v>3267</v>
      </c>
      <c r="U66" s="2"/>
      <c r="V66" s="7">
        <f t="shared" si="41"/>
        <v>2.6992861392028555E-2</v>
      </c>
      <c r="W66" s="2"/>
      <c r="X66" s="6">
        <f t="shared" si="42"/>
        <v>11632.52</v>
      </c>
      <c r="Y66" s="2"/>
      <c r="Z66" s="7">
        <f t="shared" si="43"/>
        <v>3.5606121824303645</v>
      </c>
    </row>
    <row r="67" spans="1:26" s="29" customFormat="1" outlineLevel="1" collapsed="1" x14ac:dyDescent="0.3">
      <c r="A67" s="28"/>
      <c r="B67" s="14" t="str">
        <f>CONCATENATE("     ","Services                                          ")</f>
        <v xml:space="preserve">     Services                                          </v>
      </c>
      <c r="C67" s="14"/>
      <c r="D67" s="1">
        <f>SUM(OSRRefD22_11x_0)</f>
        <v>4018.19</v>
      </c>
      <c r="E67" s="1"/>
      <c r="F67" s="5">
        <f t="shared" ref="F67:F71" si="44">IF(D$12=0,0,D67/D$12)</f>
        <v>7.3643074139564071E-2</v>
      </c>
      <c r="G67" s="1"/>
      <c r="H67" s="1">
        <f>SUM(OSRRefH22_11x_0)</f>
        <v>4857</v>
      </c>
      <c r="I67" s="1"/>
      <c r="J67" s="5">
        <f t="shared" ref="J67:J71" si="45">IF(H$12=0,0,H67/H$12)</f>
        <v>0.20734258271077907</v>
      </c>
      <c r="K67" s="1"/>
      <c r="L67" s="1">
        <f t="shared" ref="L67:L71" si="46">+D67-H67</f>
        <v>-838.81</v>
      </c>
      <c r="M67" s="1"/>
      <c r="N67" s="5">
        <f t="shared" ref="N67:N71" si="47">IF(H67=0,0,L67/H67)</f>
        <v>-0.17270125591929172</v>
      </c>
      <c r="O67" s="14"/>
      <c r="P67" s="1">
        <f>SUM(OSRRefP22_11x_0)</f>
        <v>28440.09</v>
      </c>
      <c r="Q67" s="1"/>
      <c r="R67" s="5">
        <f t="shared" ref="R67:R71" si="48">IF(P$12=0,0,P67/P$12)</f>
        <v>0.10774373030268808</v>
      </c>
      <c r="S67" s="1"/>
      <c r="T67" s="1">
        <f>SUM(OSRRefT22_11x_0)</f>
        <v>24529</v>
      </c>
      <c r="U67" s="1"/>
      <c r="V67" s="5">
        <f t="shared" ref="V67:V71" si="49">IF(T$12=0,0,T67/T$12)</f>
        <v>0.20266541080044947</v>
      </c>
      <c r="W67" s="1"/>
      <c r="X67" s="1">
        <f t="shared" ref="X67:X71" si="50">+P67-T67</f>
        <v>3911.09</v>
      </c>
      <c r="Y67" s="1"/>
      <c r="Z67" s="5">
        <f t="shared" ref="Z67:Z71" si="51">IF(T67=0,0,X67/T67)</f>
        <v>0.15944759264544009</v>
      </c>
    </row>
    <row r="68" spans="1:26" s="24" customFormat="1" hidden="1" outlineLevel="2" x14ac:dyDescent="0.3">
      <c r="A68" s="27"/>
      <c r="B68" s="11" t="str">
        <f>CONCATENATE("          ", "6282", " - ", "JANITORIAL/EXTERMINATOR EXPENS")</f>
        <v xml:space="preserve">          6282 - JANITORIAL/EXTERMINATOR EXPENS</v>
      </c>
      <c r="C68" s="11"/>
      <c r="D68" s="6">
        <v>351.55</v>
      </c>
      <c r="E68" s="2"/>
      <c r="F68" s="7">
        <f t="shared" si="44"/>
        <v>6.4430061081640613E-3</v>
      </c>
      <c r="G68" s="2"/>
      <c r="H68" s="6">
        <v>328</v>
      </c>
      <c r="I68" s="2"/>
      <c r="J68" s="7">
        <f t="shared" si="45"/>
        <v>1.4002134471718249E-2</v>
      </c>
      <c r="K68" s="2"/>
      <c r="L68" s="6">
        <f t="shared" si="46"/>
        <v>23.550000000000011</v>
      </c>
      <c r="M68" s="2"/>
      <c r="N68" s="7">
        <f t="shared" si="47"/>
        <v>7.1798780487804914E-2</v>
      </c>
      <c r="O68" s="11"/>
      <c r="P68" s="6">
        <v>1757.75</v>
      </c>
      <c r="Q68" s="2"/>
      <c r="R68" s="7">
        <f t="shared" si="48"/>
        <v>6.6591400357576208E-3</v>
      </c>
      <c r="S68" s="2"/>
      <c r="T68" s="6">
        <v>1640</v>
      </c>
      <c r="U68" s="2"/>
      <c r="V68" s="7">
        <f t="shared" si="49"/>
        <v>1.3550135501355014E-2</v>
      </c>
      <c r="W68" s="2"/>
      <c r="X68" s="6">
        <f t="shared" si="50"/>
        <v>117.75</v>
      </c>
      <c r="Y68" s="2"/>
      <c r="Z68" s="7">
        <f t="shared" si="51"/>
        <v>7.1798780487804872E-2</v>
      </c>
    </row>
    <row r="69" spans="1:26" s="24" customFormat="1" hidden="1" outlineLevel="2" x14ac:dyDescent="0.3">
      <c r="A69" s="27"/>
      <c r="B69" s="11" t="str">
        <f>CONCATENATE("          ", "6284", " - ", "TRASH REMOVAL EXPENSE")</f>
        <v xml:space="preserve">          6284 - TRASH REMOVAL EXPENSE</v>
      </c>
      <c r="C69" s="11"/>
      <c r="D69" s="6"/>
      <c r="E69" s="2"/>
      <c r="F69" s="7">
        <f t="shared" si="44"/>
        <v>0</v>
      </c>
      <c r="G69" s="2"/>
      <c r="H69" s="6">
        <v>1000</v>
      </c>
      <c r="I69" s="2"/>
      <c r="J69" s="7">
        <f t="shared" si="45"/>
        <v>4.2689434364994665E-2</v>
      </c>
      <c r="K69" s="2"/>
      <c r="L69" s="6">
        <f t="shared" si="46"/>
        <v>-1000</v>
      </c>
      <c r="M69" s="2"/>
      <c r="N69" s="7">
        <f t="shared" si="47"/>
        <v>-1</v>
      </c>
      <c r="O69" s="11"/>
      <c r="P69" s="6"/>
      <c r="Q69" s="2"/>
      <c r="R69" s="7">
        <f t="shared" si="48"/>
        <v>0</v>
      </c>
      <c r="S69" s="2"/>
      <c r="T69" s="6">
        <v>5000</v>
      </c>
      <c r="U69" s="2"/>
      <c r="V69" s="7">
        <f t="shared" si="49"/>
        <v>4.1311388723643337E-2</v>
      </c>
      <c r="W69" s="2"/>
      <c r="X69" s="6">
        <f t="shared" si="50"/>
        <v>-5000</v>
      </c>
      <c r="Y69" s="2"/>
      <c r="Z69" s="7">
        <f t="shared" si="51"/>
        <v>-1</v>
      </c>
    </row>
    <row r="70" spans="1:26" s="24" customFormat="1" hidden="1" outlineLevel="2" x14ac:dyDescent="0.3">
      <c r="A70" s="27"/>
      <c r="B70" s="11" t="str">
        <f>CONCATENATE("          ", "6285", " - ", "JANITORIAL SERVICES")</f>
        <v xml:space="preserve">          6285 - JANITORIAL SERVICES</v>
      </c>
      <c r="C70" s="11"/>
      <c r="D70" s="6">
        <v>3385.52</v>
      </c>
      <c r="E70" s="2"/>
      <c r="F70" s="7">
        <f t="shared" si="44"/>
        <v>6.2047862435817357E-2</v>
      </c>
      <c r="G70" s="2"/>
      <c r="H70" s="6">
        <v>3041</v>
      </c>
      <c r="I70" s="2"/>
      <c r="J70" s="7">
        <f t="shared" si="45"/>
        <v>0.12981856990394877</v>
      </c>
      <c r="K70" s="2"/>
      <c r="L70" s="6">
        <f t="shared" si="46"/>
        <v>344.52</v>
      </c>
      <c r="M70" s="2"/>
      <c r="N70" s="7">
        <f t="shared" si="47"/>
        <v>0.1132916803682999</v>
      </c>
      <c r="O70" s="11"/>
      <c r="P70" s="6">
        <v>25353.48</v>
      </c>
      <c r="Q70" s="2"/>
      <c r="R70" s="7">
        <f t="shared" si="48"/>
        <v>9.6050276611452212E-2</v>
      </c>
      <c r="S70" s="2"/>
      <c r="T70" s="6">
        <v>15205</v>
      </c>
      <c r="U70" s="2"/>
      <c r="V70" s="7">
        <f t="shared" si="49"/>
        <v>0.12562793310859938</v>
      </c>
      <c r="W70" s="2"/>
      <c r="X70" s="6">
        <f t="shared" si="50"/>
        <v>10148.48</v>
      </c>
      <c r="Y70" s="2"/>
      <c r="Z70" s="7">
        <f t="shared" si="51"/>
        <v>0.66744360407760606</v>
      </c>
    </row>
    <row r="71" spans="1:26" s="24" customFormat="1" hidden="1" outlineLevel="2" x14ac:dyDescent="0.3">
      <c r="A71" s="27"/>
      <c r="B71" s="11" t="str">
        <f>CONCATENATE("          ", "6286", " - ", "LAUNDRY EXPENSE")</f>
        <v xml:space="preserve">          6286 - LAUNDRY EXPENSE</v>
      </c>
      <c r="C71" s="11"/>
      <c r="D71" s="6">
        <v>281.12</v>
      </c>
      <c r="E71" s="2"/>
      <c r="F71" s="7">
        <f t="shared" si="44"/>
        <v>5.1522055955826509E-3</v>
      </c>
      <c r="G71" s="2"/>
      <c r="H71" s="6">
        <v>488</v>
      </c>
      <c r="I71" s="2"/>
      <c r="J71" s="7">
        <f t="shared" si="45"/>
        <v>2.0832443970117395E-2</v>
      </c>
      <c r="K71" s="2"/>
      <c r="L71" s="6">
        <f t="shared" si="46"/>
        <v>-206.88</v>
      </c>
      <c r="M71" s="2"/>
      <c r="N71" s="7">
        <f t="shared" si="47"/>
        <v>-0.42393442622950817</v>
      </c>
      <c r="O71" s="11"/>
      <c r="P71" s="6">
        <v>1328.86</v>
      </c>
      <c r="Q71" s="2"/>
      <c r="R71" s="7">
        <f t="shared" si="48"/>
        <v>5.0343136554782371E-3</v>
      </c>
      <c r="S71" s="2"/>
      <c r="T71" s="6">
        <v>2684</v>
      </c>
      <c r="U71" s="2"/>
      <c r="V71" s="7">
        <f t="shared" si="49"/>
        <v>2.2175953466851743E-2</v>
      </c>
      <c r="W71" s="2"/>
      <c r="X71" s="6">
        <f t="shared" si="50"/>
        <v>-1355.14</v>
      </c>
      <c r="Y71" s="2"/>
      <c r="Z71" s="7">
        <f t="shared" si="51"/>
        <v>-0.50489567809239944</v>
      </c>
    </row>
    <row r="72" spans="1:26" s="29" customFormat="1" outlineLevel="1" collapsed="1" x14ac:dyDescent="0.3">
      <c r="A72" s="28"/>
      <c r="B72" s="14" t="str">
        <f>CONCATENATE("     ","Subscriptions &amp; Dues                              ")</f>
        <v xml:space="preserve">     Subscriptions &amp; Dues                              </v>
      </c>
      <c r="C72" s="14"/>
      <c r="D72" s="1">
        <f>SUM(OSRRefD22_12x_0)</f>
        <v>327.64</v>
      </c>
      <c r="E72" s="1"/>
      <c r="F72" s="5">
        <f t="shared" ref="F72:F80" si="52">IF(D$12=0,0,D72/D$12)</f>
        <v>6.0047973866558749E-3</v>
      </c>
      <c r="G72" s="1"/>
      <c r="H72" s="1">
        <f>SUM(OSRRefH22_12x_0)</f>
        <v>380</v>
      </c>
      <c r="I72" s="1"/>
      <c r="J72" s="5">
        <f t="shared" ref="J72:J80" si="53">IF(H$12=0,0,H72/H$12)</f>
        <v>1.6221985058697971E-2</v>
      </c>
      <c r="K72" s="1"/>
      <c r="L72" s="1">
        <f t="shared" ref="L72:L80" si="54">+D72-H72</f>
        <v>-52.360000000000014</v>
      </c>
      <c r="M72" s="1"/>
      <c r="N72" s="5">
        <f t="shared" ref="N72:N80" si="55">IF(H72=0,0,L72/H72)</f>
        <v>-0.13778947368421057</v>
      </c>
      <c r="O72" s="14"/>
      <c r="P72" s="1">
        <f>SUM(OSRRefP22_12x_0)</f>
        <v>1707.89</v>
      </c>
      <c r="Q72" s="1"/>
      <c r="R72" s="5">
        <f t="shared" ref="R72:R80" si="56">IF(P$12=0,0,P72/P$12)</f>
        <v>6.4702481443152235E-3</v>
      </c>
      <c r="S72" s="1"/>
      <c r="T72" s="1">
        <f>SUM(OSRRefT22_12x_0)</f>
        <v>1900</v>
      </c>
      <c r="U72" s="1"/>
      <c r="V72" s="5">
        <f t="shared" ref="V72:V80" si="57">IF(T$12=0,0,T72/T$12)</f>
        <v>1.5698327714984465E-2</v>
      </c>
      <c r="W72" s="1"/>
      <c r="X72" s="1">
        <f t="shared" ref="X72:X80" si="58">+P72-T72</f>
        <v>-192.1099999999999</v>
      </c>
      <c r="Y72" s="1"/>
      <c r="Z72" s="5">
        <f t="shared" ref="Z72:Z80" si="59">IF(T72=0,0,X72/T72)</f>
        <v>-0.10111052631578941</v>
      </c>
    </row>
    <row r="73" spans="1:26" s="24" customFormat="1" hidden="1" outlineLevel="2" x14ac:dyDescent="0.3">
      <c r="A73" s="27"/>
      <c r="B73" s="11" t="str">
        <f>CONCATENATE("          ", "6275", " - ", "SUBSCRIPTIONS")</f>
        <v xml:space="preserve">          6275 - SUBSCRIPTIONS</v>
      </c>
      <c r="C73" s="11"/>
      <c r="D73" s="6">
        <v>327.64</v>
      </c>
      <c r="E73" s="2"/>
      <c r="F73" s="7">
        <f t="shared" si="52"/>
        <v>6.0047973866558749E-3</v>
      </c>
      <c r="G73" s="2"/>
      <c r="H73" s="6">
        <v>380</v>
      </c>
      <c r="I73" s="2"/>
      <c r="J73" s="7">
        <f t="shared" si="53"/>
        <v>1.6221985058697971E-2</v>
      </c>
      <c r="K73" s="2"/>
      <c r="L73" s="6">
        <f t="shared" si="54"/>
        <v>-52.360000000000014</v>
      </c>
      <c r="M73" s="2"/>
      <c r="N73" s="7">
        <f t="shared" si="55"/>
        <v>-0.13778947368421057</v>
      </c>
      <c r="O73" s="11"/>
      <c r="P73" s="6">
        <v>1707.89</v>
      </c>
      <c r="Q73" s="2"/>
      <c r="R73" s="7">
        <f t="shared" si="56"/>
        <v>6.4702481443152235E-3</v>
      </c>
      <c r="S73" s="2"/>
      <c r="T73" s="6">
        <v>1900</v>
      </c>
      <c r="U73" s="2"/>
      <c r="V73" s="7">
        <f t="shared" si="57"/>
        <v>1.5698327714984465E-2</v>
      </c>
      <c r="W73" s="2"/>
      <c r="X73" s="6">
        <f t="shared" si="58"/>
        <v>-192.1099999999999</v>
      </c>
      <c r="Y73" s="2"/>
      <c r="Z73" s="7">
        <f t="shared" si="59"/>
        <v>-0.10111052631578941</v>
      </c>
    </row>
    <row r="74" spans="1:26" s="29" customFormat="1" outlineLevel="1" collapsed="1" x14ac:dyDescent="0.3">
      <c r="A74" s="28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SUM(OSRRefD22_13x_0)</f>
        <v>887.49</v>
      </c>
      <c r="E74" s="1"/>
      <c r="F74" s="5">
        <f t="shared" si="52"/>
        <v>1.6265406033094929E-2</v>
      </c>
      <c r="G74" s="1"/>
      <c r="H74" s="1">
        <f>SUM(OSRRefH22_13x_0)</f>
        <v>200</v>
      </c>
      <c r="I74" s="1"/>
      <c r="J74" s="5">
        <f t="shared" si="53"/>
        <v>8.5378868729989333E-3</v>
      </c>
      <c r="K74" s="1"/>
      <c r="L74" s="1">
        <f t="shared" si="54"/>
        <v>687.49</v>
      </c>
      <c r="M74" s="1"/>
      <c r="N74" s="5">
        <f t="shared" si="55"/>
        <v>3.4374500000000001</v>
      </c>
      <c r="O74" s="14"/>
      <c r="P74" s="1">
        <f>SUM(OSRRefP22_13x_0)</f>
        <v>9157.31</v>
      </c>
      <c r="Q74" s="1"/>
      <c r="R74" s="5">
        <f t="shared" si="56"/>
        <v>3.4691969643489473E-2</v>
      </c>
      <c r="S74" s="1"/>
      <c r="T74" s="1">
        <f>SUM(OSRRefT22_13x_0)</f>
        <v>7773</v>
      </c>
      <c r="U74" s="1"/>
      <c r="V74" s="5">
        <f t="shared" si="57"/>
        <v>6.4222684909775923E-2</v>
      </c>
      <c r="W74" s="1"/>
      <c r="X74" s="1">
        <f t="shared" si="58"/>
        <v>1384.3099999999995</v>
      </c>
      <c r="Y74" s="1"/>
      <c r="Z74" s="5">
        <f t="shared" si="59"/>
        <v>0.17809211372700368</v>
      </c>
    </row>
    <row r="75" spans="1:26" s="24" customFormat="1" hidden="1" outlineLevel="2" x14ac:dyDescent="0.3">
      <c r="A75" s="27"/>
      <c r="B75" s="11" t="str">
        <f>CONCATENATE("          ", "6237", " - ", "JANITORIAL SUPPLIES")</f>
        <v xml:space="preserve">          6237 - JANITORIAL SUPPLIES</v>
      </c>
      <c r="C75" s="11"/>
      <c r="D75" s="6">
        <v>583.25</v>
      </c>
      <c r="E75" s="2"/>
      <c r="F75" s="7">
        <f t="shared" si="52"/>
        <v>1.0689470381415699E-2</v>
      </c>
      <c r="G75" s="2"/>
      <c r="H75" s="6"/>
      <c r="I75" s="2"/>
      <c r="J75" s="7">
        <f t="shared" si="53"/>
        <v>0</v>
      </c>
      <c r="K75" s="2"/>
      <c r="L75" s="6">
        <f t="shared" si="54"/>
        <v>583.25</v>
      </c>
      <c r="M75" s="2"/>
      <c r="N75" s="7">
        <f t="shared" si="55"/>
        <v>0</v>
      </c>
      <c r="O75" s="11"/>
      <c r="P75" s="6">
        <v>4187.22</v>
      </c>
      <c r="Q75" s="2"/>
      <c r="R75" s="7">
        <f t="shared" si="56"/>
        <v>1.5863054666775723E-2</v>
      </c>
      <c r="S75" s="2"/>
      <c r="T75" s="6">
        <v>1503</v>
      </c>
      <c r="U75" s="2"/>
      <c r="V75" s="7">
        <f t="shared" si="57"/>
        <v>1.2418203450327186E-2</v>
      </c>
      <c r="W75" s="2"/>
      <c r="X75" s="6">
        <f t="shared" si="58"/>
        <v>2684.2200000000003</v>
      </c>
      <c r="Y75" s="2"/>
      <c r="Z75" s="7">
        <f t="shared" si="59"/>
        <v>1.7859081836327346</v>
      </c>
    </row>
    <row r="76" spans="1:26" s="24" customFormat="1" hidden="1" outlineLevel="2" x14ac:dyDescent="0.3">
      <c r="A76" s="27"/>
      <c r="B76" s="11" t="str">
        <f>CONCATENATE("          ", "6239", " - ", "KITCHEN SUPPLIES")</f>
        <v xml:space="preserve">          6239 - KITCHEN SUPPLIES</v>
      </c>
      <c r="C76" s="11"/>
      <c r="D76" s="6">
        <v>186.11</v>
      </c>
      <c r="E76" s="2"/>
      <c r="F76" s="7">
        <f t="shared" si="52"/>
        <v>3.4109169870300484E-3</v>
      </c>
      <c r="G76" s="2"/>
      <c r="H76" s="6"/>
      <c r="I76" s="2"/>
      <c r="J76" s="7">
        <f t="shared" si="53"/>
        <v>0</v>
      </c>
      <c r="K76" s="2"/>
      <c r="L76" s="6">
        <f t="shared" si="54"/>
        <v>186.11</v>
      </c>
      <c r="M76" s="2"/>
      <c r="N76" s="7">
        <f t="shared" si="55"/>
        <v>0</v>
      </c>
      <c r="O76" s="11"/>
      <c r="P76" s="6">
        <v>1339.38</v>
      </c>
      <c r="Q76" s="2"/>
      <c r="R76" s="7">
        <f t="shared" si="56"/>
        <v>5.0741681018876654E-3</v>
      </c>
      <c r="S76" s="2"/>
      <c r="T76" s="6">
        <v>149</v>
      </c>
      <c r="U76" s="2"/>
      <c r="V76" s="7">
        <f t="shared" si="57"/>
        <v>1.2310793839645714E-3</v>
      </c>
      <c r="W76" s="2"/>
      <c r="X76" s="6">
        <f t="shared" si="58"/>
        <v>1190.3800000000001</v>
      </c>
      <c r="Y76" s="2"/>
      <c r="Z76" s="7">
        <f t="shared" si="59"/>
        <v>7.9891275167785238</v>
      </c>
    </row>
    <row r="77" spans="1:26" s="24" customFormat="1" hidden="1" outlineLevel="2" x14ac:dyDescent="0.3">
      <c r="A77" s="27"/>
      <c r="B77" s="11" t="str">
        <f>CONCATENATE("          ", "6241", " - ", "OFFICE EXPENSE")</f>
        <v xml:space="preserve">          6241 - OFFICE EXPENSE</v>
      </c>
      <c r="C77" s="11"/>
      <c r="D77" s="6">
        <v>118.13</v>
      </c>
      <c r="E77" s="2"/>
      <c r="F77" s="7">
        <f t="shared" si="52"/>
        <v>2.1650186646491837E-3</v>
      </c>
      <c r="G77" s="2"/>
      <c r="H77" s="6"/>
      <c r="I77" s="2"/>
      <c r="J77" s="7">
        <f t="shared" si="53"/>
        <v>0</v>
      </c>
      <c r="K77" s="2"/>
      <c r="L77" s="6">
        <f t="shared" si="54"/>
        <v>118.13</v>
      </c>
      <c r="M77" s="2"/>
      <c r="N77" s="7">
        <f t="shared" si="55"/>
        <v>0</v>
      </c>
      <c r="O77" s="11"/>
      <c r="P77" s="6">
        <v>3144.48</v>
      </c>
      <c r="Q77" s="2"/>
      <c r="R77" s="7">
        <f t="shared" si="56"/>
        <v>1.1912691030942469E-2</v>
      </c>
      <c r="S77" s="2"/>
      <c r="T77" s="6">
        <v>2827</v>
      </c>
      <c r="U77" s="2"/>
      <c r="V77" s="7">
        <f t="shared" si="57"/>
        <v>2.335745918434794E-2</v>
      </c>
      <c r="W77" s="2"/>
      <c r="X77" s="6">
        <f t="shared" si="58"/>
        <v>317.48</v>
      </c>
      <c r="Y77" s="2"/>
      <c r="Z77" s="7">
        <f t="shared" si="59"/>
        <v>0.11230279448178282</v>
      </c>
    </row>
    <row r="78" spans="1:26" s="24" customFormat="1" hidden="1" outlineLevel="2" x14ac:dyDescent="0.3">
      <c r="A78" s="27"/>
      <c r="B78" s="11" t="str">
        <f>CONCATENATE("          ", "6243", " - ", "PAPER SUPPLIES")</f>
        <v xml:space="preserve">          6243 - PAPER SUPPLIES</v>
      </c>
      <c r="C78" s="11"/>
      <c r="D78" s="6"/>
      <c r="E78" s="2"/>
      <c r="F78" s="7">
        <f t="shared" si="52"/>
        <v>0</v>
      </c>
      <c r="G78" s="2"/>
      <c r="H78" s="6">
        <v>200</v>
      </c>
      <c r="I78" s="2"/>
      <c r="J78" s="7">
        <f t="shared" si="53"/>
        <v>8.5378868729989333E-3</v>
      </c>
      <c r="K78" s="2"/>
      <c r="L78" s="6">
        <f t="shared" si="54"/>
        <v>-200</v>
      </c>
      <c r="M78" s="2"/>
      <c r="N78" s="7">
        <f t="shared" si="55"/>
        <v>-1</v>
      </c>
      <c r="O78" s="11"/>
      <c r="P78" s="6">
        <v>486.23</v>
      </c>
      <c r="Q78" s="2"/>
      <c r="R78" s="7">
        <f t="shared" si="56"/>
        <v>1.8420558438836173E-3</v>
      </c>
      <c r="S78" s="2"/>
      <c r="T78" s="6">
        <v>1883</v>
      </c>
      <c r="U78" s="2"/>
      <c r="V78" s="7">
        <f t="shared" si="57"/>
        <v>1.555786899332408E-2</v>
      </c>
      <c r="W78" s="2"/>
      <c r="X78" s="6">
        <f t="shared" si="58"/>
        <v>-1396.77</v>
      </c>
      <c r="Y78" s="2"/>
      <c r="Z78" s="7">
        <f t="shared" si="59"/>
        <v>-0.74177907594264469</v>
      </c>
    </row>
    <row r="79" spans="1:26" s="24" customFormat="1" hidden="1" outlineLevel="2" x14ac:dyDescent="0.3">
      <c r="A79" s="27"/>
      <c r="B79" s="11" t="str">
        <f>CONCATENATE("          ", "6247", " - ", "STORE SUPPLIES")</f>
        <v xml:space="preserve">          6247 - STORE SUPPLIES</v>
      </c>
      <c r="C79" s="11"/>
      <c r="D79" s="6"/>
      <c r="E79" s="2"/>
      <c r="F79" s="7">
        <f t="shared" si="52"/>
        <v>0</v>
      </c>
      <c r="G79" s="2"/>
      <c r="H79" s="6"/>
      <c r="I79" s="2"/>
      <c r="J79" s="7">
        <f t="shared" si="53"/>
        <v>0</v>
      </c>
      <c r="K79" s="2"/>
      <c r="L79" s="6">
        <f t="shared" si="54"/>
        <v>0</v>
      </c>
      <c r="M79" s="2"/>
      <c r="N79" s="7">
        <f t="shared" si="55"/>
        <v>0</v>
      </c>
      <c r="O79" s="11"/>
      <c r="P79" s="6"/>
      <c r="Q79" s="2"/>
      <c r="R79" s="7">
        <f t="shared" si="56"/>
        <v>0</v>
      </c>
      <c r="S79" s="2"/>
      <c r="T79" s="6">
        <v>411</v>
      </c>
      <c r="U79" s="2"/>
      <c r="V79" s="7">
        <f t="shared" si="57"/>
        <v>3.3957961530834821E-3</v>
      </c>
      <c r="W79" s="2"/>
      <c r="X79" s="6">
        <f t="shared" si="58"/>
        <v>-411</v>
      </c>
      <c r="Y79" s="2"/>
      <c r="Z79" s="7">
        <f t="shared" si="59"/>
        <v>-1</v>
      </c>
    </row>
    <row r="80" spans="1:26" s="24" customFormat="1" hidden="1" outlineLevel="2" x14ac:dyDescent="0.3">
      <c r="A80" s="27"/>
      <c r="B80" s="11" t="str">
        <f>CONCATENATE("          ", "6248", " - ", "UNIFORMS")</f>
        <v xml:space="preserve">          6248 - UNIFORMS</v>
      </c>
      <c r="C80" s="11"/>
      <c r="D80" s="6"/>
      <c r="E80" s="2"/>
      <c r="F80" s="7">
        <f t="shared" si="52"/>
        <v>0</v>
      </c>
      <c r="G80" s="2"/>
      <c r="H80" s="6"/>
      <c r="I80" s="2"/>
      <c r="J80" s="7">
        <f t="shared" si="53"/>
        <v>0</v>
      </c>
      <c r="K80" s="2"/>
      <c r="L80" s="6">
        <f t="shared" si="54"/>
        <v>0</v>
      </c>
      <c r="M80" s="2"/>
      <c r="N80" s="7">
        <f t="shared" si="55"/>
        <v>0</v>
      </c>
      <c r="O80" s="11"/>
      <c r="P80" s="6"/>
      <c r="Q80" s="2"/>
      <c r="R80" s="7">
        <f t="shared" si="56"/>
        <v>0</v>
      </c>
      <c r="S80" s="2"/>
      <c r="T80" s="6">
        <v>1000</v>
      </c>
      <c r="U80" s="2"/>
      <c r="V80" s="7">
        <f t="shared" si="57"/>
        <v>8.2622777447286661E-3</v>
      </c>
      <c r="W80" s="2"/>
      <c r="X80" s="6">
        <f t="shared" si="58"/>
        <v>-1000</v>
      </c>
      <c r="Y80" s="2"/>
      <c r="Z80" s="7">
        <f t="shared" si="59"/>
        <v>-1</v>
      </c>
    </row>
    <row r="81" spans="1:26" s="29" customFormat="1" outlineLevel="1" collapsed="1" x14ac:dyDescent="0.3">
      <c r="A81" s="28"/>
      <c r="B81" s="14" t="str">
        <f>CONCATENATE("     ","Telephone/Data Lines                              ")</f>
        <v xml:space="preserve">     Telephone/Data Lines                              </v>
      </c>
      <c r="C81" s="14"/>
      <c r="D81" s="1">
        <f>SUM(OSRRefD22_14x_0)</f>
        <v>255.3</v>
      </c>
      <c r="E81" s="1"/>
      <c r="F81" s="5">
        <f t="shared" ref="F81:F83" si="60">IF(D$12=0,0,D81/D$12)</f>
        <v>4.6789914931426113E-3</v>
      </c>
      <c r="G81" s="1"/>
      <c r="H81" s="1">
        <f>SUM(OSRRefH22_14x_0)</f>
        <v>135</v>
      </c>
      <c r="I81" s="1"/>
      <c r="J81" s="5">
        <f t="shared" ref="J81:J83" si="61">IF(H$12=0,0,H81/H$12)</f>
        <v>5.7630736392742798E-3</v>
      </c>
      <c r="K81" s="1"/>
      <c r="L81" s="1">
        <f t="shared" ref="L81:L83" si="62">+D81-H81</f>
        <v>120.30000000000001</v>
      </c>
      <c r="M81" s="1"/>
      <c r="N81" s="5">
        <f t="shared" ref="N81:N83" si="63">IF(H81=0,0,L81/H81)</f>
        <v>0.89111111111111119</v>
      </c>
      <c r="O81" s="14"/>
      <c r="P81" s="1">
        <f>SUM(OSRRefP22_14x_0)</f>
        <v>1451.78</v>
      </c>
      <c r="Q81" s="1"/>
      <c r="R81" s="5">
        <f t="shared" ref="R81:R83" si="64">IF(P$12=0,0,P81/P$12)</f>
        <v>5.4999893734104391E-3</v>
      </c>
      <c r="S81" s="1"/>
      <c r="T81" s="1">
        <f>SUM(OSRRefT22_14x_0)</f>
        <v>675</v>
      </c>
      <c r="U81" s="1"/>
      <c r="V81" s="5">
        <f t="shared" ref="V81:V83" si="65">IF(T$12=0,0,T81/T$12)</f>
        <v>5.5770374776918505E-3</v>
      </c>
      <c r="W81" s="1"/>
      <c r="X81" s="1">
        <f t="shared" ref="X81:X83" si="66">+P81-T81</f>
        <v>776.78</v>
      </c>
      <c r="Y81" s="1"/>
      <c r="Z81" s="5">
        <f t="shared" ref="Z81:Z83" si="67">IF(T81=0,0,X81/T81)</f>
        <v>1.1507851851851851</v>
      </c>
    </row>
    <row r="82" spans="1:26" s="24" customFormat="1" hidden="1" outlineLevel="2" x14ac:dyDescent="0.3">
      <c r="A82" s="27"/>
      <c r="B82" s="11" t="str">
        <f>CONCATENATE("          ", "6303", " - ", "DATA PHONE LINES")</f>
        <v xml:space="preserve">          6303 - DATA PHONE LINES</v>
      </c>
      <c r="C82" s="11"/>
      <c r="D82" s="6"/>
      <c r="E82" s="2"/>
      <c r="F82" s="7">
        <f t="shared" si="60"/>
        <v>0</v>
      </c>
      <c r="G82" s="2"/>
      <c r="H82" s="6">
        <v>60</v>
      </c>
      <c r="I82" s="2"/>
      <c r="J82" s="7">
        <f t="shared" si="61"/>
        <v>2.5613660618996796E-3</v>
      </c>
      <c r="K82" s="2"/>
      <c r="L82" s="6">
        <f t="shared" si="62"/>
        <v>-60</v>
      </c>
      <c r="M82" s="2"/>
      <c r="N82" s="7">
        <f t="shared" si="63"/>
        <v>-1</v>
      </c>
      <c r="O82" s="11"/>
      <c r="P82" s="6"/>
      <c r="Q82" s="2"/>
      <c r="R82" s="7">
        <f t="shared" si="64"/>
        <v>0</v>
      </c>
      <c r="S82" s="2"/>
      <c r="T82" s="6">
        <v>300</v>
      </c>
      <c r="U82" s="2"/>
      <c r="V82" s="7">
        <f t="shared" si="65"/>
        <v>2.4786833234186002E-3</v>
      </c>
      <c r="W82" s="2"/>
      <c r="X82" s="6">
        <f t="shared" si="66"/>
        <v>-300</v>
      </c>
      <c r="Y82" s="2"/>
      <c r="Z82" s="7">
        <f t="shared" si="67"/>
        <v>-1</v>
      </c>
    </row>
    <row r="83" spans="1:26" s="24" customFormat="1" hidden="1" outlineLevel="2" x14ac:dyDescent="0.3">
      <c r="A83" s="27"/>
      <c r="B83" s="11" t="str">
        <f>CONCATENATE("          ", "6309", " - ", "TELEPHONE")</f>
        <v xml:space="preserve">          6309 - TELEPHONE</v>
      </c>
      <c r="C83" s="11"/>
      <c r="D83" s="6">
        <v>255.3</v>
      </c>
      <c r="E83" s="2"/>
      <c r="F83" s="7">
        <f t="shared" si="60"/>
        <v>4.6789914931426113E-3</v>
      </c>
      <c r="G83" s="2"/>
      <c r="H83" s="6">
        <v>75</v>
      </c>
      <c r="I83" s="2"/>
      <c r="J83" s="7">
        <f t="shared" si="61"/>
        <v>3.2017075773745998E-3</v>
      </c>
      <c r="K83" s="2"/>
      <c r="L83" s="6">
        <f t="shared" si="62"/>
        <v>180.3</v>
      </c>
      <c r="M83" s="2"/>
      <c r="N83" s="7">
        <f t="shared" si="63"/>
        <v>2.4040000000000004</v>
      </c>
      <c r="O83" s="11"/>
      <c r="P83" s="6">
        <v>1451.78</v>
      </c>
      <c r="Q83" s="2"/>
      <c r="R83" s="7">
        <f t="shared" si="64"/>
        <v>5.4999893734104391E-3</v>
      </c>
      <c r="S83" s="2"/>
      <c r="T83" s="6">
        <v>375</v>
      </c>
      <c r="U83" s="2"/>
      <c r="V83" s="7">
        <f t="shared" si="65"/>
        <v>3.0983541542732502E-3</v>
      </c>
      <c r="W83" s="2"/>
      <c r="X83" s="6">
        <f t="shared" si="66"/>
        <v>1076.78</v>
      </c>
      <c r="Y83" s="2"/>
      <c r="Z83" s="7">
        <f t="shared" si="67"/>
        <v>2.8714133333333334</v>
      </c>
    </row>
    <row r="84" spans="1:26" s="29" customFormat="1" outlineLevel="1" collapsed="1" x14ac:dyDescent="0.3">
      <c r="A84" s="28"/>
      <c r="B84" s="14" t="str">
        <f>CONCATENATE("     ","Training                                          ")</f>
        <v xml:space="preserve">     Training                                          </v>
      </c>
      <c r="C84" s="14"/>
      <c r="D84" s="1">
        <f>SUM(OSRRefD22_15x_0)</f>
        <v>0</v>
      </c>
      <c r="E84" s="1"/>
      <c r="F84" s="5">
        <f t="shared" ref="F84:F87" si="68">IF(D$12=0,0,D84/D$12)</f>
        <v>0</v>
      </c>
      <c r="G84" s="1"/>
      <c r="H84" s="1">
        <f>SUM(OSRRefH22_15x_0)</f>
        <v>0</v>
      </c>
      <c r="I84" s="1"/>
      <c r="J84" s="5">
        <f t="shared" ref="J84:J87" si="69">IF(H$12=0,0,H84/H$12)</f>
        <v>0</v>
      </c>
      <c r="K84" s="1"/>
      <c r="L84" s="1">
        <f t="shared" ref="L84:L87" si="70">+D84-H84</f>
        <v>0</v>
      </c>
      <c r="M84" s="1"/>
      <c r="N84" s="5">
        <f t="shared" ref="N84:N87" si="71">IF(H84=0,0,L84/H84)</f>
        <v>0</v>
      </c>
      <c r="O84" s="14"/>
      <c r="P84" s="1">
        <f>SUM(OSRRefP22_15x_0)</f>
        <v>0</v>
      </c>
      <c r="Q84" s="1"/>
      <c r="R84" s="5">
        <f t="shared" ref="R84:R87" si="72">IF(P$12=0,0,P84/P$12)</f>
        <v>0</v>
      </c>
      <c r="S84" s="1"/>
      <c r="T84" s="1">
        <f>SUM(OSRRefT22_15x_0)</f>
        <v>400</v>
      </c>
      <c r="U84" s="1"/>
      <c r="V84" s="5">
        <f t="shared" ref="V84:V87" si="73">IF(T$12=0,0,T84/T$12)</f>
        <v>3.3049110978914669E-3</v>
      </c>
      <c r="W84" s="1"/>
      <c r="X84" s="1">
        <f t="shared" ref="X84:X87" si="74">+P84-T84</f>
        <v>-400</v>
      </c>
      <c r="Y84" s="1"/>
      <c r="Z84" s="5">
        <f t="shared" ref="Z84:Z87" si="75">IF(T84=0,0,X84/T84)</f>
        <v>-1</v>
      </c>
    </row>
    <row r="85" spans="1:26" s="24" customFormat="1" hidden="1" outlineLevel="2" x14ac:dyDescent="0.3">
      <c r="A85" s="27"/>
      <c r="B85" s="11" t="str">
        <f>CONCATENATE("          ", "6376", " - ", "TRAINING")</f>
        <v xml:space="preserve">          6376 - TRAINING</v>
      </c>
      <c r="C85" s="11"/>
      <c r="D85" s="6"/>
      <c r="E85" s="2"/>
      <c r="F85" s="7">
        <f t="shared" si="68"/>
        <v>0</v>
      </c>
      <c r="G85" s="2"/>
      <c r="H85" s="6"/>
      <c r="I85" s="2"/>
      <c r="J85" s="7">
        <f t="shared" si="69"/>
        <v>0</v>
      </c>
      <c r="K85" s="2"/>
      <c r="L85" s="6">
        <f t="shared" si="70"/>
        <v>0</v>
      </c>
      <c r="M85" s="2"/>
      <c r="N85" s="7">
        <f t="shared" si="71"/>
        <v>0</v>
      </c>
      <c r="O85" s="11"/>
      <c r="P85" s="6"/>
      <c r="Q85" s="2"/>
      <c r="R85" s="7">
        <f t="shared" si="72"/>
        <v>0</v>
      </c>
      <c r="S85" s="2"/>
      <c r="T85" s="6">
        <v>400</v>
      </c>
      <c r="U85" s="2"/>
      <c r="V85" s="7">
        <f t="shared" si="73"/>
        <v>3.3049110978914669E-3</v>
      </c>
      <c r="W85" s="2"/>
      <c r="X85" s="6">
        <f t="shared" si="74"/>
        <v>-400</v>
      </c>
      <c r="Y85" s="2"/>
      <c r="Z85" s="7">
        <f t="shared" si="75"/>
        <v>-1</v>
      </c>
    </row>
    <row r="86" spans="1:26" s="29" customFormat="1" outlineLevel="1" collapsed="1" x14ac:dyDescent="0.3">
      <c r="A86" s="28"/>
      <c r="B86" s="14" t="str">
        <f>CONCATENATE("     ","Utilities                                         ")</f>
        <v xml:space="preserve">     Utilities                                         </v>
      </c>
      <c r="C86" s="14"/>
      <c r="D86" s="1">
        <f>SUM(OSRRefD22_16x_0)</f>
        <v>2400</v>
      </c>
      <c r="E86" s="1"/>
      <c r="F86" s="5">
        <f t="shared" si="68"/>
        <v>4.3985818971963436E-2</v>
      </c>
      <c r="G86" s="1"/>
      <c r="H86" s="1">
        <f>SUM(OSRRefH22_16x_0)</f>
        <v>2417</v>
      </c>
      <c r="I86" s="1"/>
      <c r="J86" s="5">
        <f t="shared" si="69"/>
        <v>0.1031803628601921</v>
      </c>
      <c r="K86" s="1"/>
      <c r="L86" s="1">
        <f t="shared" si="70"/>
        <v>-17</v>
      </c>
      <c r="M86" s="1"/>
      <c r="N86" s="5">
        <f t="shared" si="71"/>
        <v>-7.0335126189491103E-3</v>
      </c>
      <c r="O86" s="14"/>
      <c r="P86" s="1">
        <f>SUM(OSRRefP22_16x_0)</f>
        <v>9600</v>
      </c>
      <c r="Q86" s="1"/>
      <c r="R86" s="5">
        <f t="shared" si="72"/>
        <v>3.6369076571340156E-2</v>
      </c>
      <c r="S86" s="1"/>
      <c r="T86" s="1">
        <f>SUM(OSRRefT22_16x_0)</f>
        <v>12085</v>
      </c>
      <c r="U86" s="1"/>
      <c r="V86" s="5">
        <f t="shared" si="73"/>
        <v>9.9849626545045936E-2</v>
      </c>
      <c r="W86" s="1"/>
      <c r="X86" s="1">
        <f t="shared" si="74"/>
        <v>-2485</v>
      </c>
      <c r="Y86" s="1"/>
      <c r="Z86" s="5">
        <f t="shared" si="75"/>
        <v>-0.20562681009515929</v>
      </c>
    </row>
    <row r="87" spans="1:26" s="24" customFormat="1" hidden="1" outlineLevel="2" x14ac:dyDescent="0.3">
      <c r="A87" s="27"/>
      <c r="B87" s="11" t="str">
        <f>CONCATENATE("          ", "6274", " - ", "UTILITIES")</f>
        <v xml:space="preserve">          6274 - UTILITIES</v>
      </c>
      <c r="C87" s="11"/>
      <c r="D87" s="6">
        <v>2400</v>
      </c>
      <c r="E87" s="2"/>
      <c r="F87" s="7">
        <f t="shared" si="68"/>
        <v>4.3985818971963436E-2</v>
      </c>
      <c r="G87" s="2"/>
      <c r="H87" s="6">
        <v>2417</v>
      </c>
      <c r="I87" s="2"/>
      <c r="J87" s="7">
        <f t="shared" si="69"/>
        <v>0.1031803628601921</v>
      </c>
      <c r="K87" s="2"/>
      <c r="L87" s="6">
        <f t="shared" si="70"/>
        <v>-17</v>
      </c>
      <c r="M87" s="2"/>
      <c r="N87" s="7">
        <f t="shared" si="71"/>
        <v>-7.0335126189491103E-3</v>
      </c>
      <c r="O87" s="11"/>
      <c r="P87" s="6">
        <v>9600</v>
      </c>
      <c r="Q87" s="2"/>
      <c r="R87" s="7">
        <f t="shared" si="72"/>
        <v>3.6369076571340156E-2</v>
      </c>
      <c r="S87" s="2"/>
      <c r="T87" s="6">
        <v>12085</v>
      </c>
      <c r="U87" s="2"/>
      <c r="V87" s="7">
        <f t="shared" si="73"/>
        <v>9.9849626545045936E-2</v>
      </c>
      <c r="W87" s="2"/>
      <c r="X87" s="6">
        <f t="shared" si="74"/>
        <v>-2485</v>
      </c>
      <c r="Y87" s="2"/>
      <c r="Z87" s="7">
        <f t="shared" si="75"/>
        <v>-0.20562681009515929</v>
      </c>
    </row>
    <row r="88" spans="1:26" s="63" customFormat="1" x14ac:dyDescent="0.3">
      <c r="A88" s="36"/>
      <c r="B88" s="36"/>
      <c r="C88" s="36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6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3" customFormat="1" collapsed="1" x14ac:dyDescent="0.3">
      <c r="A89" s="10"/>
      <c r="B89" s="25" t="s">
        <v>293</v>
      </c>
      <c r="C89" s="10"/>
      <c r="D89" s="4">
        <f>SUM(OSRRefD25x_0)</f>
        <v>0</v>
      </c>
      <c r="E89" s="4"/>
      <c r="F89" s="12">
        <f t="shared" ref="F89:F90" si="76">IF(D$12=0,0,D89/D$12)</f>
        <v>0</v>
      </c>
      <c r="G89" s="4"/>
      <c r="H89" s="4">
        <f>SUM(OSRRefH25x_0)</f>
        <v>0</v>
      </c>
      <c r="I89" s="4"/>
      <c r="J89" s="12">
        <f t="shared" ref="J89:J90" si="77">IF(H$12=0,0,H89/H$12)</f>
        <v>0</v>
      </c>
      <c r="K89" s="4"/>
      <c r="L89" s="4">
        <f t="shared" ref="L89:L90" si="78">+D89-H89</f>
        <v>0</v>
      </c>
      <c r="M89" s="4"/>
      <c r="N89" s="12">
        <f t="shared" ref="N89:N90" si="79">IF(H89=0,0,L89/H89)</f>
        <v>0</v>
      </c>
      <c r="O89" s="10"/>
      <c r="P89" s="4">
        <f>SUM(OSRRefP25x_0)</f>
        <v>2.33</v>
      </c>
      <c r="Q89" s="4"/>
      <c r="R89" s="12">
        <f t="shared" ref="R89:R90" si="80">IF(P$12=0,0,P89/P$12)</f>
        <v>8.8270779595023506E-6</v>
      </c>
      <c r="S89" s="4"/>
      <c r="T89" s="4">
        <f>SUM(OSRRefT25x_0)</f>
        <v>0</v>
      </c>
      <c r="U89" s="4"/>
      <c r="V89" s="12">
        <f t="shared" ref="V89:V90" si="81">IF(T$12=0,0,T89/T$12)</f>
        <v>0</v>
      </c>
      <c r="W89" s="4"/>
      <c r="X89" s="4">
        <f t="shared" ref="X89:X90" si="82">+P89-T89</f>
        <v>2.33</v>
      </c>
      <c r="Y89" s="4"/>
      <c r="Z89" s="12">
        <f t="shared" ref="Z89:Z90" si="83">IF(T89=0,0,X89/T89)</f>
        <v>0</v>
      </c>
    </row>
    <row r="90" spans="1:26" s="24" customFormat="1" hidden="1" outlineLevel="1" x14ac:dyDescent="0.3">
      <c r="A90" s="44"/>
      <c r="B90" s="11" t="str">
        <f>CONCATENATE("          ", "9150", " - ", "MISC. INCOME")</f>
        <v xml:space="preserve">          9150 - MISC. INCOME</v>
      </c>
      <c r="C90" s="11"/>
      <c r="D90" s="2">
        <f>0</f>
        <v>0</v>
      </c>
      <c r="E90" s="2"/>
      <c r="F90" s="19">
        <f t="shared" si="76"/>
        <v>0</v>
      </c>
      <c r="G90" s="2"/>
      <c r="H90" s="2"/>
      <c r="I90" s="2"/>
      <c r="J90" s="19">
        <f t="shared" si="77"/>
        <v>0</v>
      </c>
      <c r="K90" s="2"/>
      <c r="L90" s="2">
        <f t="shared" si="78"/>
        <v>0</v>
      </c>
      <c r="M90" s="2"/>
      <c r="N90" s="19">
        <f t="shared" si="79"/>
        <v>0</v>
      </c>
      <c r="O90" s="11"/>
      <c r="P90" s="2">
        <f>--2.33</f>
        <v>2.33</v>
      </c>
      <c r="Q90" s="2"/>
      <c r="R90" s="19">
        <f t="shared" si="80"/>
        <v>8.8270779595023506E-6</v>
      </c>
      <c r="S90" s="2"/>
      <c r="T90" s="2"/>
      <c r="U90" s="2"/>
      <c r="V90" s="19">
        <f t="shared" si="81"/>
        <v>0</v>
      </c>
      <c r="W90" s="2"/>
      <c r="X90" s="2">
        <f t="shared" si="82"/>
        <v>2.33</v>
      </c>
      <c r="Y90" s="2"/>
      <c r="Z90" s="19">
        <f t="shared" si="83"/>
        <v>0</v>
      </c>
    </row>
    <row r="91" spans="1:26" x14ac:dyDescent="0.3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3">
      <c r="A92" s="10"/>
      <c r="B92" s="26" t="s">
        <v>277</v>
      </c>
      <c r="C92" s="26"/>
      <c r="D92" s="20">
        <f>+D23-D25+D89</f>
        <v>-39440.800000000017</v>
      </c>
      <c r="E92" s="13"/>
      <c r="F92" s="22">
        <f>IF(D$12=0,0,D92/D$12)</f>
        <v>-0.72284828704559012</v>
      </c>
      <c r="G92" s="13"/>
      <c r="H92" s="20">
        <f>+H23-H25+H89</f>
        <v>-35861.156238122152</v>
      </c>
      <c r="I92" s="13"/>
      <c r="J92" s="22">
        <f>IF(H$12=0,0,H92/H$12)</f>
        <v>-1.5308924754801345</v>
      </c>
      <c r="K92" s="15"/>
      <c r="L92" s="20">
        <f>+D92-H92</f>
        <v>-3579.6437618778655</v>
      </c>
      <c r="M92" s="15"/>
      <c r="N92" s="22">
        <f>IF(H92=0,0,L92/H92)</f>
        <v>9.9819530025987563E-2</v>
      </c>
      <c r="O92" s="25"/>
      <c r="P92" s="20">
        <f>+P23-P25+P89</f>
        <v>-207531.23999999993</v>
      </c>
      <c r="Q92" s="13"/>
      <c r="R92" s="22">
        <f>IF(P$12=0,0,P92/P$12)</f>
        <v>-0.78622078734428846</v>
      </c>
      <c r="S92" s="13"/>
      <c r="T92" s="20">
        <f>+T23-T25+T89</f>
        <v>-201701.29128260585</v>
      </c>
      <c r="U92" s="13"/>
      <c r="V92" s="22">
        <f>IF(T$12=0,0,T92/T$12)</f>
        <v>-1.6665120900473085</v>
      </c>
      <c r="W92" s="15"/>
      <c r="X92" s="20">
        <f>+P92-T92</f>
        <v>-5829.948717394087</v>
      </c>
      <c r="Y92" s="15"/>
      <c r="Z92" s="22">
        <f>IF(T92=0,0,X92/T92)</f>
        <v>2.8903874042262245E-2</v>
      </c>
    </row>
    <row r="93" spans="1:26" x14ac:dyDescent="0.3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3">
      <c r="A94" s="52"/>
      <c r="B94" s="10" t="s">
        <v>128</v>
      </c>
      <c r="C94" s="10"/>
      <c r="D94" s="4">
        <v>7236.18</v>
      </c>
      <c r="E94" s="4"/>
      <c r="F94" s="12">
        <f>IF(D$12=0,0,D94/D$12)</f>
        <v>0.13262054313689267</v>
      </c>
      <c r="G94" s="4"/>
      <c r="H94" s="4">
        <v>3907</v>
      </c>
      <c r="I94" s="4"/>
      <c r="J94" s="12">
        <f>IF(H$12=0,0,H94/H$12)</f>
        <v>0.16678762006403416</v>
      </c>
      <c r="K94" s="4"/>
      <c r="L94" s="4">
        <f>+D94-H94</f>
        <v>3329.1800000000003</v>
      </c>
      <c r="M94" s="4"/>
      <c r="N94" s="12">
        <f>IF(H94=0,0,L94/H94)</f>
        <v>0.85210647555669317</v>
      </c>
      <c r="O94" s="10"/>
      <c r="P94" s="4">
        <v>31440.799999999999</v>
      </c>
      <c r="Q94" s="4"/>
      <c r="R94" s="12">
        <f>IF(P$12=0,0,P94/P$12)</f>
        <v>0.11911175652751996</v>
      </c>
      <c r="S94" s="4"/>
      <c r="T94" s="4">
        <v>15131</v>
      </c>
      <c r="U94" s="4"/>
      <c r="V94" s="12">
        <f>IF(T$12=0,0,T94/T$12)</f>
        <v>0.12501652455548945</v>
      </c>
      <c r="W94" s="4"/>
      <c r="X94" s="4">
        <f>+P94-T94</f>
        <v>16309.8</v>
      </c>
      <c r="Y94" s="4"/>
      <c r="Z94" s="12">
        <f>IF(T94=0,0,X94/T94)</f>
        <v>1.0779062851100389</v>
      </c>
    </row>
    <row r="95" spans="1:26" x14ac:dyDescent="0.3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" thickBot="1" x14ac:dyDescent="0.35">
      <c r="A96" s="10"/>
      <c r="B96" s="26" t="s">
        <v>126</v>
      </c>
      <c r="C96" s="26"/>
      <c r="D96" s="33">
        <f>+D92-D94</f>
        <v>-46676.980000000018</v>
      </c>
      <c r="E96" s="13"/>
      <c r="F96" s="34">
        <f>IF(D$12=0,0,D96/D$12)</f>
        <v>-0.85546883018248276</v>
      </c>
      <c r="G96" s="13"/>
      <c r="H96" s="33">
        <f>+H92-H94</f>
        <v>-39768.156238122152</v>
      </c>
      <c r="I96" s="13"/>
      <c r="J96" s="34">
        <f>IF(H$12=0,0,H96/H$12)</f>
        <v>-1.6976800955441687</v>
      </c>
      <c r="K96" s="15"/>
      <c r="L96" s="33">
        <f>D96-H96</f>
        <v>-6908.8237618778658</v>
      </c>
      <c r="M96" s="15"/>
      <c r="N96" s="34">
        <f>IF(H96=0,0,L96/H96)</f>
        <v>0.17372753517939055</v>
      </c>
      <c r="O96" s="25"/>
      <c r="P96" s="33">
        <f>+P92-P94</f>
        <v>-238972.03999999992</v>
      </c>
      <c r="Q96" s="13"/>
      <c r="R96" s="34">
        <f>IF(P$12=0,0,P96/P$12)</f>
        <v>-0.90533254387180839</v>
      </c>
      <c r="S96" s="13"/>
      <c r="T96" s="33">
        <f>+T92-T94</f>
        <v>-216832.29128260585</v>
      </c>
      <c r="U96" s="13"/>
      <c r="V96" s="34">
        <f>IF(T$12=0,0,T96/T$12)</f>
        <v>-1.791528614602798</v>
      </c>
      <c r="W96" s="15"/>
      <c r="X96" s="33">
        <f>P96-T96</f>
        <v>-22139.748717394075</v>
      </c>
      <c r="Y96" s="15"/>
      <c r="Z96" s="34">
        <f>IF(T96=0,0,X96/T96)</f>
        <v>0.1021054040725811</v>
      </c>
    </row>
    <row r="97" spans="1:26" ht="15" thickTop="1" x14ac:dyDescent="0.3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3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" thickBot="1" x14ac:dyDescent="0.35">
      <c r="A99" s="10"/>
      <c r="B99" s="26" t="s">
        <v>294</v>
      </c>
      <c r="C99" s="26"/>
      <c r="D99" s="35">
        <f>SUM(D96:D98)</f>
        <v>-46676.980000000018</v>
      </c>
      <c r="E99" s="13"/>
      <c r="F99" s="32">
        <f>IF(D$12=0,0,D99/D$12)</f>
        <v>-0.85546883018248276</v>
      </c>
      <c r="G99" s="13"/>
      <c r="H99" s="35">
        <f>SUM(H96:H98)</f>
        <v>-39768.156238122152</v>
      </c>
      <c r="I99" s="13"/>
      <c r="J99" s="32">
        <f>IF(H$12=0,0,H99/H$12)</f>
        <v>-1.6976800955441687</v>
      </c>
      <c r="K99" s="15"/>
      <c r="L99" s="35">
        <f>+D99-H99</f>
        <v>-6908.8237618778658</v>
      </c>
      <c r="M99" s="15"/>
      <c r="N99" s="32">
        <f>IF(H99=0,0,L99/H99)</f>
        <v>0.17372753517939055</v>
      </c>
      <c r="O99" s="25"/>
      <c r="P99" s="35">
        <f>SUM(P96:P98)</f>
        <v>-238972.03999999992</v>
      </c>
      <c r="Q99" s="13"/>
      <c r="R99" s="32">
        <f>IF(P$12=0,0,P99/P$12)</f>
        <v>-0.90533254387180839</v>
      </c>
      <c r="S99" s="13"/>
      <c r="T99" s="35">
        <f>SUM(T96:T98)</f>
        <v>-216832.29128260585</v>
      </c>
      <c r="U99" s="13"/>
      <c r="V99" s="32">
        <f>IF(T$12=0,0,T99/T$12)</f>
        <v>-1.791528614602798</v>
      </c>
      <c r="W99" s="15"/>
      <c r="X99" s="35">
        <f>+P99-T99</f>
        <v>-22139.748717394075</v>
      </c>
      <c r="Y99" s="15"/>
      <c r="Z99" s="32">
        <f>IF(T99=0,0,X99/T99)</f>
        <v>0.1021054040725811</v>
      </c>
    </row>
    <row r="100" spans="1:26" ht="15" thickTop="1" x14ac:dyDescent="0.3">
      <c r="A100" s="9"/>
      <c r="C100" s="9"/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  <row r="101" spans="1:26" x14ac:dyDescent="0.3">
      <c r="A101" s="9"/>
      <c r="B101" s="60">
        <v>44543.753113078703</v>
      </c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  <row r="102" spans="1:26" x14ac:dyDescent="0.3">
      <c r="A102" s="9"/>
      <c r="B102" s="58" t="s">
        <v>56</v>
      </c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  <row r="103" spans="1:26" x14ac:dyDescent="0.3">
      <c r="A103" s="9"/>
      <c r="B103" s="55"/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  <row r="104" spans="1:26" x14ac:dyDescent="0.3"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218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92D050"/>
    <outlinePr summaryBelow="0" summaryRight="0"/>
  </sheetPr>
  <dimension ref="A2:Z9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","418", " - ", "Nugget")</f>
        <v>Department 418 - Nugget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34400</v>
      </c>
      <c r="I12" s="4"/>
      <c r="J12" s="12"/>
      <c r="K12" s="4"/>
      <c r="L12" s="4">
        <f t="shared" ref="L12:L14" si="0">+D12-H12</f>
        <v>-34400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185010</v>
      </c>
      <c r="U12" s="4"/>
      <c r="V12" s="12"/>
      <c r="W12" s="4"/>
      <c r="X12" s="4">
        <f t="shared" ref="X12:X14" si="2">+P12-T12</f>
        <v>-185010</v>
      </c>
      <c r="Y12" s="4"/>
      <c r="Z12" s="12">
        <f t="shared" ref="Z12:Z14" si="3">IF(T12=0,0,X12/T12)</f>
        <v>-1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19"/>
      <c r="G13" s="2"/>
      <c r="H13" s="2">
        <v>12281</v>
      </c>
      <c r="I13" s="2"/>
      <c r="J13" s="19"/>
      <c r="K13" s="2"/>
      <c r="L13" s="2">
        <f t="shared" si="0"/>
        <v>-12281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v>66048</v>
      </c>
      <c r="U13" s="2"/>
      <c r="V13" s="19"/>
      <c r="W13" s="2"/>
      <c r="X13" s="2">
        <f t="shared" si="2"/>
        <v>-66048</v>
      </c>
      <c r="Y13" s="2"/>
      <c r="Z13" s="19">
        <f t="shared" si="3"/>
        <v>-1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22119</v>
      </c>
      <c r="I14" s="2"/>
      <c r="J14" s="19"/>
      <c r="K14" s="2"/>
      <c r="L14" s="2">
        <f t="shared" si="0"/>
        <v>-22119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v>118962</v>
      </c>
      <c r="U14" s="2"/>
      <c r="V14" s="19"/>
      <c r="W14" s="2"/>
      <c r="X14" s="2">
        <f t="shared" si="2"/>
        <v>-118962</v>
      </c>
      <c r="Y14" s="2"/>
      <c r="Z14" s="19">
        <f t="shared" si="3"/>
        <v>-1</v>
      </c>
    </row>
    <row r="15" spans="1:26" x14ac:dyDescent="0.3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3">
      <c r="A16" s="10"/>
      <c r="B16" s="25" t="s">
        <v>257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11352</v>
      </c>
      <c r="I16" s="4"/>
      <c r="J16" s="12">
        <f t="shared" ref="J16:J18" si="7">IF(H$12=0,0,H16/H$12)</f>
        <v>0.33</v>
      </c>
      <c r="K16" s="4"/>
      <c r="L16" s="4">
        <f t="shared" ref="L16:L18" si="8">+D16-H16</f>
        <v>-11352</v>
      </c>
      <c r="M16" s="4"/>
      <c r="N16" s="12">
        <f t="shared" ref="N16:N18" si="9">IF(H16=0,0,L16/H16)</f>
        <v>-1</v>
      </c>
      <c r="O16" s="10"/>
      <c r="P16" s="4">
        <f>SUM(OSRRefP16x_0)</f>
        <v>1126.1199999999999</v>
      </c>
      <c r="Q16" s="4"/>
      <c r="R16" s="12">
        <f t="shared" ref="R16:R18" si="10">IF(P$12=0,0,P16/P$12)</f>
        <v>0</v>
      </c>
      <c r="S16" s="4"/>
      <c r="T16" s="4">
        <f>SUM(OSRRefT16x_0)</f>
        <v>62381</v>
      </c>
      <c r="U16" s="4"/>
      <c r="V16" s="12">
        <f t="shared" ref="V16:V18" si="11">IF(T$12=0,0,T16/T$12)</f>
        <v>0.3371763688449273</v>
      </c>
      <c r="W16" s="4"/>
      <c r="X16" s="4">
        <f t="shared" ref="X16:X18" si="12">+P16-T16</f>
        <v>-61254.879999999997</v>
      </c>
      <c r="Y16" s="4"/>
      <c r="Z16" s="12">
        <f t="shared" ref="Z16:Z18" si="13">IF(T16=0,0,X16/T16)</f>
        <v>-0.98194770843686374</v>
      </c>
    </row>
    <row r="17" spans="1:26" s="24" customFormat="1" hidden="1" outlineLevel="1" x14ac:dyDescent="0.3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6"/>
        <v>0</v>
      </c>
      <c r="G17" s="2"/>
      <c r="H17" s="2">
        <v>11352</v>
      </c>
      <c r="I17" s="2"/>
      <c r="J17" s="19">
        <f t="shared" si="7"/>
        <v>0.33</v>
      </c>
      <c r="K17" s="2"/>
      <c r="L17" s="2">
        <f t="shared" si="8"/>
        <v>-11352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62381</v>
      </c>
      <c r="U17" s="2"/>
      <c r="V17" s="19">
        <f t="shared" si="11"/>
        <v>0.3371763688449273</v>
      </c>
      <c r="W17" s="2"/>
      <c r="X17" s="2">
        <f t="shared" si="12"/>
        <v>-62381</v>
      </c>
      <c r="Y17" s="2"/>
      <c r="Z17" s="19">
        <f t="shared" si="13"/>
        <v>-1</v>
      </c>
    </row>
    <row r="18" spans="1:26" s="24" customFormat="1" hidden="1" outlineLevel="1" x14ac:dyDescent="0.3">
      <c r="A18" s="44"/>
      <c r="B18" s="11" t="str">
        <f>CONCATENATE("          ", "5053", " - ", "PURCHASES @ COST-FOOD")</f>
        <v xml:space="preserve">          5053 - PURCHASES @ COST-FOOD</v>
      </c>
      <c r="C18" s="11"/>
      <c r="D18" s="2"/>
      <c r="E18" s="2"/>
      <c r="F18" s="19">
        <f t="shared" si="6"/>
        <v>0</v>
      </c>
      <c r="G18" s="2"/>
      <c r="H18" s="2"/>
      <c r="I18" s="2"/>
      <c r="J18" s="19">
        <f t="shared" si="7"/>
        <v>0</v>
      </c>
      <c r="K18" s="2"/>
      <c r="L18" s="2">
        <f t="shared" si="8"/>
        <v>0</v>
      </c>
      <c r="M18" s="2"/>
      <c r="N18" s="19">
        <f t="shared" si="9"/>
        <v>0</v>
      </c>
      <c r="O18" s="11"/>
      <c r="P18" s="2">
        <v>1126.1199999999999</v>
      </c>
      <c r="Q18" s="2"/>
      <c r="R18" s="19">
        <f t="shared" si="10"/>
        <v>0</v>
      </c>
      <c r="S18" s="2"/>
      <c r="T18" s="2"/>
      <c r="U18" s="2"/>
      <c r="V18" s="19">
        <f t="shared" si="11"/>
        <v>0</v>
      </c>
      <c r="W18" s="2"/>
      <c r="X18" s="2">
        <f t="shared" si="12"/>
        <v>1126.1199999999999</v>
      </c>
      <c r="Y18" s="2"/>
      <c r="Z18" s="19">
        <f t="shared" si="13"/>
        <v>0</v>
      </c>
    </row>
    <row r="19" spans="1:26" x14ac:dyDescent="0.3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3">
      <c r="A20" s="10"/>
      <c r="B20" s="26" t="s">
        <v>108</v>
      </c>
      <c r="C20" s="26"/>
      <c r="D20" s="20">
        <f>D12-D16</f>
        <v>0</v>
      </c>
      <c r="E20" s="13"/>
      <c r="F20" s="22">
        <f>IF(D$12=0,0,D20/D$12)</f>
        <v>0</v>
      </c>
      <c r="G20" s="13"/>
      <c r="H20" s="20">
        <f>H12-H16</f>
        <v>23048</v>
      </c>
      <c r="I20" s="13"/>
      <c r="J20" s="22">
        <f>IF(H$12=0,0,H20/H$12)</f>
        <v>0.67</v>
      </c>
      <c r="K20" s="15"/>
      <c r="L20" s="20">
        <f>+D20-H20</f>
        <v>-23048</v>
      </c>
      <c r="M20" s="15"/>
      <c r="N20" s="22">
        <f>IF(H20=0,0,L20/H20)</f>
        <v>-1</v>
      </c>
      <c r="O20" s="25"/>
      <c r="P20" s="20">
        <f>P12-P16</f>
        <v>-1126.1199999999999</v>
      </c>
      <c r="Q20" s="13"/>
      <c r="R20" s="22">
        <f>IF(P$12=0,0,P20/P$12)</f>
        <v>0</v>
      </c>
      <c r="S20" s="13"/>
      <c r="T20" s="20">
        <f>T12-T16</f>
        <v>122629</v>
      </c>
      <c r="U20" s="13"/>
      <c r="V20" s="22">
        <f>IF(T$12=0,0,T20/T$12)</f>
        <v>0.6628236311550727</v>
      </c>
      <c r="W20" s="15"/>
      <c r="X20" s="20">
        <f>+P20-T20</f>
        <v>-123755.12</v>
      </c>
      <c r="Y20" s="15"/>
      <c r="Z20" s="22">
        <f>IF(T20=0,0,X20/T20)</f>
        <v>-1.0091831459116523</v>
      </c>
    </row>
    <row r="21" spans="1:26" x14ac:dyDescent="0.3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">
      <c r="A22" s="10"/>
      <c r="B22" s="25" t="s">
        <v>295</v>
      </c>
      <c r="C22" s="10"/>
      <c r="D22" s="21">
        <f>SUM(OSRRefD22x_0)</f>
        <v>10905.94</v>
      </c>
      <c r="E22" s="21"/>
      <c r="F22" s="30">
        <f t="shared" ref="F22:F32" si="14">IF(D$12=0,0,D22/D$12)</f>
        <v>0</v>
      </c>
      <c r="G22" s="21"/>
      <c r="H22" s="21">
        <f>SUM(OSRRefH22x_0)</f>
        <v>31207.49364538462</v>
      </c>
      <c r="I22" s="21"/>
      <c r="J22" s="30">
        <f t="shared" ref="J22:J32" si="15">IF(H$12=0,0,H22/H$12)</f>
        <v>0.90719458271466924</v>
      </c>
      <c r="K22" s="4"/>
      <c r="L22" s="21">
        <f t="shared" ref="L22:L32" si="16">+D22-H22</f>
        <v>-20301.553645384622</v>
      </c>
      <c r="M22" s="4"/>
      <c r="N22" s="30">
        <f t="shared" ref="N22:N32" si="17">IF(H22=0,0,L22/H22)</f>
        <v>-0.65053457596031861</v>
      </c>
      <c r="O22" s="10"/>
      <c r="P22" s="21">
        <f>SUM(OSRRefP22x_0)</f>
        <v>84839.510000000009</v>
      </c>
      <c r="Q22" s="21"/>
      <c r="R22" s="30">
        <f t="shared" ref="R22:R32" si="18">IF(P$12=0,0,P22/P$12)</f>
        <v>0</v>
      </c>
      <c r="S22" s="21"/>
      <c r="T22" s="21">
        <f>SUM(OSRRefT22x_0)</f>
        <v>194538.03396153852</v>
      </c>
      <c r="U22" s="21"/>
      <c r="V22" s="30">
        <f t="shared" ref="V22:V32" si="19">IF(T$12=0,0,T22/T$12)</f>
        <v>1.0515001024892627</v>
      </c>
      <c r="W22" s="4"/>
      <c r="X22" s="21">
        <f t="shared" ref="X22:X32" si="20">+P22-T22</f>
        <v>-109698.52396153851</v>
      </c>
      <c r="Y22" s="4"/>
      <c r="Z22" s="30">
        <f t="shared" ref="Z22:Z32" si="21">IF(T22=0,0,X22/T22)</f>
        <v>-0.56389242621433422</v>
      </c>
    </row>
    <row r="23" spans="1:26" s="29" customFormat="1" outlineLevel="1" collapsed="1" x14ac:dyDescent="0.3">
      <c r="A23" s="28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480.97</v>
      </c>
      <c r="E23" s="1"/>
      <c r="F23" s="5">
        <f t="shared" si="14"/>
        <v>0</v>
      </c>
      <c r="G23" s="1"/>
      <c r="H23" s="1">
        <f>SUM(OSRRefH22_0x_0)</f>
        <v>6556.2836453846203</v>
      </c>
      <c r="I23" s="1"/>
      <c r="J23" s="5">
        <f t="shared" si="15"/>
        <v>0.19058964085420407</v>
      </c>
      <c r="K23" s="1"/>
      <c r="L23" s="1">
        <f t="shared" si="16"/>
        <v>-6075.31364538462</v>
      </c>
      <c r="M23" s="1"/>
      <c r="N23" s="5">
        <f t="shared" si="17"/>
        <v>-0.92663984262813504</v>
      </c>
      <c r="O23" s="14"/>
      <c r="P23" s="1">
        <f>SUM(OSRRefP22_0x_0)</f>
        <v>15214.17</v>
      </c>
      <c r="Q23" s="1"/>
      <c r="R23" s="5">
        <f t="shared" si="18"/>
        <v>0</v>
      </c>
      <c r="S23" s="1"/>
      <c r="T23" s="1">
        <f>SUM(OSRRefT22_0x_0)</f>
        <v>41204.753961538496</v>
      </c>
      <c r="U23" s="1"/>
      <c r="V23" s="5">
        <f t="shared" si="19"/>
        <v>0.22271636106987999</v>
      </c>
      <c r="W23" s="1"/>
      <c r="X23" s="1">
        <f t="shared" si="20"/>
        <v>-25990.583961538498</v>
      </c>
      <c r="Y23" s="1"/>
      <c r="Z23" s="5">
        <f t="shared" si="21"/>
        <v>-0.63076663401020983</v>
      </c>
    </row>
    <row r="24" spans="1:26" s="24" customFormat="1" hidden="1" outlineLevel="2" x14ac:dyDescent="0.3">
      <c r="A24" s="27"/>
      <c r="B24" s="11" t="str">
        <f>CONCATENATE("          ", "6111", " - ", "F.I.C.A.")</f>
        <v xml:space="preserve">          6111 - F.I.C.A.</v>
      </c>
      <c r="C24" s="11"/>
      <c r="D24" s="6">
        <v>139.52000000000001</v>
      </c>
      <c r="E24" s="2"/>
      <c r="F24" s="7">
        <f t="shared" si="14"/>
        <v>0</v>
      </c>
      <c r="G24" s="2"/>
      <c r="H24" s="6">
        <v>554.91903000000002</v>
      </c>
      <c r="I24" s="2"/>
      <c r="J24" s="7">
        <f t="shared" si="15"/>
        <v>1.6131367151162791E-2</v>
      </c>
      <c r="K24" s="2"/>
      <c r="L24" s="6">
        <f t="shared" si="16"/>
        <v>-415.39903000000004</v>
      </c>
      <c r="M24" s="2"/>
      <c r="N24" s="7">
        <f t="shared" si="17"/>
        <v>-0.74857593187964744</v>
      </c>
      <c r="O24" s="11"/>
      <c r="P24" s="6">
        <v>1917.87</v>
      </c>
      <c r="Q24" s="2"/>
      <c r="R24" s="7">
        <f t="shared" si="18"/>
        <v>0</v>
      </c>
      <c r="S24" s="2"/>
      <c r="T24" s="6">
        <v>3700.2255</v>
      </c>
      <c r="U24" s="2"/>
      <c r="V24" s="7">
        <f t="shared" si="19"/>
        <v>2.0000137830387548E-2</v>
      </c>
      <c r="W24" s="2"/>
      <c r="X24" s="6">
        <f t="shared" si="20"/>
        <v>-1782.3555000000001</v>
      </c>
      <c r="Y24" s="2"/>
      <c r="Z24" s="7">
        <f t="shared" si="21"/>
        <v>-0.48168834575081981</v>
      </c>
    </row>
    <row r="25" spans="1:26" s="24" customFormat="1" hidden="1" outlineLevel="2" x14ac:dyDescent="0.3">
      <c r="A25" s="27"/>
      <c r="B25" s="11" t="str">
        <f>CONCATENATE("          ", "6112", " - ", "COMPENSATION INSURANCE")</f>
        <v xml:space="preserve">          6112 - COMPENSATION INSURANCE</v>
      </c>
      <c r="C25" s="11"/>
      <c r="D25" s="6">
        <v>29.9</v>
      </c>
      <c r="E25" s="2"/>
      <c r="F25" s="7">
        <f t="shared" si="14"/>
        <v>0</v>
      </c>
      <c r="G25" s="2"/>
      <c r="H25" s="6">
        <v>441.19389999999999</v>
      </c>
      <c r="I25" s="2"/>
      <c r="J25" s="7">
        <f t="shared" si="15"/>
        <v>1.2825404069767442E-2</v>
      </c>
      <c r="K25" s="2"/>
      <c r="L25" s="6">
        <f t="shared" si="16"/>
        <v>-411.29390000000001</v>
      </c>
      <c r="M25" s="2"/>
      <c r="N25" s="7">
        <f t="shared" si="17"/>
        <v>-0.93222934405938074</v>
      </c>
      <c r="O25" s="11"/>
      <c r="P25" s="6">
        <v>800.38</v>
      </c>
      <c r="Q25" s="2"/>
      <c r="R25" s="7">
        <f t="shared" si="18"/>
        <v>0</v>
      </c>
      <c r="S25" s="2"/>
      <c r="T25" s="6">
        <v>2729.8611999999998</v>
      </c>
      <c r="U25" s="2"/>
      <c r="V25" s="7">
        <f t="shared" si="19"/>
        <v>1.4755208907626613E-2</v>
      </c>
      <c r="W25" s="2"/>
      <c r="X25" s="6">
        <f t="shared" si="20"/>
        <v>-1929.4811999999997</v>
      </c>
      <c r="Y25" s="2"/>
      <c r="Z25" s="7">
        <f t="shared" si="21"/>
        <v>-0.7068056060872252</v>
      </c>
    </row>
    <row r="26" spans="1:26" s="24" customFormat="1" hidden="1" outlineLevel="2" x14ac:dyDescent="0.3">
      <c r="A26" s="27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4"/>
        <v>0</v>
      </c>
      <c r="G26" s="2"/>
      <c r="H26" s="6">
        <v>3561.93461538462</v>
      </c>
      <c r="I26" s="2"/>
      <c r="J26" s="7">
        <f t="shared" si="15"/>
        <v>0.1035446109123436</v>
      </c>
      <c r="K26" s="2"/>
      <c r="L26" s="6">
        <f t="shared" si="16"/>
        <v>-3561.93461538462</v>
      </c>
      <c r="M26" s="2"/>
      <c r="N26" s="7">
        <f t="shared" si="17"/>
        <v>-1</v>
      </c>
      <c r="O26" s="11"/>
      <c r="P26" s="6">
        <v>10053.08</v>
      </c>
      <c r="Q26" s="2"/>
      <c r="R26" s="7">
        <f t="shared" si="18"/>
        <v>0</v>
      </c>
      <c r="S26" s="2"/>
      <c r="T26" s="6">
        <v>24464.688461538499</v>
      </c>
      <c r="U26" s="2"/>
      <c r="V26" s="7">
        <f t="shared" si="19"/>
        <v>0.13223441144553538</v>
      </c>
      <c r="W26" s="2"/>
      <c r="X26" s="6">
        <f t="shared" si="20"/>
        <v>-14411.608461538499</v>
      </c>
      <c r="Y26" s="2"/>
      <c r="Z26" s="7">
        <f t="shared" si="21"/>
        <v>-0.58907794735237773</v>
      </c>
    </row>
    <row r="27" spans="1:26" s="24" customFormat="1" hidden="1" outlineLevel="2" x14ac:dyDescent="0.3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6">
        <v>2.16</v>
      </c>
      <c r="E27" s="2"/>
      <c r="F27" s="7">
        <f t="shared" si="14"/>
        <v>0</v>
      </c>
      <c r="G27" s="2"/>
      <c r="H27" s="6">
        <v>24.446100000000001</v>
      </c>
      <c r="I27" s="2"/>
      <c r="J27" s="7">
        <f t="shared" si="15"/>
        <v>7.1064244186046515E-4</v>
      </c>
      <c r="K27" s="2"/>
      <c r="L27" s="6">
        <f t="shared" si="16"/>
        <v>-22.286100000000001</v>
      </c>
      <c r="M27" s="2"/>
      <c r="N27" s="7">
        <f t="shared" si="17"/>
        <v>-0.91164234785916776</v>
      </c>
      <c r="O27" s="11"/>
      <c r="P27" s="6">
        <v>59.17</v>
      </c>
      <c r="Q27" s="2"/>
      <c r="R27" s="7">
        <f t="shared" si="18"/>
        <v>0</v>
      </c>
      <c r="S27" s="2"/>
      <c r="T27" s="6">
        <v>151.25880000000001</v>
      </c>
      <c r="U27" s="2"/>
      <c r="V27" s="7">
        <f t="shared" si="19"/>
        <v>8.1757094211123732E-4</v>
      </c>
      <c r="W27" s="2"/>
      <c r="X27" s="6">
        <f t="shared" si="20"/>
        <v>-92.088800000000006</v>
      </c>
      <c r="Y27" s="2"/>
      <c r="Z27" s="7">
        <f t="shared" si="21"/>
        <v>-0.60881614821749219</v>
      </c>
    </row>
    <row r="28" spans="1:26" s="24" customFormat="1" hidden="1" outlineLevel="2" x14ac:dyDescent="0.3">
      <c r="A28" s="27"/>
      <c r="B28" s="11" t="str">
        <f>CONCATENATE("          ", "6115", " - ", "P.E.R.S.")</f>
        <v xml:space="preserve">          6115 - P.E.R.S.</v>
      </c>
      <c r="C28" s="11"/>
      <c r="D28" s="6">
        <v>63.05</v>
      </c>
      <c r="E28" s="2"/>
      <c r="F28" s="7">
        <f t="shared" si="14"/>
        <v>0</v>
      </c>
      <c r="G28" s="2"/>
      <c r="H28" s="6">
        <v>0</v>
      </c>
      <c r="I28" s="2"/>
      <c r="J28" s="7">
        <f t="shared" si="15"/>
        <v>0</v>
      </c>
      <c r="K28" s="2"/>
      <c r="L28" s="6">
        <f t="shared" si="16"/>
        <v>63.05</v>
      </c>
      <c r="M28" s="2"/>
      <c r="N28" s="7">
        <f t="shared" si="17"/>
        <v>0</v>
      </c>
      <c r="O28" s="11"/>
      <c r="P28" s="6">
        <v>63.05</v>
      </c>
      <c r="Q28" s="2"/>
      <c r="R28" s="7">
        <f t="shared" si="18"/>
        <v>0</v>
      </c>
      <c r="S28" s="2"/>
      <c r="T28" s="6">
        <v>0</v>
      </c>
      <c r="U28" s="2"/>
      <c r="V28" s="7">
        <f t="shared" si="19"/>
        <v>0</v>
      </c>
      <c r="W28" s="2"/>
      <c r="X28" s="6">
        <f t="shared" si="20"/>
        <v>63.05</v>
      </c>
      <c r="Y28" s="2"/>
      <c r="Z28" s="7">
        <f t="shared" si="21"/>
        <v>0</v>
      </c>
    </row>
    <row r="29" spans="1:26" s="24" customFormat="1" hidden="1" outlineLevel="2" x14ac:dyDescent="0.3">
      <c r="A29" s="27"/>
      <c r="B29" s="11" t="str">
        <f>CONCATENATE("          ", "6116", " - ", "EDUCATIONAL BENEFITS")</f>
        <v xml:space="preserve">          6116 - EDUCATIONAL BENEFITS</v>
      </c>
      <c r="C29" s="11"/>
      <c r="D29" s="6"/>
      <c r="E29" s="2"/>
      <c r="F29" s="7">
        <f t="shared" si="14"/>
        <v>0</v>
      </c>
      <c r="G29" s="2"/>
      <c r="H29" s="6">
        <v>0</v>
      </c>
      <c r="I29" s="2"/>
      <c r="J29" s="7">
        <f t="shared" si="15"/>
        <v>0</v>
      </c>
      <c r="K29" s="2"/>
      <c r="L29" s="6">
        <f t="shared" si="16"/>
        <v>0</v>
      </c>
      <c r="M29" s="2"/>
      <c r="N29" s="7">
        <f t="shared" si="17"/>
        <v>0</v>
      </c>
      <c r="O29" s="11"/>
      <c r="P29" s="6"/>
      <c r="Q29" s="2"/>
      <c r="R29" s="7">
        <f t="shared" si="18"/>
        <v>0</v>
      </c>
      <c r="S29" s="2"/>
      <c r="T29" s="6">
        <v>0</v>
      </c>
      <c r="U29" s="2"/>
      <c r="V29" s="7">
        <f t="shared" si="19"/>
        <v>0</v>
      </c>
      <c r="W29" s="2"/>
      <c r="X29" s="6">
        <f t="shared" si="20"/>
        <v>0</v>
      </c>
      <c r="Y29" s="2"/>
      <c r="Z29" s="7">
        <f t="shared" si="21"/>
        <v>0</v>
      </c>
    </row>
    <row r="30" spans="1:26" s="24" customFormat="1" hidden="1" outlineLevel="2" x14ac:dyDescent="0.3">
      <c r="A30" s="27"/>
      <c r="B30" s="11" t="str">
        <f>CONCATENATE("          ", "6118", " - ", "VACATION")</f>
        <v xml:space="preserve">          6118 - VACATION</v>
      </c>
      <c r="C30" s="11"/>
      <c r="D30" s="6">
        <v>106.62</v>
      </c>
      <c r="E30" s="2"/>
      <c r="F30" s="7">
        <f t="shared" si="14"/>
        <v>0</v>
      </c>
      <c r="G30" s="2"/>
      <c r="H30" s="6">
        <v>186.84</v>
      </c>
      <c r="I30" s="2"/>
      <c r="J30" s="7">
        <f t="shared" si="15"/>
        <v>5.4313953488372094E-3</v>
      </c>
      <c r="K30" s="2"/>
      <c r="L30" s="6">
        <f t="shared" si="16"/>
        <v>-80.22</v>
      </c>
      <c r="M30" s="2"/>
      <c r="N30" s="7">
        <f t="shared" si="17"/>
        <v>-0.42935131663455361</v>
      </c>
      <c r="O30" s="11"/>
      <c r="P30" s="6">
        <v>817.94</v>
      </c>
      <c r="Q30" s="2"/>
      <c r="R30" s="7">
        <f t="shared" si="18"/>
        <v>0</v>
      </c>
      <c r="S30" s="2"/>
      <c r="T30" s="6">
        <v>1286.82</v>
      </c>
      <c r="U30" s="2"/>
      <c r="V30" s="7">
        <f t="shared" si="19"/>
        <v>6.9554078157937401E-3</v>
      </c>
      <c r="W30" s="2"/>
      <c r="X30" s="6">
        <f t="shared" si="20"/>
        <v>-468.87999999999988</v>
      </c>
      <c r="Y30" s="2"/>
      <c r="Z30" s="7">
        <f t="shared" si="21"/>
        <v>-0.36437108531107687</v>
      </c>
    </row>
    <row r="31" spans="1:26" s="24" customFormat="1" hidden="1" outlineLevel="2" x14ac:dyDescent="0.3">
      <c r="A31" s="27"/>
      <c r="B31" s="11" t="str">
        <f>CONCATENATE("          ", "6119", " - ", "SICK LEAVE")</f>
        <v xml:space="preserve">          6119 - SICK LEAVE</v>
      </c>
      <c r="C31" s="11"/>
      <c r="D31" s="6">
        <v>127.73</v>
      </c>
      <c r="E31" s="2"/>
      <c r="F31" s="7">
        <f t="shared" si="14"/>
        <v>0</v>
      </c>
      <c r="G31" s="2"/>
      <c r="H31" s="6">
        <v>286.95</v>
      </c>
      <c r="I31" s="2"/>
      <c r="J31" s="7">
        <f t="shared" si="15"/>
        <v>8.3415697674418601E-3</v>
      </c>
      <c r="K31" s="2"/>
      <c r="L31" s="6">
        <f t="shared" si="16"/>
        <v>-159.21999999999997</v>
      </c>
      <c r="M31" s="2"/>
      <c r="N31" s="7">
        <f t="shared" si="17"/>
        <v>-0.55487018644363117</v>
      </c>
      <c r="O31" s="11"/>
      <c r="P31" s="6">
        <v>801.19</v>
      </c>
      <c r="Q31" s="2"/>
      <c r="R31" s="7">
        <f t="shared" si="18"/>
        <v>0</v>
      </c>
      <c r="S31" s="2"/>
      <c r="T31" s="6">
        <v>1731.9</v>
      </c>
      <c r="U31" s="2"/>
      <c r="V31" s="7">
        <f t="shared" si="19"/>
        <v>9.3611156153721418E-3</v>
      </c>
      <c r="W31" s="2"/>
      <c r="X31" s="6">
        <f t="shared" si="20"/>
        <v>-930.71</v>
      </c>
      <c r="Y31" s="2"/>
      <c r="Z31" s="7">
        <f t="shared" si="21"/>
        <v>-0.53739245914891154</v>
      </c>
    </row>
    <row r="32" spans="1:26" s="24" customFormat="1" hidden="1" outlineLevel="2" x14ac:dyDescent="0.3">
      <c r="A32" s="27"/>
      <c r="B32" s="11" t="str">
        <f>CONCATENATE("          ", "6156", " - ", "EMPLOYEE MEALS")</f>
        <v xml:space="preserve">          6156 - EMPLOYEE MEALS</v>
      </c>
      <c r="C32" s="11"/>
      <c r="D32" s="6">
        <v>11.99</v>
      </c>
      <c r="E32" s="2"/>
      <c r="F32" s="7">
        <f t="shared" si="14"/>
        <v>0</v>
      </c>
      <c r="G32" s="2"/>
      <c r="H32" s="6">
        <v>1500</v>
      </c>
      <c r="I32" s="2"/>
      <c r="J32" s="7">
        <f t="shared" si="15"/>
        <v>4.3604651162790699E-2</v>
      </c>
      <c r="K32" s="2"/>
      <c r="L32" s="6">
        <f t="shared" si="16"/>
        <v>-1488.01</v>
      </c>
      <c r="M32" s="2"/>
      <c r="N32" s="7">
        <f t="shared" si="17"/>
        <v>-0.9920066666666667</v>
      </c>
      <c r="O32" s="11"/>
      <c r="P32" s="6">
        <v>701.49</v>
      </c>
      <c r="Q32" s="2"/>
      <c r="R32" s="7">
        <f t="shared" si="18"/>
        <v>0</v>
      </c>
      <c r="S32" s="2"/>
      <c r="T32" s="6">
        <v>7140</v>
      </c>
      <c r="U32" s="2"/>
      <c r="V32" s="7">
        <f t="shared" si="19"/>
        <v>3.8592508513053347E-2</v>
      </c>
      <c r="W32" s="2"/>
      <c r="X32" s="6">
        <f t="shared" si="20"/>
        <v>-6438.51</v>
      </c>
      <c r="Y32" s="2"/>
      <c r="Z32" s="7">
        <f t="shared" si="21"/>
        <v>-0.90175210084033619</v>
      </c>
    </row>
    <row r="33" spans="1:26" s="29" customFormat="1" outlineLevel="1" collapsed="1" x14ac:dyDescent="0.3">
      <c r="A33" s="28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SUM(OSRRefD22_1x_0)</f>
        <v>1823.85</v>
      </c>
      <c r="E33" s="1"/>
      <c r="F33" s="5">
        <f t="shared" ref="F33:F43" si="22">IF(D$12=0,0,D33/D$12)</f>
        <v>0</v>
      </c>
      <c r="G33" s="1"/>
      <c r="H33" s="1">
        <f>SUM(OSRRefH22_1x_0)</f>
        <v>11167.21</v>
      </c>
      <c r="I33" s="1"/>
      <c r="J33" s="5">
        <f t="shared" ref="J33:J43" si="23">IF(H$12=0,0,H33/H$12)</f>
        <v>0.32462819767441858</v>
      </c>
      <c r="K33" s="1"/>
      <c r="L33" s="1">
        <f t="shared" ref="L33:L43" si="24">+D33-H33</f>
        <v>-9343.3599999999988</v>
      </c>
      <c r="M33" s="1"/>
      <c r="N33" s="5">
        <f t="shared" ref="N33:N43" si="25">IF(H33=0,0,L33/H33)</f>
        <v>-0.83667809596130094</v>
      </c>
      <c r="O33" s="14"/>
      <c r="P33" s="1">
        <f>SUM(OSRRefP22_1x_0)</f>
        <v>23447.46</v>
      </c>
      <c r="Q33" s="1"/>
      <c r="R33" s="5">
        <f t="shared" ref="R33:R43" si="26">IF(P$12=0,0,P33/P$12)</f>
        <v>0</v>
      </c>
      <c r="S33" s="1"/>
      <c r="T33" s="1">
        <f>SUM(OSRRefT22_1x_0)</f>
        <v>69009.279999999999</v>
      </c>
      <c r="U33" s="1"/>
      <c r="V33" s="5">
        <f t="shared" ref="V33:V43" si="27">IF(T$12=0,0,T33/T$12)</f>
        <v>0.3730029728122804</v>
      </c>
      <c r="W33" s="1"/>
      <c r="X33" s="1">
        <f t="shared" ref="X33:X43" si="28">+P33-T33</f>
        <v>-45561.82</v>
      </c>
      <c r="Y33" s="1"/>
      <c r="Z33" s="5">
        <f t="shared" ref="Z33:Z43" si="29">IF(T33=0,0,X33/T33)</f>
        <v>-0.66022743607816226</v>
      </c>
    </row>
    <row r="34" spans="1:26" s="24" customFormat="1" hidden="1" outlineLevel="2" x14ac:dyDescent="0.3">
      <c r="A34" s="27"/>
      <c r="B34" s="11" t="str">
        <f>CONCATENATE("          ", "6001", " - ", "ADMINISTRATIVE SALARIES")</f>
        <v xml:space="preserve">          6001 - ADMINISTRATIVE SALARIES</v>
      </c>
      <c r="C34" s="11"/>
      <c r="D34" s="6"/>
      <c r="E34" s="2"/>
      <c r="F34" s="7">
        <f t="shared" si="22"/>
        <v>0</v>
      </c>
      <c r="G34" s="2"/>
      <c r="H34" s="6">
        <v>0</v>
      </c>
      <c r="I34" s="2"/>
      <c r="J34" s="7">
        <f t="shared" si="23"/>
        <v>0</v>
      </c>
      <c r="K34" s="2"/>
      <c r="L34" s="6">
        <f t="shared" si="24"/>
        <v>0</v>
      </c>
      <c r="M34" s="2"/>
      <c r="N34" s="7">
        <f t="shared" si="25"/>
        <v>0</v>
      </c>
      <c r="O34" s="11"/>
      <c r="P34" s="6"/>
      <c r="Q34" s="2"/>
      <c r="R34" s="7">
        <f t="shared" si="26"/>
        <v>0</v>
      </c>
      <c r="S34" s="2"/>
      <c r="T34" s="6">
        <v>0</v>
      </c>
      <c r="U34" s="2"/>
      <c r="V34" s="7">
        <f t="shared" si="27"/>
        <v>0</v>
      </c>
      <c r="W34" s="2"/>
      <c r="X34" s="6">
        <f t="shared" si="28"/>
        <v>0</v>
      </c>
      <c r="Y34" s="2"/>
      <c r="Z34" s="7">
        <f t="shared" si="29"/>
        <v>0</v>
      </c>
    </row>
    <row r="35" spans="1:26" s="24" customFormat="1" hidden="1" outlineLevel="2" x14ac:dyDescent="0.3">
      <c r="A35" s="27"/>
      <c r="B35" s="11" t="str">
        <f>CONCATENATE("          ", "6002", " - ", "STAFF SALARIES")</f>
        <v xml:space="preserve">          6002 - STAFF SALARIES</v>
      </c>
      <c r="C35" s="11"/>
      <c r="D35" s="6">
        <v>830.76</v>
      </c>
      <c r="E35" s="2"/>
      <c r="F35" s="7">
        <f t="shared" si="22"/>
        <v>0</v>
      </c>
      <c r="G35" s="2"/>
      <c r="H35" s="6">
        <v>0</v>
      </c>
      <c r="I35" s="2"/>
      <c r="J35" s="7">
        <f t="shared" si="23"/>
        <v>0</v>
      </c>
      <c r="K35" s="2"/>
      <c r="L35" s="6">
        <f t="shared" si="24"/>
        <v>830.76</v>
      </c>
      <c r="M35" s="2"/>
      <c r="N35" s="7">
        <f t="shared" si="25"/>
        <v>0</v>
      </c>
      <c r="O35" s="11"/>
      <c r="P35" s="6">
        <v>830.76</v>
      </c>
      <c r="Q35" s="2"/>
      <c r="R35" s="7">
        <f t="shared" si="26"/>
        <v>0</v>
      </c>
      <c r="S35" s="2"/>
      <c r="T35" s="6">
        <v>0</v>
      </c>
      <c r="U35" s="2"/>
      <c r="V35" s="7">
        <f t="shared" si="27"/>
        <v>0</v>
      </c>
      <c r="W35" s="2"/>
      <c r="X35" s="6">
        <f t="shared" si="28"/>
        <v>830.76</v>
      </c>
      <c r="Y35" s="2"/>
      <c r="Z35" s="7">
        <f t="shared" si="29"/>
        <v>0</v>
      </c>
    </row>
    <row r="36" spans="1:26" s="24" customFormat="1" hidden="1" outlineLevel="2" x14ac:dyDescent="0.3">
      <c r="A36" s="27"/>
      <c r="B36" s="11" t="str">
        <f>CONCATENATE("          ", "6003", " - ", "STAFF HOURLY-9 MONTH")</f>
        <v xml:space="preserve">          6003 - STAFF HOURLY-9 MONTH</v>
      </c>
      <c r="C36" s="11"/>
      <c r="D36" s="6"/>
      <c r="E36" s="2"/>
      <c r="F36" s="7">
        <f t="shared" si="22"/>
        <v>0</v>
      </c>
      <c r="G36" s="2"/>
      <c r="H36" s="6">
        <v>0</v>
      </c>
      <c r="I36" s="2"/>
      <c r="J36" s="7">
        <f t="shared" si="23"/>
        <v>0</v>
      </c>
      <c r="K36" s="2"/>
      <c r="L36" s="6">
        <f t="shared" si="24"/>
        <v>0</v>
      </c>
      <c r="M36" s="2"/>
      <c r="N36" s="7">
        <f t="shared" si="25"/>
        <v>0</v>
      </c>
      <c r="O36" s="11"/>
      <c r="P36" s="6"/>
      <c r="Q36" s="2"/>
      <c r="R36" s="7">
        <f t="shared" si="26"/>
        <v>0</v>
      </c>
      <c r="S36" s="2"/>
      <c r="T36" s="6">
        <v>0</v>
      </c>
      <c r="U36" s="2"/>
      <c r="V36" s="7">
        <f t="shared" si="27"/>
        <v>0</v>
      </c>
      <c r="W36" s="2"/>
      <c r="X36" s="6">
        <f t="shared" si="28"/>
        <v>0</v>
      </c>
      <c r="Y36" s="2"/>
      <c r="Z36" s="7">
        <f t="shared" si="29"/>
        <v>0</v>
      </c>
    </row>
    <row r="37" spans="1:26" s="24" customFormat="1" hidden="1" outlineLevel="2" x14ac:dyDescent="0.3">
      <c r="A37" s="27"/>
      <c r="B37" s="11" t="str">
        <f>CONCATENATE("          ", "6004", " - ", "STAFF HOURLY")</f>
        <v xml:space="preserve">          6004 - STAFF HOURLY</v>
      </c>
      <c r="C37" s="11"/>
      <c r="D37" s="6">
        <v>993.09</v>
      </c>
      <c r="E37" s="2"/>
      <c r="F37" s="7">
        <f t="shared" si="22"/>
        <v>0</v>
      </c>
      <c r="G37" s="2"/>
      <c r="H37" s="6">
        <v>5916.6</v>
      </c>
      <c r="I37" s="2"/>
      <c r="J37" s="7">
        <f t="shared" si="23"/>
        <v>0.17199418604651165</v>
      </c>
      <c r="K37" s="2"/>
      <c r="L37" s="6">
        <f t="shared" si="24"/>
        <v>-4923.51</v>
      </c>
      <c r="M37" s="2"/>
      <c r="N37" s="7">
        <f t="shared" si="25"/>
        <v>-0.83215191157083457</v>
      </c>
      <c r="O37" s="11"/>
      <c r="P37" s="6">
        <v>14370.65</v>
      </c>
      <c r="Q37" s="2"/>
      <c r="R37" s="7">
        <f t="shared" si="26"/>
        <v>0</v>
      </c>
      <c r="S37" s="2"/>
      <c r="T37" s="6">
        <v>40749.300000000003</v>
      </c>
      <c r="U37" s="2"/>
      <c r="V37" s="7">
        <f t="shared" si="27"/>
        <v>0.22025458083346847</v>
      </c>
      <c r="W37" s="2"/>
      <c r="X37" s="6">
        <f t="shared" si="28"/>
        <v>-26378.65</v>
      </c>
      <c r="Y37" s="2"/>
      <c r="Z37" s="7">
        <f t="shared" si="29"/>
        <v>-0.64733995430596347</v>
      </c>
    </row>
    <row r="38" spans="1:26" s="24" customFormat="1" hidden="1" outlineLevel="2" x14ac:dyDescent="0.3">
      <c r="A38" s="27"/>
      <c r="B38" s="11" t="str">
        <f>CONCATENATE("          ", "6005", " - ", "TEMPORARY WAGES-HOURLY")</f>
        <v xml:space="preserve">          6005 - TEMPORARY WAGES-HOURLY</v>
      </c>
      <c r="C38" s="11"/>
      <c r="D38" s="6"/>
      <c r="E38" s="2"/>
      <c r="F38" s="7">
        <f t="shared" si="22"/>
        <v>0</v>
      </c>
      <c r="G38" s="2"/>
      <c r="H38" s="6">
        <v>3429.92</v>
      </c>
      <c r="I38" s="2"/>
      <c r="J38" s="7">
        <f t="shared" si="23"/>
        <v>9.9706976744186049E-2</v>
      </c>
      <c r="K38" s="2"/>
      <c r="L38" s="6">
        <f t="shared" si="24"/>
        <v>-3429.92</v>
      </c>
      <c r="M38" s="2"/>
      <c r="N38" s="7">
        <f t="shared" si="25"/>
        <v>-1</v>
      </c>
      <c r="O38" s="11"/>
      <c r="P38" s="6">
        <v>8246.0499999999993</v>
      </c>
      <c r="Q38" s="2"/>
      <c r="R38" s="7">
        <f t="shared" si="26"/>
        <v>0</v>
      </c>
      <c r="S38" s="2"/>
      <c r="T38" s="6">
        <v>18880.080000000002</v>
      </c>
      <c r="U38" s="2"/>
      <c r="V38" s="7">
        <f t="shared" si="27"/>
        <v>0.10204897032592834</v>
      </c>
      <c r="W38" s="2"/>
      <c r="X38" s="6">
        <f t="shared" si="28"/>
        <v>-10634.030000000002</v>
      </c>
      <c r="Y38" s="2"/>
      <c r="Z38" s="7">
        <f t="shared" si="29"/>
        <v>-0.56324072779352641</v>
      </c>
    </row>
    <row r="39" spans="1:26" s="24" customFormat="1" hidden="1" outlineLevel="2" x14ac:dyDescent="0.3">
      <c r="A39" s="27"/>
      <c r="B39" s="11" t="str">
        <f>CONCATENATE("          ", "6006", " - ", "TEMPORARY PART TIME")</f>
        <v xml:space="preserve">          6006 - TEMPORARY PART TIME</v>
      </c>
      <c r="C39" s="11"/>
      <c r="D39" s="6"/>
      <c r="E39" s="2"/>
      <c r="F39" s="7">
        <f t="shared" si="22"/>
        <v>0</v>
      </c>
      <c r="G39" s="2"/>
      <c r="H39" s="6">
        <v>0</v>
      </c>
      <c r="I39" s="2"/>
      <c r="J39" s="7">
        <f t="shared" si="23"/>
        <v>0</v>
      </c>
      <c r="K39" s="2"/>
      <c r="L39" s="6">
        <f t="shared" si="24"/>
        <v>0</v>
      </c>
      <c r="M39" s="2"/>
      <c r="N39" s="7">
        <f t="shared" si="25"/>
        <v>0</v>
      </c>
      <c r="O39" s="11"/>
      <c r="P39" s="6"/>
      <c r="Q39" s="2"/>
      <c r="R39" s="7">
        <f t="shared" si="26"/>
        <v>0</v>
      </c>
      <c r="S39" s="2"/>
      <c r="T39" s="6">
        <v>0</v>
      </c>
      <c r="U39" s="2"/>
      <c r="V39" s="7">
        <f t="shared" si="27"/>
        <v>0</v>
      </c>
      <c r="W39" s="2"/>
      <c r="X39" s="6">
        <f t="shared" si="28"/>
        <v>0</v>
      </c>
      <c r="Y39" s="2"/>
      <c r="Z39" s="7">
        <f t="shared" si="29"/>
        <v>0</v>
      </c>
    </row>
    <row r="40" spans="1:26" s="24" customFormat="1" hidden="1" outlineLevel="2" x14ac:dyDescent="0.3">
      <c r="A40" s="27"/>
      <c r="B40" s="11" t="str">
        <f>CONCATENATE("          ", "6007", " - ", "STUDENT HOURLY")</f>
        <v xml:space="preserve">          6007 - STUDENT HOURLY</v>
      </c>
      <c r="C40" s="11"/>
      <c r="D40" s="6"/>
      <c r="E40" s="2"/>
      <c r="F40" s="7">
        <f t="shared" si="22"/>
        <v>0</v>
      </c>
      <c r="G40" s="2"/>
      <c r="H40" s="6">
        <v>992.31</v>
      </c>
      <c r="I40" s="2"/>
      <c r="J40" s="7">
        <f t="shared" si="23"/>
        <v>2.8846220930232556E-2</v>
      </c>
      <c r="K40" s="2"/>
      <c r="L40" s="6">
        <f t="shared" si="24"/>
        <v>-992.31</v>
      </c>
      <c r="M40" s="2"/>
      <c r="N40" s="7">
        <f t="shared" si="25"/>
        <v>-1</v>
      </c>
      <c r="O40" s="11"/>
      <c r="P40" s="6">
        <v>0</v>
      </c>
      <c r="Q40" s="2"/>
      <c r="R40" s="7">
        <f t="shared" si="26"/>
        <v>0</v>
      </c>
      <c r="S40" s="2"/>
      <c r="T40" s="6">
        <v>5292.32</v>
      </c>
      <c r="U40" s="2"/>
      <c r="V40" s="7">
        <f t="shared" si="27"/>
        <v>2.8605588887087183E-2</v>
      </c>
      <c r="W40" s="2"/>
      <c r="X40" s="6">
        <f t="shared" si="28"/>
        <v>-5292.32</v>
      </c>
      <c r="Y40" s="2"/>
      <c r="Z40" s="7">
        <f t="shared" si="29"/>
        <v>-1</v>
      </c>
    </row>
    <row r="41" spans="1:26" s="24" customFormat="1" hidden="1" outlineLevel="2" x14ac:dyDescent="0.3">
      <c r="A41" s="27"/>
      <c r="B41" s="11" t="str">
        <f>CONCATENATE("          ", "6008", " - ", "STUDENT HOURLY-FICA EXEMPT")</f>
        <v xml:space="preserve">          6008 - STUDENT HOURLY-FICA EXEMPT</v>
      </c>
      <c r="C41" s="11"/>
      <c r="D41" s="6"/>
      <c r="E41" s="2"/>
      <c r="F41" s="7">
        <f t="shared" si="22"/>
        <v>0</v>
      </c>
      <c r="G41" s="2"/>
      <c r="H41" s="6">
        <v>828.38</v>
      </c>
      <c r="I41" s="2"/>
      <c r="J41" s="7">
        <f t="shared" si="23"/>
        <v>2.4080813953488371E-2</v>
      </c>
      <c r="K41" s="2"/>
      <c r="L41" s="6">
        <f t="shared" si="24"/>
        <v>-828.38</v>
      </c>
      <c r="M41" s="2"/>
      <c r="N41" s="7">
        <f t="shared" si="25"/>
        <v>-1</v>
      </c>
      <c r="O41" s="11"/>
      <c r="P41" s="6"/>
      <c r="Q41" s="2"/>
      <c r="R41" s="7">
        <f t="shared" si="26"/>
        <v>0</v>
      </c>
      <c r="S41" s="2"/>
      <c r="T41" s="6">
        <v>4087.58</v>
      </c>
      <c r="U41" s="2"/>
      <c r="V41" s="7">
        <f t="shared" si="27"/>
        <v>2.2093832765796444E-2</v>
      </c>
      <c r="W41" s="2"/>
      <c r="X41" s="6">
        <f t="shared" si="28"/>
        <v>-4087.58</v>
      </c>
      <c r="Y41" s="2"/>
      <c r="Z41" s="7">
        <f t="shared" si="29"/>
        <v>-1</v>
      </c>
    </row>
    <row r="42" spans="1:26" s="24" customFormat="1" hidden="1" outlineLevel="2" x14ac:dyDescent="0.3">
      <c r="A42" s="27"/>
      <c r="B42" s="11" t="str">
        <f>CONCATENATE("          ", "6009", " - ", "TEMPORARY-SEASONAL")</f>
        <v xml:space="preserve">          6009 - TEMPORARY-SEASONAL</v>
      </c>
      <c r="C42" s="11"/>
      <c r="D42" s="6"/>
      <c r="E42" s="2"/>
      <c r="F42" s="7">
        <f t="shared" si="22"/>
        <v>0</v>
      </c>
      <c r="G42" s="2"/>
      <c r="H42" s="6">
        <v>0</v>
      </c>
      <c r="I42" s="2"/>
      <c r="J42" s="7">
        <f t="shared" si="23"/>
        <v>0</v>
      </c>
      <c r="K42" s="2"/>
      <c r="L42" s="6">
        <f t="shared" si="24"/>
        <v>0</v>
      </c>
      <c r="M42" s="2"/>
      <c r="N42" s="7">
        <f t="shared" si="25"/>
        <v>0</v>
      </c>
      <c r="O42" s="11"/>
      <c r="P42" s="6"/>
      <c r="Q42" s="2"/>
      <c r="R42" s="7">
        <f t="shared" si="26"/>
        <v>0</v>
      </c>
      <c r="S42" s="2"/>
      <c r="T42" s="6">
        <v>0</v>
      </c>
      <c r="U42" s="2"/>
      <c r="V42" s="7">
        <f t="shared" si="27"/>
        <v>0</v>
      </c>
      <c r="W42" s="2"/>
      <c r="X42" s="6">
        <f t="shared" si="28"/>
        <v>0</v>
      </c>
      <c r="Y42" s="2"/>
      <c r="Z42" s="7">
        <f t="shared" si="29"/>
        <v>0</v>
      </c>
    </row>
    <row r="43" spans="1:26" s="24" customFormat="1" hidden="1" outlineLevel="2" x14ac:dyDescent="0.3">
      <c r="A43" s="27"/>
      <c r="B43" s="11" t="str">
        <f>CONCATENATE("          ", "6010", " - ", "GRATUITY")</f>
        <v xml:space="preserve">          6010 - GRATUITY</v>
      </c>
      <c r="C43" s="11"/>
      <c r="D43" s="6"/>
      <c r="E43" s="2"/>
      <c r="F43" s="7">
        <f t="shared" si="22"/>
        <v>0</v>
      </c>
      <c r="G43" s="2"/>
      <c r="H43" s="6">
        <v>0</v>
      </c>
      <c r="I43" s="2"/>
      <c r="J43" s="7">
        <f t="shared" si="23"/>
        <v>0</v>
      </c>
      <c r="K43" s="2"/>
      <c r="L43" s="6">
        <f t="shared" si="24"/>
        <v>0</v>
      </c>
      <c r="M43" s="2"/>
      <c r="N43" s="7">
        <f t="shared" si="25"/>
        <v>0</v>
      </c>
      <c r="O43" s="11"/>
      <c r="P43" s="6"/>
      <c r="Q43" s="2"/>
      <c r="R43" s="7">
        <f t="shared" si="26"/>
        <v>0</v>
      </c>
      <c r="S43" s="2"/>
      <c r="T43" s="6">
        <v>0</v>
      </c>
      <c r="U43" s="2"/>
      <c r="V43" s="7">
        <f t="shared" si="27"/>
        <v>0</v>
      </c>
      <c r="W43" s="2"/>
      <c r="X43" s="6">
        <f t="shared" si="28"/>
        <v>0</v>
      </c>
      <c r="Y43" s="2"/>
      <c r="Z43" s="7">
        <f t="shared" si="29"/>
        <v>0</v>
      </c>
    </row>
    <row r="44" spans="1:26" s="29" customFormat="1" outlineLevel="1" collapsed="1" x14ac:dyDescent="0.3">
      <c r="A44" s="28"/>
      <c r="B44" s="14" t="str">
        <f>CONCATENATE("     ","Advertising/Promo                                 ")</f>
        <v xml:space="preserve">     Advertising/Promo                                 </v>
      </c>
      <c r="C44" s="14"/>
      <c r="D44" s="1">
        <f>SUM(OSRRefD22_2x_0)</f>
        <v>9.76</v>
      </c>
      <c r="E44" s="1"/>
      <c r="F44" s="5">
        <f t="shared" ref="F44:F50" si="30">IF(D$12=0,0,D44/D$12)</f>
        <v>0</v>
      </c>
      <c r="G44" s="1"/>
      <c r="H44" s="1">
        <f>SUM(OSRRefH22_2x_0)</f>
        <v>0</v>
      </c>
      <c r="I44" s="1"/>
      <c r="J44" s="5">
        <f t="shared" ref="J44:J50" si="31">IF(H$12=0,0,H44/H$12)</f>
        <v>0</v>
      </c>
      <c r="K44" s="1"/>
      <c r="L44" s="1">
        <f t="shared" ref="L44:L50" si="32">+D44-H44</f>
        <v>9.76</v>
      </c>
      <c r="M44" s="1"/>
      <c r="N44" s="5">
        <f t="shared" ref="N44:N50" si="33">IF(H44=0,0,L44/H44)</f>
        <v>0</v>
      </c>
      <c r="O44" s="14"/>
      <c r="P44" s="1">
        <f>SUM(OSRRefP22_2x_0)</f>
        <v>263.58</v>
      </c>
      <c r="Q44" s="1"/>
      <c r="R44" s="5">
        <f t="shared" ref="R44:R50" si="34">IF(P$12=0,0,P44/P$12)</f>
        <v>0</v>
      </c>
      <c r="S44" s="1"/>
      <c r="T44" s="1">
        <f>SUM(OSRRefT22_2x_0)</f>
        <v>0</v>
      </c>
      <c r="U44" s="1"/>
      <c r="V44" s="5">
        <f t="shared" ref="V44:V50" si="35">IF(T$12=0,0,T44/T$12)</f>
        <v>0</v>
      </c>
      <c r="W44" s="1"/>
      <c r="X44" s="1">
        <f t="shared" ref="X44:X50" si="36">+P44-T44</f>
        <v>263.58</v>
      </c>
      <c r="Y44" s="1"/>
      <c r="Z44" s="5">
        <f t="shared" ref="Z44:Z50" si="37">IF(T44=0,0,X44/T44)</f>
        <v>0</v>
      </c>
    </row>
    <row r="45" spans="1:26" s="24" customFormat="1" hidden="1" outlineLevel="2" x14ac:dyDescent="0.3">
      <c r="A45" s="27"/>
      <c r="B45" s="11" t="str">
        <f>CONCATENATE("          ", "6362", " - ", "ADVERTISING EXPENSE")</f>
        <v xml:space="preserve">          6362 - ADVERTISING EXPENSE</v>
      </c>
      <c r="C45" s="11"/>
      <c r="D45" s="6">
        <v>9.76</v>
      </c>
      <c r="E45" s="2"/>
      <c r="F45" s="7">
        <f t="shared" si="30"/>
        <v>0</v>
      </c>
      <c r="G45" s="2"/>
      <c r="H45" s="6"/>
      <c r="I45" s="2"/>
      <c r="J45" s="7">
        <f t="shared" si="31"/>
        <v>0</v>
      </c>
      <c r="K45" s="2"/>
      <c r="L45" s="6">
        <f t="shared" si="32"/>
        <v>9.76</v>
      </c>
      <c r="M45" s="2"/>
      <c r="N45" s="7">
        <f t="shared" si="33"/>
        <v>0</v>
      </c>
      <c r="O45" s="11"/>
      <c r="P45" s="6">
        <v>263.58</v>
      </c>
      <c r="Q45" s="2"/>
      <c r="R45" s="7">
        <f t="shared" si="34"/>
        <v>0</v>
      </c>
      <c r="S45" s="2"/>
      <c r="T45" s="6"/>
      <c r="U45" s="2"/>
      <c r="V45" s="7">
        <f t="shared" si="35"/>
        <v>0</v>
      </c>
      <c r="W45" s="2"/>
      <c r="X45" s="6">
        <f t="shared" si="36"/>
        <v>263.58</v>
      </c>
      <c r="Y45" s="2"/>
      <c r="Z45" s="7">
        <f t="shared" si="37"/>
        <v>0</v>
      </c>
    </row>
    <row r="46" spans="1:26" s="29" customFormat="1" outlineLevel="1" collapsed="1" x14ac:dyDescent="0.3">
      <c r="A46" s="28"/>
      <c r="B46" s="14" t="str">
        <f>CONCATENATE("     ","Bank/card Fees                                    ")</f>
        <v xml:space="preserve">     Bank/card Fees                                    </v>
      </c>
      <c r="C46" s="14"/>
      <c r="D46" s="1">
        <f>SUM(OSRRefD22_3x_0)</f>
        <v>0</v>
      </c>
      <c r="E46" s="1"/>
      <c r="F46" s="5">
        <f t="shared" si="30"/>
        <v>0</v>
      </c>
      <c r="G46" s="1"/>
      <c r="H46" s="1">
        <f>SUM(OSRRefH22_3x_0)</f>
        <v>1375</v>
      </c>
      <c r="I46" s="1"/>
      <c r="J46" s="5">
        <f t="shared" si="31"/>
        <v>3.9970930232558141E-2</v>
      </c>
      <c r="K46" s="1"/>
      <c r="L46" s="1">
        <f t="shared" si="32"/>
        <v>-1375</v>
      </c>
      <c r="M46" s="1"/>
      <c r="N46" s="5">
        <f t="shared" si="33"/>
        <v>-1</v>
      </c>
      <c r="O46" s="14"/>
      <c r="P46" s="1">
        <f>SUM(OSRRefP22_3x_0)</f>
        <v>0.37</v>
      </c>
      <c r="Q46" s="1"/>
      <c r="R46" s="5">
        <f t="shared" si="34"/>
        <v>0</v>
      </c>
      <c r="S46" s="1"/>
      <c r="T46" s="1">
        <f>SUM(OSRRefT22_3x_0)</f>
        <v>7395</v>
      </c>
      <c r="U46" s="1"/>
      <c r="V46" s="5">
        <f t="shared" si="35"/>
        <v>3.9970812388519537E-2</v>
      </c>
      <c r="W46" s="1"/>
      <c r="X46" s="1">
        <f t="shared" si="36"/>
        <v>-7394.63</v>
      </c>
      <c r="Y46" s="1"/>
      <c r="Z46" s="5">
        <f t="shared" si="37"/>
        <v>-0.99994996619337395</v>
      </c>
    </row>
    <row r="47" spans="1:26" s="24" customFormat="1" hidden="1" outlineLevel="2" x14ac:dyDescent="0.3">
      <c r="A47" s="27"/>
      <c r="B47" s="11" t="str">
        <f>CONCATENATE("          ", "6381", " - ", "BANK/CREDIT CARD FEES")</f>
        <v xml:space="preserve">          6381 - BANK/CREDIT CARD FEES</v>
      </c>
      <c r="C47" s="11"/>
      <c r="D47" s="6"/>
      <c r="E47" s="2"/>
      <c r="F47" s="7">
        <f t="shared" si="30"/>
        <v>0</v>
      </c>
      <c r="G47" s="2"/>
      <c r="H47" s="6">
        <v>1375</v>
      </c>
      <c r="I47" s="2"/>
      <c r="J47" s="7">
        <f t="shared" si="31"/>
        <v>3.9970930232558141E-2</v>
      </c>
      <c r="K47" s="2"/>
      <c r="L47" s="6">
        <f t="shared" si="32"/>
        <v>-1375</v>
      </c>
      <c r="M47" s="2"/>
      <c r="N47" s="7">
        <f t="shared" si="33"/>
        <v>-1</v>
      </c>
      <c r="O47" s="11"/>
      <c r="P47" s="6">
        <v>0.37</v>
      </c>
      <c r="Q47" s="2"/>
      <c r="R47" s="7">
        <f t="shared" si="34"/>
        <v>0</v>
      </c>
      <c r="S47" s="2"/>
      <c r="T47" s="6">
        <v>7395</v>
      </c>
      <c r="U47" s="2"/>
      <c r="V47" s="7">
        <f t="shared" si="35"/>
        <v>3.9970812388519537E-2</v>
      </c>
      <c r="W47" s="2"/>
      <c r="X47" s="6">
        <f t="shared" si="36"/>
        <v>-7394.63</v>
      </c>
      <c r="Y47" s="2"/>
      <c r="Z47" s="7">
        <f t="shared" si="37"/>
        <v>-0.99994996619337395</v>
      </c>
    </row>
    <row r="48" spans="1:26" s="29" customFormat="1" outlineLevel="1" collapsed="1" x14ac:dyDescent="0.3">
      <c r="A48" s="28"/>
      <c r="B48" s="14" t="str">
        <f>CONCATENATE("     ","Depreciation                                      ")</f>
        <v xml:space="preserve">     Depreciation                                      </v>
      </c>
      <c r="C48" s="14"/>
      <c r="D48" s="1">
        <f>SUM(OSRRefD22_4x_0)</f>
        <v>6701.08</v>
      </c>
      <c r="E48" s="1"/>
      <c r="F48" s="5">
        <f t="shared" si="30"/>
        <v>0</v>
      </c>
      <c r="G48" s="1"/>
      <c r="H48" s="1">
        <f>SUM(OSRRefH22_4x_0)</f>
        <v>6701</v>
      </c>
      <c r="I48" s="1"/>
      <c r="J48" s="5">
        <f t="shared" si="31"/>
        <v>0.19479651162790698</v>
      </c>
      <c r="K48" s="1"/>
      <c r="L48" s="1">
        <f t="shared" si="32"/>
        <v>7.999999999992724E-2</v>
      </c>
      <c r="M48" s="1"/>
      <c r="N48" s="5">
        <f t="shared" si="33"/>
        <v>1.1938516639296707E-5</v>
      </c>
      <c r="O48" s="14"/>
      <c r="P48" s="1">
        <f>SUM(OSRRefP22_4x_0)</f>
        <v>33593.54</v>
      </c>
      <c r="Q48" s="1"/>
      <c r="R48" s="5">
        <f t="shared" si="34"/>
        <v>0</v>
      </c>
      <c r="S48" s="1"/>
      <c r="T48" s="1">
        <f>SUM(OSRRefT22_4x_0)</f>
        <v>33593</v>
      </c>
      <c r="U48" s="1"/>
      <c r="V48" s="5">
        <f t="shared" si="35"/>
        <v>0.18157396897465003</v>
      </c>
      <c r="W48" s="1"/>
      <c r="X48" s="1">
        <f t="shared" si="36"/>
        <v>0.54000000000087311</v>
      </c>
      <c r="Y48" s="1"/>
      <c r="Z48" s="5">
        <f t="shared" si="37"/>
        <v>1.6074777483430273E-5</v>
      </c>
    </row>
    <row r="49" spans="1:26" s="24" customFormat="1" hidden="1" outlineLevel="2" x14ac:dyDescent="0.3">
      <c r="A49" s="27"/>
      <c r="B49" s="11" t="str">
        <f>CONCATENATE("          ", "6321", " - ", "BUILDING DEPRECIATION")</f>
        <v xml:space="preserve">          6321 - BUILDING DEPRECIATION</v>
      </c>
      <c r="C49" s="11"/>
      <c r="D49" s="6">
        <v>6492.96</v>
      </c>
      <c r="E49" s="2"/>
      <c r="F49" s="7">
        <f t="shared" si="30"/>
        <v>0</v>
      </c>
      <c r="G49" s="2"/>
      <c r="H49" s="6"/>
      <c r="I49" s="2"/>
      <c r="J49" s="7">
        <f t="shared" si="31"/>
        <v>0</v>
      </c>
      <c r="K49" s="2"/>
      <c r="L49" s="6">
        <f t="shared" si="32"/>
        <v>6492.96</v>
      </c>
      <c r="M49" s="2"/>
      <c r="N49" s="7">
        <f t="shared" si="33"/>
        <v>0</v>
      </c>
      <c r="O49" s="11"/>
      <c r="P49" s="6">
        <v>32552.94</v>
      </c>
      <c r="Q49" s="2"/>
      <c r="R49" s="7">
        <f t="shared" si="34"/>
        <v>0</v>
      </c>
      <c r="S49" s="2"/>
      <c r="T49" s="6"/>
      <c r="U49" s="2"/>
      <c r="V49" s="7">
        <f t="shared" si="35"/>
        <v>0</v>
      </c>
      <c r="W49" s="2"/>
      <c r="X49" s="6">
        <f t="shared" si="36"/>
        <v>32552.94</v>
      </c>
      <c r="Y49" s="2"/>
      <c r="Z49" s="7">
        <f t="shared" si="37"/>
        <v>0</v>
      </c>
    </row>
    <row r="50" spans="1:26" s="24" customFormat="1" hidden="1" outlineLevel="2" x14ac:dyDescent="0.3">
      <c r="A50" s="27"/>
      <c r="B50" s="11" t="str">
        <f>CONCATENATE("          ", "6322", " - ", "EQUIPMENT DEPRECIATION EXPENSE")</f>
        <v xml:space="preserve">          6322 - EQUIPMENT DEPRECIATION EXPENSE</v>
      </c>
      <c r="C50" s="11"/>
      <c r="D50" s="6">
        <v>208.12</v>
      </c>
      <c r="E50" s="2"/>
      <c r="F50" s="7">
        <f t="shared" si="30"/>
        <v>0</v>
      </c>
      <c r="G50" s="2"/>
      <c r="H50" s="6">
        <v>6701</v>
      </c>
      <c r="I50" s="2"/>
      <c r="J50" s="7">
        <f t="shared" si="31"/>
        <v>0.19479651162790698</v>
      </c>
      <c r="K50" s="2"/>
      <c r="L50" s="6">
        <f t="shared" si="32"/>
        <v>-6492.88</v>
      </c>
      <c r="M50" s="2"/>
      <c r="N50" s="7">
        <f t="shared" si="33"/>
        <v>-0.96894194896284136</v>
      </c>
      <c r="O50" s="11"/>
      <c r="P50" s="6">
        <v>1040.5999999999999</v>
      </c>
      <c r="Q50" s="2"/>
      <c r="R50" s="7">
        <f t="shared" si="34"/>
        <v>0</v>
      </c>
      <c r="S50" s="2"/>
      <c r="T50" s="6">
        <v>33593</v>
      </c>
      <c r="U50" s="2"/>
      <c r="V50" s="7">
        <f t="shared" si="35"/>
        <v>0.18157396897465003</v>
      </c>
      <c r="W50" s="2"/>
      <c r="X50" s="6">
        <f t="shared" si="36"/>
        <v>-32552.400000000001</v>
      </c>
      <c r="Y50" s="2"/>
      <c r="Z50" s="7">
        <f t="shared" si="37"/>
        <v>-0.96902330842735096</v>
      </c>
    </row>
    <row r="51" spans="1:26" s="29" customFormat="1" outlineLevel="1" collapsed="1" x14ac:dyDescent="0.3">
      <c r="A51" s="28"/>
      <c r="B51" s="14" t="str">
        <f>CONCATENATE("     ","Employees' Appreciation                           ")</f>
        <v xml:space="preserve">     Employees' Appreciation                           </v>
      </c>
      <c r="C51" s="14"/>
      <c r="D51" s="1">
        <f>SUM(OSRRefD22_5x_0)</f>
        <v>0</v>
      </c>
      <c r="E51" s="1"/>
      <c r="F51" s="5">
        <f t="shared" ref="F51:F59" si="38">IF(D$12=0,0,D51/D$12)</f>
        <v>0</v>
      </c>
      <c r="G51" s="1"/>
      <c r="H51" s="1">
        <f>SUM(OSRRefH22_5x_0)</f>
        <v>20</v>
      </c>
      <c r="I51" s="1"/>
      <c r="J51" s="5">
        <f t="shared" ref="J51:J59" si="39">IF(H$12=0,0,H51/H$12)</f>
        <v>5.8139534883720929E-4</v>
      </c>
      <c r="K51" s="1"/>
      <c r="L51" s="1">
        <f t="shared" ref="L51:L59" si="40">+D51-H51</f>
        <v>-20</v>
      </c>
      <c r="M51" s="1"/>
      <c r="N51" s="5">
        <f t="shared" ref="N51:N59" si="41">IF(H51=0,0,L51/H51)</f>
        <v>-1</v>
      </c>
      <c r="O51" s="14"/>
      <c r="P51" s="1">
        <f>SUM(OSRRefP22_5x_0)</f>
        <v>49.95</v>
      </c>
      <c r="Q51" s="1"/>
      <c r="R51" s="5">
        <f t="shared" ref="R51:R59" si="42">IF(P$12=0,0,P51/P$12)</f>
        <v>0</v>
      </c>
      <c r="S51" s="1"/>
      <c r="T51" s="1">
        <f>SUM(OSRRefT22_5x_0)</f>
        <v>60</v>
      </c>
      <c r="U51" s="1"/>
      <c r="V51" s="5">
        <f t="shared" ref="V51:V59" si="43">IF(T$12=0,0,T51/T$12)</f>
        <v>3.2430679422733907E-4</v>
      </c>
      <c r="W51" s="1"/>
      <c r="X51" s="1">
        <f t="shared" ref="X51:X59" si="44">+P51-T51</f>
        <v>-10.049999999999997</v>
      </c>
      <c r="Y51" s="1"/>
      <c r="Z51" s="5">
        <f t="shared" ref="Z51:Z59" si="45">IF(T51=0,0,X51/T51)</f>
        <v>-0.16749999999999995</v>
      </c>
    </row>
    <row r="52" spans="1:26" s="24" customFormat="1" hidden="1" outlineLevel="2" x14ac:dyDescent="0.3">
      <c r="A52" s="27"/>
      <c r="B52" s="11" t="str">
        <f>CONCATENATE("          ", "6277", " - ", "EMPLOYEE APPRECIATION")</f>
        <v xml:space="preserve">          6277 - EMPLOYEE APPRECIATION</v>
      </c>
      <c r="C52" s="11"/>
      <c r="D52" s="6"/>
      <c r="E52" s="2"/>
      <c r="F52" s="7">
        <f t="shared" si="38"/>
        <v>0</v>
      </c>
      <c r="G52" s="2"/>
      <c r="H52" s="6">
        <v>20</v>
      </c>
      <c r="I52" s="2"/>
      <c r="J52" s="7">
        <f t="shared" si="39"/>
        <v>5.8139534883720929E-4</v>
      </c>
      <c r="K52" s="2"/>
      <c r="L52" s="6">
        <f t="shared" si="40"/>
        <v>-20</v>
      </c>
      <c r="M52" s="2"/>
      <c r="N52" s="7">
        <f t="shared" si="41"/>
        <v>-1</v>
      </c>
      <c r="O52" s="11"/>
      <c r="P52" s="6">
        <v>49.95</v>
      </c>
      <c r="Q52" s="2"/>
      <c r="R52" s="7">
        <f t="shared" si="42"/>
        <v>0</v>
      </c>
      <c r="S52" s="2"/>
      <c r="T52" s="6">
        <v>60</v>
      </c>
      <c r="U52" s="2"/>
      <c r="V52" s="7">
        <f t="shared" si="43"/>
        <v>3.2430679422733907E-4</v>
      </c>
      <c r="W52" s="2"/>
      <c r="X52" s="6">
        <f t="shared" si="44"/>
        <v>-10.049999999999997</v>
      </c>
      <c r="Y52" s="2"/>
      <c r="Z52" s="7">
        <f t="shared" si="45"/>
        <v>-0.16749999999999995</v>
      </c>
    </row>
    <row r="53" spans="1:26" s="29" customFormat="1" outlineLevel="1" collapsed="1" x14ac:dyDescent="0.3">
      <c r="A53" s="28"/>
      <c r="B53" s="14" t="str">
        <f>CONCATENATE("     ","Equipment Rental                                  ")</f>
        <v xml:space="preserve">     Equipment Rental                                  </v>
      </c>
      <c r="C53" s="14"/>
      <c r="D53" s="1">
        <f>SUM(OSRRefD22_6x_0)</f>
        <v>516.80999999999995</v>
      </c>
      <c r="E53" s="1"/>
      <c r="F53" s="5">
        <f t="shared" si="38"/>
        <v>0</v>
      </c>
      <c r="G53" s="1"/>
      <c r="H53" s="1">
        <f>SUM(OSRRefH22_6x_0)</f>
        <v>200</v>
      </c>
      <c r="I53" s="1"/>
      <c r="J53" s="5">
        <f t="shared" si="39"/>
        <v>5.8139534883720929E-3</v>
      </c>
      <c r="K53" s="1"/>
      <c r="L53" s="1">
        <f t="shared" si="40"/>
        <v>316.80999999999995</v>
      </c>
      <c r="M53" s="1"/>
      <c r="N53" s="5">
        <f t="shared" si="41"/>
        <v>1.5840499999999997</v>
      </c>
      <c r="O53" s="14"/>
      <c r="P53" s="1">
        <f>SUM(OSRRefP22_6x_0)</f>
        <v>2217.39</v>
      </c>
      <c r="Q53" s="1"/>
      <c r="R53" s="5">
        <f t="shared" si="42"/>
        <v>0</v>
      </c>
      <c r="S53" s="1"/>
      <c r="T53" s="1">
        <f>SUM(OSRRefT22_6x_0)</f>
        <v>1000</v>
      </c>
      <c r="U53" s="1"/>
      <c r="V53" s="5">
        <f t="shared" si="43"/>
        <v>5.4051132371223179E-3</v>
      </c>
      <c r="W53" s="1"/>
      <c r="X53" s="1">
        <f t="shared" si="44"/>
        <v>1217.3899999999999</v>
      </c>
      <c r="Y53" s="1"/>
      <c r="Z53" s="5">
        <f t="shared" si="45"/>
        <v>1.21739</v>
      </c>
    </row>
    <row r="54" spans="1:26" s="24" customFormat="1" hidden="1" outlineLevel="2" x14ac:dyDescent="0.3">
      <c r="A54" s="27"/>
      <c r="B54" s="11" t="str">
        <f>CONCATENATE("          ", "6351", " - ", "EQUIPMENT RENTAL")</f>
        <v xml:space="preserve">          6351 - EQUIPMENT RENTAL</v>
      </c>
      <c r="C54" s="11"/>
      <c r="D54" s="6">
        <v>516.80999999999995</v>
      </c>
      <c r="E54" s="2"/>
      <c r="F54" s="7">
        <f t="shared" si="38"/>
        <v>0</v>
      </c>
      <c r="G54" s="2"/>
      <c r="H54" s="6">
        <v>200</v>
      </c>
      <c r="I54" s="2"/>
      <c r="J54" s="7">
        <f t="shared" si="39"/>
        <v>5.8139534883720929E-3</v>
      </c>
      <c r="K54" s="2"/>
      <c r="L54" s="6">
        <f t="shared" si="40"/>
        <v>316.80999999999995</v>
      </c>
      <c r="M54" s="2"/>
      <c r="N54" s="7">
        <f t="shared" si="41"/>
        <v>1.5840499999999997</v>
      </c>
      <c r="O54" s="11"/>
      <c r="P54" s="6">
        <v>2217.39</v>
      </c>
      <c r="Q54" s="2"/>
      <c r="R54" s="7">
        <f t="shared" si="42"/>
        <v>0</v>
      </c>
      <c r="S54" s="2"/>
      <c r="T54" s="6">
        <v>1000</v>
      </c>
      <c r="U54" s="2"/>
      <c r="V54" s="7">
        <f t="shared" si="43"/>
        <v>5.4051132371223179E-3</v>
      </c>
      <c r="W54" s="2"/>
      <c r="X54" s="6">
        <f t="shared" si="44"/>
        <v>1217.3899999999999</v>
      </c>
      <c r="Y54" s="2"/>
      <c r="Z54" s="7">
        <f t="shared" si="45"/>
        <v>1.21739</v>
      </c>
    </row>
    <row r="55" spans="1:26" s="29" customFormat="1" outlineLevel="1" collapsed="1" x14ac:dyDescent="0.3">
      <c r="A55" s="28"/>
      <c r="B55" s="14" t="str">
        <f>CONCATENATE("     ","General                                           ")</f>
        <v xml:space="preserve">     General                                           </v>
      </c>
      <c r="C55" s="14"/>
      <c r="D55" s="1">
        <f>SUM(OSRRefD22_7x_0)</f>
        <v>0</v>
      </c>
      <c r="E55" s="1"/>
      <c r="F55" s="5">
        <f t="shared" si="38"/>
        <v>0</v>
      </c>
      <c r="G55" s="1"/>
      <c r="H55" s="1">
        <f>SUM(OSRRefH22_7x_0)</f>
        <v>0</v>
      </c>
      <c r="I55" s="1"/>
      <c r="J55" s="5">
        <f t="shared" si="39"/>
        <v>0</v>
      </c>
      <c r="K55" s="1"/>
      <c r="L55" s="1">
        <f t="shared" si="40"/>
        <v>0</v>
      </c>
      <c r="M55" s="1"/>
      <c r="N55" s="5">
        <f t="shared" si="41"/>
        <v>0</v>
      </c>
      <c r="O55" s="14"/>
      <c r="P55" s="1">
        <f>SUM(OSRRefP22_7x_0)</f>
        <v>1314.55</v>
      </c>
      <c r="Q55" s="1"/>
      <c r="R55" s="5">
        <f t="shared" si="42"/>
        <v>0</v>
      </c>
      <c r="S55" s="1"/>
      <c r="T55" s="1">
        <f>SUM(OSRRefT22_7x_0)</f>
        <v>1400</v>
      </c>
      <c r="U55" s="1"/>
      <c r="V55" s="5">
        <f t="shared" si="43"/>
        <v>7.5671585319712449E-3</v>
      </c>
      <c r="W55" s="1"/>
      <c r="X55" s="1">
        <f t="shared" si="44"/>
        <v>-85.450000000000045</v>
      </c>
      <c r="Y55" s="1"/>
      <c r="Z55" s="5">
        <f t="shared" si="45"/>
        <v>-6.1035714285714318E-2</v>
      </c>
    </row>
    <row r="56" spans="1:26" s="24" customFormat="1" hidden="1" outlineLevel="2" x14ac:dyDescent="0.3">
      <c r="A56" s="27"/>
      <c r="B56" s="11" t="str">
        <f>CONCATENATE("          ", "6279", " - ", "GENERAL EXPENSE")</f>
        <v xml:space="preserve">          6279 - GENERAL EXPENSE</v>
      </c>
      <c r="C56" s="11"/>
      <c r="D56" s="6"/>
      <c r="E56" s="2"/>
      <c r="F56" s="7">
        <f t="shared" si="38"/>
        <v>0</v>
      </c>
      <c r="G56" s="2"/>
      <c r="H56" s="6"/>
      <c r="I56" s="2"/>
      <c r="J56" s="7">
        <f t="shared" si="39"/>
        <v>0</v>
      </c>
      <c r="K56" s="2"/>
      <c r="L56" s="6">
        <f t="shared" si="40"/>
        <v>0</v>
      </c>
      <c r="M56" s="2"/>
      <c r="N56" s="7">
        <f t="shared" si="41"/>
        <v>0</v>
      </c>
      <c r="O56" s="11"/>
      <c r="P56" s="6">
        <v>1314.55</v>
      </c>
      <c r="Q56" s="2"/>
      <c r="R56" s="7">
        <f t="shared" si="42"/>
        <v>0</v>
      </c>
      <c r="S56" s="2"/>
      <c r="T56" s="6">
        <v>1400</v>
      </c>
      <c r="U56" s="2"/>
      <c r="V56" s="7">
        <f t="shared" si="43"/>
        <v>7.5671585319712449E-3</v>
      </c>
      <c r="W56" s="2"/>
      <c r="X56" s="6">
        <f t="shared" si="44"/>
        <v>-85.450000000000045</v>
      </c>
      <c r="Y56" s="2"/>
      <c r="Z56" s="7">
        <f t="shared" si="45"/>
        <v>-6.1035714285714318E-2</v>
      </c>
    </row>
    <row r="57" spans="1:26" s="29" customFormat="1" outlineLevel="1" collapsed="1" x14ac:dyDescent="0.3">
      <c r="A57" s="28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SUM(OSRRefD22_8x_0)</f>
        <v>1176.51</v>
      </c>
      <c r="E57" s="1"/>
      <c r="F57" s="5">
        <f t="shared" si="38"/>
        <v>0</v>
      </c>
      <c r="G57" s="1"/>
      <c r="H57" s="1">
        <f>SUM(OSRRefH22_8x_0)</f>
        <v>688</v>
      </c>
      <c r="I57" s="1"/>
      <c r="J57" s="5">
        <f t="shared" si="39"/>
        <v>0.02</v>
      </c>
      <c r="K57" s="1"/>
      <c r="L57" s="1">
        <f t="shared" si="40"/>
        <v>488.51</v>
      </c>
      <c r="M57" s="1"/>
      <c r="N57" s="5">
        <f t="shared" si="41"/>
        <v>0.71004360465116279</v>
      </c>
      <c r="O57" s="14"/>
      <c r="P57" s="1">
        <f>SUM(OSRRefP22_8x_0)</f>
        <v>5611.55</v>
      </c>
      <c r="Q57" s="1"/>
      <c r="R57" s="5">
        <f t="shared" si="42"/>
        <v>0</v>
      </c>
      <c r="S57" s="1"/>
      <c r="T57" s="1">
        <f>SUM(OSRRefT22_8x_0)</f>
        <v>14651</v>
      </c>
      <c r="U57" s="1"/>
      <c r="V57" s="5">
        <f t="shared" si="43"/>
        <v>7.9190314037079074E-2</v>
      </c>
      <c r="W57" s="1"/>
      <c r="X57" s="1">
        <f t="shared" si="44"/>
        <v>-9039.4500000000007</v>
      </c>
      <c r="Y57" s="1"/>
      <c r="Z57" s="5">
        <f t="shared" si="45"/>
        <v>-0.61698518872431918</v>
      </c>
    </row>
    <row r="58" spans="1:26" s="24" customFormat="1" hidden="1" outlineLevel="2" x14ac:dyDescent="0.3">
      <c r="A58" s="27"/>
      <c r="B58" s="11" t="str">
        <f>CONCATENATE("          ", "6373", " - ", "MAINTENANCE CONTRACTS")</f>
        <v xml:space="preserve">          6373 - MAINTENANCE CONTRACTS</v>
      </c>
      <c r="C58" s="11"/>
      <c r="D58" s="6">
        <v>612.6</v>
      </c>
      <c r="E58" s="2"/>
      <c r="F58" s="7">
        <f t="shared" si="38"/>
        <v>0</v>
      </c>
      <c r="G58" s="2"/>
      <c r="H58" s="6"/>
      <c r="I58" s="2"/>
      <c r="J58" s="7">
        <f t="shared" si="39"/>
        <v>0</v>
      </c>
      <c r="K58" s="2"/>
      <c r="L58" s="6">
        <f t="shared" si="40"/>
        <v>612.6</v>
      </c>
      <c r="M58" s="2"/>
      <c r="N58" s="7">
        <f t="shared" si="41"/>
        <v>0</v>
      </c>
      <c r="O58" s="11"/>
      <c r="P58" s="6">
        <v>2015.27</v>
      </c>
      <c r="Q58" s="2"/>
      <c r="R58" s="7">
        <f t="shared" si="42"/>
        <v>0</v>
      </c>
      <c r="S58" s="2"/>
      <c r="T58" s="6">
        <v>1000</v>
      </c>
      <c r="U58" s="2"/>
      <c r="V58" s="7">
        <f t="shared" si="43"/>
        <v>5.4051132371223179E-3</v>
      </c>
      <c r="W58" s="2"/>
      <c r="X58" s="6">
        <f t="shared" si="44"/>
        <v>1015.27</v>
      </c>
      <c r="Y58" s="2"/>
      <c r="Z58" s="7">
        <f t="shared" si="45"/>
        <v>1.0152699999999999</v>
      </c>
    </row>
    <row r="59" spans="1:26" s="24" customFormat="1" hidden="1" outlineLevel="2" x14ac:dyDescent="0.3">
      <c r="A59" s="27"/>
      <c r="B59" s="11" t="str">
        <f>CONCATENATE("          ", "6375", " - ", "OUTSIDE REPAIRS &amp; MAINTENANCE")</f>
        <v xml:space="preserve">          6375 - OUTSIDE REPAIRS &amp; MAINTENANCE</v>
      </c>
      <c r="C59" s="11"/>
      <c r="D59" s="6">
        <v>563.91</v>
      </c>
      <c r="E59" s="2"/>
      <c r="F59" s="7">
        <f t="shared" si="38"/>
        <v>0</v>
      </c>
      <c r="G59" s="2"/>
      <c r="H59" s="6">
        <v>688</v>
      </c>
      <c r="I59" s="2"/>
      <c r="J59" s="7">
        <f t="shared" si="39"/>
        <v>0.02</v>
      </c>
      <c r="K59" s="2"/>
      <c r="L59" s="6">
        <f t="shared" si="40"/>
        <v>-124.09000000000003</v>
      </c>
      <c r="M59" s="2"/>
      <c r="N59" s="7">
        <f t="shared" si="41"/>
        <v>-0.18036337209302331</v>
      </c>
      <c r="O59" s="11"/>
      <c r="P59" s="6">
        <v>3596.28</v>
      </c>
      <c r="Q59" s="2"/>
      <c r="R59" s="7">
        <f t="shared" si="42"/>
        <v>0</v>
      </c>
      <c r="S59" s="2"/>
      <c r="T59" s="6">
        <v>13651</v>
      </c>
      <c r="U59" s="2"/>
      <c r="V59" s="7">
        <f t="shared" si="43"/>
        <v>7.3785200799956763E-2</v>
      </c>
      <c r="W59" s="2"/>
      <c r="X59" s="6">
        <f t="shared" si="44"/>
        <v>-10054.719999999999</v>
      </c>
      <c r="Y59" s="2"/>
      <c r="Z59" s="7">
        <f t="shared" si="45"/>
        <v>-0.73655556369496733</v>
      </c>
    </row>
    <row r="60" spans="1:26" s="29" customFormat="1" outlineLevel="1" collapsed="1" x14ac:dyDescent="0.3">
      <c r="A60" s="28"/>
      <c r="B60" s="14" t="str">
        <f>CONCATENATE("     ","Services                                          ")</f>
        <v xml:space="preserve">     Services                                          </v>
      </c>
      <c r="C60" s="14"/>
      <c r="D60" s="1">
        <f>SUM(OSRRefD22_9x_0)</f>
        <v>0</v>
      </c>
      <c r="E60" s="1"/>
      <c r="F60" s="5">
        <f t="shared" ref="F60:F64" si="46">IF(D$12=0,0,D60/D$12)</f>
        <v>0</v>
      </c>
      <c r="G60" s="1"/>
      <c r="H60" s="1">
        <f>SUM(OSRRefH22_9x_0)</f>
        <v>3225</v>
      </c>
      <c r="I60" s="1"/>
      <c r="J60" s="5">
        <f t="shared" ref="J60:J64" si="47">IF(H$12=0,0,H60/H$12)</f>
        <v>9.375E-2</v>
      </c>
      <c r="K60" s="1"/>
      <c r="L60" s="1">
        <f t="shared" ref="L60:L64" si="48">+D60-H60</f>
        <v>-3225</v>
      </c>
      <c r="M60" s="1"/>
      <c r="N60" s="5">
        <f t="shared" ref="N60:N64" si="49">IF(H60=0,0,L60/H60)</f>
        <v>-1</v>
      </c>
      <c r="O60" s="14"/>
      <c r="P60" s="1">
        <f>SUM(OSRRefP22_9x_0)</f>
        <v>260</v>
      </c>
      <c r="Q60" s="1"/>
      <c r="R60" s="5">
        <f t="shared" ref="R60:R64" si="50">IF(P$12=0,0,P60/P$12)</f>
        <v>0</v>
      </c>
      <c r="S60" s="1"/>
      <c r="T60" s="1">
        <f>SUM(OSRRefT22_9x_0)</f>
        <v>13200</v>
      </c>
      <c r="U60" s="1"/>
      <c r="V60" s="5">
        <f t="shared" ref="V60:V64" si="51">IF(T$12=0,0,T60/T$12)</f>
        <v>7.1347494730014588E-2</v>
      </c>
      <c r="W60" s="1"/>
      <c r="X60" s="1">
        <f t="shared" ref="X60:X64" si="52">+P60-T60</f>
        <v>-12940</v>
      </c>
      <c r="Y60" s="1"/>
      <c r="Z60" s="5">
        <f t="shared" ref="Z60:Z64" si="53">IF(T60=0,0,X60/T60)</f>
        <v>-0.98030303030303034</v>
      </c>
    </row>
    <row r="61" spans="1:26" s="24" customFormat="1" hidden="1" outlineLevel="2" x14ac:dyDescent="0.3">
      <c r="A61" s="27"/>
      <c r="B61" s="11" t="str">
        <f>CONCATENATE("          ", "6283", " - ", "PLANT SERVICE")</f>
        <v xml:space="preserve">          6283 - PLANT SERVICE</v>
      </c>
      <c r="C61" s="11"/>
      <c r="D61" s="6"/>
      <c r="E61" s="2"/>
      <c r="F61" s="7">
        <f t="shared" si="46"/>
        <v>0</v>
      </c>
      <c r="G61" s="2"/>
      <c r="H61" s="6">
        <v>100</v>
      </c>
      <c r="I61" s="2"/>
      <c r="J61" s="7">
        <f t="shared" si="47"/>
        <v>2.9069767441860465E-3</v>
      </c>
      <c r="K61" s="2"/>
      <c r="L61" s="6">
        <f t="shared" si="48"/>
        <v>-100</v>
      </c>
      <c r="M61" s="2"/>
      <c r="N61" s="7">
        <f t="shared" si="49"/>
        <v>-1</v>
      </c>
      <c r="O61" s="11"/>
      <c r="P61" s="6"/>
      <c r="Q61" s="2"/>
      <c r="R61" s="7">
        <f t="shared" si="50"/>
        <v>0</v>
      </c>
      <c r="S61" s="2"/>
      <c r="T61" s="6">
        <v>500</v>
      </c>
      <c r="U61" s="2"/>
      <c r="V61" s="7">
        <f t="shared" si="51"/>
        <v>2.7025566185611589E-3</v>
      </c>
      <c r="W61" s="2"/>
      <c r="X61" s="6">
        <f t="shared" si="52"/>
        <v>-500</v>
      </c>
      <c r="Y61" s="2"/>
      <c r="Z61" s="7">
        <f t="shared" si="53"/>
        <v>-1</v>
      </c>
    </row>
    <row r="62" spans="1:26" s="24" customFormat="1" hidden="1" outlineLevel="2" x14ac:dyDescent="0.3">
      <c r="A62" s="27"/>
      <c r="B62" s="11" t="str">
        <f>CONCATENATE("          ", "6284", " - ", "TRASH REMOVAL EXPENSE")</f>
        <v xml:space="preserve">          6284 - TRASH REMOVAL EXPENSE</v>
      </c>
      <c r="C62" s="11"/>
      <c r="D62" s="6"/>
      <c r="E62" s="2"/>
      <c r="F62" s="7">
        <f t="shared" si="46"/>
        <v>0</v>
      </c>
      <c r="G62" s="2"/>
      <c r="H62" s="6"/>
      <c r="I62" s="2"/>
      <c r="J62" s="7">
        <f t="shared" si="47"/>
        <v>0</v>
      </c>
      <c r="K62" s="2"/>
      <c r="L62" s="6">
        <f t="shared" si="48"/>
        <v>0</v>
      </c>
      <c r="M62" s="2"/>
      <c r="N62" s="7">
        <f t="shared" si="49"/>
        <v>0</v>
      </c>
      <c r="O62" s="11"/>
      <c r="P62" s="6"/>
      <c r="Q62" s="2"/>
      <c r="R62" s="7">
        <f t="shared" si="50"/>
        <v>0</v>
      </c>
      <c r="S62" s="2"/>
      <c r="T62" s="6">
        <v>0</v>
      </c>
      <c r="U62" s="2"/>
      <c r="V62" s="7">
        <f t="shared" si="51"/>
        <v>0</v>
      </c>
      <c r="W62" s="2"/>
      <c r="X62" s="6">
        <f t="shared" si="52"/>
        <v>0</v>
      </c>
      <c r="Y62" s="2"/>
      <c r="Z62" s="7">
        <f t="shared" si="53"/>
        <v>0</v>
      </c>
    </row>
    <row r="63" spans="1:26" s="24" customFormat="1" hidden="1" outlineLevel="2" x14ac:dyDescent="0.3">
      <c r="A63" s="27"/>
      <c r="B63" s="11" t="str">
        <f>CONCATENATE("          ", "6285", " - ", "JANITORIAL SERVICES")</f>
        <v xml:space="preserve">          6285 - JANITORIAL SERVICES</v>
      </c>
      <c r="C63" s="11"/>
      <c r="D63" s="6"/>
      <c r="E63" s="2"/>
      <c r="F63" s="7">
        <f t="shared" si="46"/>
        <v>0</v>
      </c>
      <c r="G63" s="2"/>
      <c r="H63" s="6">
        <v>3100</v>
      </c>
      <c r="I63" s="2"/>
      <c r="J63" s="7">
        <f t="shared" si="47"/>
        <v>9.0116279069767435E-2</v>
      </c>
      <c r="K63" s="2"/>
      <c r="L63" s="6">
        <f t="shared" si="48"/>
        <v>-3100</v>
      </c>
      <c r="M63" s="2"/>
      <c r="N63" s="7">
        <f t="shared" si="49"/>
        <v>-1</v>
      </c>
      <c r="O63" s="11"/>
      <c r="P63" s="6">
        <v>260</v>
      </c>
      <c r="Q63" s="2"/>
      <c r="R63" s="7">
        <f t="shared" si="50"/>
        <v>0</v>
      </c>
      <c r="S63" s="2"/>
      <c r="T63" s="6">
        <v>12400</v>
      </c>
      <c r="U63" s="2"/>
      <c r="V63" s="7">
        <f t="shared" si="51"/>
        <v>6.7023404140316739E-2</v>
      </c>
      <c r="W63" s="2"/>
      <c r="X63" s="6">
        <f t="shared" si="52"/>
        <v>-12140</v>
      </c>
      <c r="Y63" s="2"/>
      <c r="Z63" s="7">
        <f t="shared" si="53"/>
        <v>-0.9790322580645161</v>
      </c>
    </row>
    <row r="64" spans="1:26" s="24" customFormat="1" hidden="1" outlineLevel="2" x14ac:dyDescent="0.3">
      <c r="A64" s="27"/>
      <c r="B64" s="11" t="str">
        <f>CONCATENATE("          ", "6286", " - ", "LAUNDRY EXPENSE")</f>
        <v xml:space="preserve">          6286 - LAUNDRY EXPENSE</v>
      </c>
      <c r="C64" s="11"/>
      <c r="D64" s="6"/>
      <c r="E64" s="2"/>
      <c r="F64" s="7">
        <f t="shared" si="46"/>
        <v>0</v>
      </c>
      <c r="G64" s="2"/>
      <c r="H64" s="6">
        <v>25</v>
      </c>
      <c r="I64" s="2"/>
      <c r="J64" s="7">
        <f t="shared" si="47"/>
        <v>7.2674418604651162E-4</v>
      </c>
      <c r="K64" s="2"/>
      <c r="L64" s="6">
        <f t="shared" si="48"/>
        <v>-25</v>
      </c>
      <c r="M64" s="2"/>
      <c r="N64" s="7">
        <f t="shared" si="49"/>
        <v>-1</v>
      </c>
      <c r="O64" s="11"/>
      <c r="P64" s="6"/>
      <c r="Q64" s="2"/>
      <c r="R64" s="7">
        <f t="shared" si="50"/>
        <v>0</v>
      </c>
      <c r="S64" s="2"/>
      <c r="T64" s="6">
        <v>300</v>
      </c>
      <c r="U64" s="2"/>
      <c r="V64" s="7">
        <f t="shared" si="51"/>
        <v>1.6215339711366952E-3</v>
      </c>
      <c r="W64" s="2"/>
      <c r="X64" s="6">
        <f t="shared" si="52"/>
        <v>-300</v>
      </c>
      <c r="Y64" s="2"/>
      <c r="Z64" s="7">
        <f t="shared" si="53"/>
        <v>-1</v>
      </c>
    </row>
    <row r="65" spans="1:26" s="29" customFormat="1" outlineLevel="1" collapsed="1" x14ac:dyDescent="0.3">
      <c r="A65" s="28"/>
      <c r="B65" s="14" t="str">
        <f>CONCATENATE("     ","Subscriptions &amp; Dues                              ")</f>
        <v xml:space="preserve">     Subscriptions &amp; Dues                              </v>
      </c>
      <c r="C65" s="14"/>
      <c r="D65" s="1">
        <f>SUM(OSRRefD22_10x_0)</f>
        <v>196.96</v>
      </c>
      <c r="E65" s="1"/>
      <c r="F65" s="5">
        <f t="shared" ref="F65:F75" si="54">IF(D$12=0,0,D65/D$12)</f>
        <v>0</v>
      </c>
      <c r="G65" s="1"/>
      <c r="H65" s="1">
        <f>SUM(OSRRefH22_10x_0)</f>
        <v>200</v>
      </c>
      <c r="I65" s="1"/>
      <c r="J65" s="5">
        <f t="shared" ref="J65:J75" si="55">IF(H$12=0,0,H65/H$12)</f>
        <v>5.8139534883720929E-3</v>
      </c>
      <c r="K65" s="1"/>
      <c r="L65" s="1">
        <f t="shared" ref="L65:L75" si="56">+D65-H65</f>
        <v>-3.039999999999992</v>
      </c>
      <c r="M65" s="1"/>
      <c r="N65" s="5">
        <f t="shared" ref="N65:N75" si="57">IF(H65=0,0,L65/H65)</f>
        <v>-1.519999999999996E-2</v>
      </c>
      <c r="O65" s="14"/>
      <c r="P65" s="1">
        <f>SUM(OSRRefP22_10x_0)</f>
        <v>590.66999999999996</v>
      </c>
      <c r="Q65" s="1"/>
      <c r="R65" s="5">
        <f t="shared" ref="R65:R75" si="58">IF(P$12=0,0,P65/P$12)</f>
        <v>0</v>
      </c>
      <c r="S65" s="1"/>
      <c r="T65" s="1">
        <f>SUM(OSRRefT22_10x_0)</f>
        <v>800</v>
      </c>
      <c r="U65" s="1"/>
      <c r="V65" s="5">
        <f t="shared" ref="V65:V75" si="59">IF(T$12=0,0,T65/T$12)</f>
        <v>4.324090589697854E-3</v>
      </c>
      <c r="W65" s="1"/>
      <c r="X65" s="1">
        <f t="shared" ref="X65:X75" si="60">+P65-T65</f>
        <v>-209.33000000000004</v>
      </c>
      <c r="Y65" s="1"/>
      <c r="Z65" s="5">
        <f t="shared" ref="Z65:Z75" si="61">IF(T65=0,0,X65/T65)</f>
        <v>-0.26166250000000008</v>
      </c>
    </row>
    <row r="66" spans="1:26" s="24" customFormat="1" hidden="1" outlineLevel="2" x14ac:dyDescent="0.3">
      <c r="A66" s="27"/>
      <c r="B66" s="11" t="str">
        <f>CONCATENATE("          ", "6275", " - ", "SUBSCRIPTIONS")</f>
        <v xml:space="preserve">          6275 - SUBSCRIPTIONS</v>
      </c>
      <c r="C66" s="11"/>
      <c r="D66" s="6">
        <v>196.96</v>
      </c>
      <c r="E66" s="2"/>
      <c r="F66" s="7">
        <f t="shared" si="54"/>
        <v>0</v>
      </c>
      <c r="G66" s="2"/>
      <c r="H66" s="6">
        <v>200</v>
      </c>
      <c r="I66" s="2"/>
      <c r="J66" s="7">
        <f t="shared" si="55"/>
        <v>5.8139534883720929E-3</v>
      </c>
      <c r="K66" s="2"/>
      <c r="L66" s="6">
        <f t="shared" si="56"/>
        <v>-3.039999999999992</v>
      </c>
      <c r="M66" s="2"/>
      <c r="N66" s="7">
        <f t="shared" si="57"/>
        <v>-1.519999999999996E-2</v>
      </c>
      <c r="O66" s="11"/>
      <c r="P66" s="6">
        <v>590.66999999999996</v>
      </c>
      <c r="Q66" s="2"/>
      <c r="R66" s="7">
        <f t="shared" si="58"/>
        <v>0</v>
      </c>
      <c r="S66" s="2"/>
      <c r="T66" s="6">
        <v>800</v>
      </c>
      <c r="U66" s="2"/>
      <c r="V66" s="7">
        <f t="shared" si="59"/>
        <v>4.324090589697854E-3</v>
      </c>
      <c r="W66" s="2"/>
      <c r="X66" s="6">
        <f t="shared" si="60"/>
        <v>-209.33000000000004</v>
      </c>
      <c r="Y66" s="2"/>
      <c r="Z66" s="7">
        <f t="shared" si="61"/>
        <v>-0.26166250000000008</v>
      </c>
    </row>
    <row r="67" spans="1:26" s="29" customFormat="1" outlineLevel="1" collapsed="1" x14ac:dyDescent="0.3">
      <c r="A67" s="28"/>
      <c r="B67" s="14" t="str">
        <f>CONCATENATE("     ","Supplies                                          ")</f>
        <v xml:space="preserve">     Supplies                                          </v>
      </c>
      <c r="C67" s="14"/>
      <c r="D67" s="1">
        <f>SUM(OSRRefD22_11x_0)</f>
        <v>0</v>
      </c>
      <c r="E67" s="1"/>
      <c r="F67" s="5">
        <f t="shared" si="54"/>
        <v>0</v>
      </c>
      <c r="G67" s="1"/>
      <c r="H67" s="1">
        <f>SUM(OSRRefH22_11x_0)</f>
        <v>500</v>
      </c>
      <c r="I67" s="1"/>
      <c r="J67" s="5">
        <f t="shared" si="55"/>
        <v>1.4534883720930232E-2</v>
      </c>
      <c r="K67" s="1"/>
      <c r="L67" s="1">
        <f t="shared" si="56"/>
        <v>-500</v>
      </c>
      <c r="M67" s="1"/>
      <c r="N67" s="5">
        <f t="shared" si="57"/>
        <v>-1</v>
      </c>
      <c r="O67" s="14"/>
      <c r="P67" s="1">
        <f>SUM(OSRRefP22_11x_0)</f>
        <v>2201.2800000000002</v>
      </c>
      <c r="Q67" s="1"/>
      <c r="R67" s="5">
        <f t="shared" si="58"/>
        <v>0</v>
      </c>
      <c r="S67" s="1"/>
      <c r="T67" s="1">
        <f>SUM(OSRRefT22_11x_0)</f>
        <v>8850</v>
      </c>
      <c r="U67" s="1"/>
      <c r="V67" s="5">
        <f t="shared" si="59"/>
        <v>4.7835252148532514E-2</v>
      </c>
      <c r="W67" s="1"/>
      <c r="X67" s="1">
        <f t="shared" si="60"/>
        <v>-6648.7199999999993</v>
      </c>
      <c r="Y67" s="1"/>
      <c r="Z67" s="5">
        <f t="shared" si="61"/>
        <v>-0.7512677966101694</v>
      </c>
    </row>
    <row r="68" spans="1:26" s="24" customFormat="1" hidden="1" outlineLevel="2" x14ac:dyDescent="0.3">
      <c r="A68" s="27"/>
      <c r="B68" s="11" t="str">
        <f>CONCATENATE("          ", "6235", " - ", "COVID-19 EXPENSES")</f>
        <v xml:space="preserve">          6235 - COVID-19 EXPENSES</v>
      </c>
      <c r="C68" s="11"/>
      <c r="D68" s="6"/>
      <c r="E68" s="2"/>
      <c r="F68" s="7">
        <f t="shared" si="54"/>
        <v>0</v>
      </c>
      <c r="G68" s="2"/>
      <c r="H68" s="6">
        <v>175</v>
      </c>
      <c r="I68" s="2"/>
      <c r="J68" s="7">
        <f t="shared" si="55"/>
        <v>5.0872093023255818E-3</v>
      </c>
      <c r="K68" s="2"/>
      <c r="L68" s="6">
        <f t="shared" si="56"/>
        <v>-175</v>
      </c>
      <c r="M68" s="2"/>
      <c r="N68" s="7">
        <f t="shared" si="57"/>
        <v>-1</v>
      </c>
      <c r="O68" s="11"/>
      <c r="P68" s="6"/>
      <c r="Q68" s="2"/>
      <c r="R68" s="7">
        <f t="shared" si="58"/>
        <v>0</v>
      </c>
      <c r="S68" s="2"/>
      <c r="T68" s="6">
        <v>950</v>
      </c>
      <c r="U68" s="2"/>
      <c r="V68" s="7">
        <f t="shared" si="59"/>
        <v>5.1348575752662015E-3</v>
      </c>
      <c r="W68" s="2"/>
      <c r="X68" s="6">
        <f t="shared" si="60"/>
        <v>-950</v>
      </c>
      <c r="Y68" s="2"/>
      <c r="Z68" s="7">
        <f t="shared" si="61"/>
        <v>-1</v>
      </c>
    </row>
    <row r="69" spans="1:26" s="24" customFormat="1" hidden="1" outlineLevel="2" x14ac:dyDescent="0.3">
      <c r="A69" s="27"/>
      <c r="B69" s="11" t="str">
        <f>CONCATENATE("          ", "6237", " - ", "JANITORIAL SUPPLIES")</f>
        <v xml:space="preserve">          6237 - JANITORIAL SUPPLIES</v>
      </c>
      <c r="C69" s="11"/>
      <c r="D69" s="6"/>
      <c r="E69" s="2"/>
      <c r="F69" s="7">
        <f t="shared" si="54"/>
        <v>0</v>
      </c>
      <c r="G69" s="2"/>
      <c r="H69" s="6">
        <v>75</v>
      </c>
      <c r="I69" s="2"/>
      <c r="J69" s="7">
        <f t="shared" si="55"/>
        <v>2.1802325581395349E-3</v>
      </c>
      <c r="K69" s="2"/>
      <c r="L69" s="6">
        <f t="shared" si="56"/>
        <v>-75</v>
      </c>
      <c r="M69" s="2"/>
      <c r="N69" s="7">
        <f t="shared" si="57"/>
        <v>-1</v>
      </c>
      <c r="O69" s="11"/>
      <c r="P69" s="6">
        <v>796.76</v>
      </c>
      <c r="Q69" s="2"/>
      <c r="R69" s="7">
        <f t="shared" si="58"/>
        <v>0</v>
      </c>
      <c r="S69" s="2"/>
      <c r="T69" s="6">
        <v>550</v>
      </c>
      <c r="U69" s="2"/>
      <c r="V69" s="7">
        <f t="shared" si="59"/>
        <v>2.9728122804172749E-3</v>
      </c>
      <c r="W69" s="2"/>
      <c r="X69" s="6">
        <f t="shared" si="60"/>
        <v>246.76</v>
      </c>
      <c r="Y69" s="2"/>
      <c r="Z69" s="7">
        <f t="shared" si="61"/>
        <v>0.44865454545454542</v>
      </c>
    </row>
    <row r="70" spans="1:26" s="24" customFormat="1" hidden="1" outlineLevel="2" x14ac:dyDescent="0.3">
      <c r="A70" s="27"/>
      <c r="B70" s="11" t="str">
        <f>CONCATENATE("          ", "6239", " - ", "KITCHEN SUPPLIES")</f>
        <v xml:space="preserve">          6239 - KITCHEN SUPPLIES</v>
      </c>
      <c r="C70" s="11"/>
      <c r="D70" s="6"/>
      <c r="E70" s="2"/>
      <c r="F70" s="7">
        <f t="shared" si="54"/>
        <v>0</v>
      </c>
      <c r="G70" s="2"/>
      <c r="H70" s="6"/>
      <c r="I70" s="2"/>
      <c r="J70" s="7">
        <f t="shared" si="55"/>
        <v>0</v>
      </c>
      <c r="K70" s="2"/>
      <c r="L70" s="6">
        <f t="shared" si="56"/>
        <v>0</v>
      </c>
      <c r="M70" s="2"/>
      <c r="N70" s="7">
        <f t="shared" si="57"/>
        <v>0</v>
      </c>
      <c r="O70" s="11"/>
      <c r="P70" s="6">
        <v>69.62</v>
      </c>
      <c r="Q70" s="2"/>
      <c r="R70" s="7">
        <f t="shared" si="58"/>
        <v>0</v>
      </c>
      <c r="S70" s="2"/>
      <c r="T70" s="6">
        <v>5000</v>
      </c>
      <c r="U70" s="2"/>
      <c r="V70" s="7">
        <f t="shared" si="59"/>
        <v>2.7025566185611589E-2</v>
      </c>
      <c r="W70" s="2"/>
      <c r="X70" s="6">
        <f t="shared" si="60"/>
        <v>-4930.38</v>
      </c>
      <c r="Y70" s="2"/>
      <c r="Z70" s="7">
        <f t="shared" si="61"/>
        <v>-0.98607600000000006</v>
      </c>
    </row>
    <row r="71" spans="1:26" s="24" customFormat="1" hidden="1" outlineLevel="2" x14ac:dyDescent="0.3">
      <c r="A71" s="27"/>
      <c r="B71" s="11" t="str">
        <f>CONCATENATE("          ", "6241", " - ", "OFFICE EXPENSE")</f>
        <v xml:space="preserve">          6241 - OFFICE EXPENSE</v>
      </c>
      <c r="C71" s="11"/>
      <c r="D71" s="6"/>
      <c r="E71" s="2"/>
      <c r="F71" s="7">
        <f t="shared" si="54"/>
        <v>0</v>
      </c>
      <c r="G71" s="2"/>
      <c r="H71" s="6"/>
      <c r="I71" s="2"/>
      <c r="J71" s="7">
        <f t="shared" si="55"/>
        <v>0</v>
      </c>
      <c r="K71" s="2"/>
      <c r="L71" s="6">
        <f t="shared" si="56"/>
        <v>0</v>
      </c>
      <c r="M71" s="2"/>
      <c r="N71" s="7">
        <f t="shared" si="57"/>
        <v>0</v>
      </c>
      <c r="O71" s="11"/>
      <c r="P71" s="6">
        <v>858.71</v>
      </c>
      <c r="Q71" s="2"/>
      <c r="R71" s="7">
        <f t="shared" si="58"/>
        <v>0</v>
      </c>
      <c r="S71" s="2"/>
      <c r="T71" s="6"/>
      <c r="U71" s="2"/>
      <c r="V71" s="7">
        <f t="shared" si="59"/>
        <v>0</v>
      </c>
      <c r="W71" s="2"/>
      <c r="X71" s="6">
        <f t="shared" si="60"/>
        <v>858.71</v>
      </c>
      <c r="Y71" s="2"/>
      <c r="Z71" s="7">
        <f t="shared" si="61"/>
        <v>0</v>
      </c>
    </row>
    <row r="72" spans="1:26" s="24" customFormat="1" hidden="1" outlineLevel="2" x14ac:dyDescent="0.3">
      <c r="A72" s="27"/>
      <c r="B72" s="11" t="str">
        <f>CONCATENATE("          ", "6243", " - ", "PAPER SUPPLIES")</f>
        <v xml:space="preserve">          6243 - PAPER SUPPLIES</v>
      </c>
      <c r="C72" s="11"/>
      <c r="D72" s="6"/>
      <c r="E72" s="2"/>
      <c r="F72" s="7">
        <f t="shared" si="54"/>
        <v>0</v>
      </c>
      <c r="G72" s="2"/>
      <c r="H72" s="6">
        <v>200</v>
      </c>
      <c r="I72" s="2"/>
      <c r="J72" s="7">
        <f t="shared" si="55"/>
        <v>5.8139534883720929E-3</v>
      </c>
      <c r="K72" s="2"/>
      <c r="L72" s="6">
        <f t="shared" si="56"/>
        <v>-200</v>
      </c>
      <c r="M72" s="2"/>
      <c r="N72" s="7">
        <f t="shared" si="57"/>
        <v>-1</v>
      </c>
      <c r="O72" s="11"/>
      <c r="P72" s="6">
        <v>138.19</v>
      </c>
      <c r="Q72" s="2"/>
      <c r="R72" s="7">
        <f t="shared" si="58"/>
        <v>0</v>
      </c>
      <c r="S72" s="2"/>
      <c r="T72" s="6">
        <v>1050</v>
      </c>
      <c r="U72" s="2"/>
      <c r="V72" s="7">
        <f t="shared" si="59"/>
        <v>5.6753688989784334E-3</v>
      </c>
      <c r="W72" s="2"/>
      <c r="X72" s="6">
        <f t="shared" si="60"/>
        <v>-911.81</v>
      </c>
      <c r="Y72" s="2"/>
      <c r="Z72" s="7">
        <f t="shared" si="61"/>
        <v>-0.86839047619047616</v>
      </c>
    </row>
    <row r="73" spans="1:26" s="24" customFormat="1" hidden="1" outlineLevel="2" x14ac:dyDescent="0.3">
      <c r="A73" s="27"/>
      <c r="B73" s="11" t="str">
        <f>CONCATENATE("          ", "6244", " - ", "SAFETY SUPPLY EXPENSE")</f>
        <v xml:space="preserve">          6244 - SAFETY SUPPLY EXPENSE</v>
      </c>
      <c r="C73" s="11"/>
      <c r="D73" s="6"/>
      <c r="E73" s="2"/>
      <c r="F73" s="7">
        <f t="shared" si="54"/>
        <v>0</v>
      </c>
      <c r="G73" s="2"/>
      <c r="H73" s="6"/>
      <c r="I73" s="2"/>
      <c r="J73" s="7">
        <f t="shared" si="55"/>
        <v>0</v>
      </c>
      <c r="K73" s="2"/>
      <c r="L73" s="6">
        <f t="shared" si="56"/>
        <v>0</v>
      </c>
      <c r="M73" s="2"/>
      <c r="N73" s="7">
        <f t="shared" si="57"/>
        <v>0</v>
      </c>
      <c r="O73" s="11"/>
      <c r="P73" s="6"/>
      <c r="Q73" s="2"/>
      <c r="R73" s="7">
        <f t="shared" si="58"/>
        <v>0</v>
      </c>
      <c r="S73" s="2"/>
      <c r="T73" s="6">
        <v>50</v>
      </c>
      <c r="U73" s="2"/>
      <c r="V73" s="7">
        <f t="shared" si="59"/>
        <v>2.7025566185611587E-4</v>
      </c>
      <c r="W73" s="2"/>
      <c r="X73" s="6">
        <f t="shared" si="60"/>
        <v>-50</v>
      </c>
      <c r="Y73" s="2"/>
      <c r="Z73" s="7">
        <f t="shared" si="61"/>
        <v>-1</v>
      </c>
    </row>
    <row r="74" spans="1:26" s="24" customFormat="1" hidden="1" outlineLevel="2" x14ac:dyDescent="0.3">
      <c r="A74" s="27"/>
      <c r="B74" s="11" t="str">
        <f>CONCATENATE("          ", "6245", " - ", "PRINTING")</f>
        <v xml:space="preserve">          6245 - PRINTING</v>
      </c>
      <c r="C74" s="11"/>
      <c r="D74" s="6"/>
      <c r="E74" s="2"/>
      <c r="F74" s="7">
        <f t="shared" si="54"/>
        <v>0</v>
      </c>
      <c r="G74" s="2"/>
      <c r="H74" s="6">
        <v>50</v>
      </c>
      <c r="I74" s="2"/>
      <c r="J74" s="7">
        <f t="shared" si="55"/>
        <v>1.4534883720930232E-3</v>
      </c>
      <c r="K74" s="2"/>
      <c r="L74" s="6">
        <f t="shared" si="56"/>
        <v>-50</v>
      </c>
      <c r="M74" s="2"/>
      <c r="N74" s="7">
        <f t="shared" si="57"/>
        <v>-1</v>
      </c>
      <c r="O74" s="11"/>
      <c r="P74" s="6">
        <v>338</v>
      </c>
      <c r="Q74" s="2"/>
      <c r="R74" s="7">
        <f t="shared" si="58"/>
        <v>0</v>
      </c>
      <c r="S74" s="2"/>
      <c r="T74" s="6">
        <v>450</v>
      </c>
      <c r="U74" s="2"/>
      <c r="V74" s="7">
        <f t="shared" si="59"/>
        <v>2.432300956705043E-3</v>
      </c>
      <c r="W74" s="2"/>
      <c r="X74" s="6">
        <f t="shared" si="60"/>
        <v>-112</v>
      </c>
      <c r="Y74" s="2"/>
      <c r="Z74" s="7">
        <f t="shared" si="61"/>
        <v>-0.24888888888888888</v>
      </c>
    </row>
    <row r="75" spans="1:26" s="24" customFormat="1" hidden="1" outlineLevel="2" x14ac:dyDescent="0.3">
      <c r="A75" s="27"/>
      <c r="B75" s="11" t="str">
        <f>CONCATENATE("          ", "6248", " - ", "UNIFORMS")</f>
        <v xml:space="preserve">          6248 - UNIFORMS</v>
      </c>
      <c r="C75" s="11"/>
      <c r="D75" s="6"/>
      <c r="E75" s="2"/>
      <c r="F75" s="7">
        <f t="shared" si="54"/>
        <v>0</v>
      </c>
      <c r="G75" s="2"/>
      <c r="H75" s="6"/>
      <c r="I75" s="2"/>
      <c r="J75" s="7">
        <f t="shared" si="55"/>
        <v>0</v>
      </c>
      <c r="K75" s="2"/>
      <c r="L75" s="6">
        <f t="shared" si="56"/>
        <v>0</v>
      </c>
      <c r="M75" s="2"/>
      <c r="N75" s="7">
        <f t="shared" si="57"/>
        <v>0</v>
      </c>
      <c r="O75" s="11"/>
      <c r="P75" s="6"/>
      <c r="Q75" s="2"/>
      <c r="R75" s="7">
        <f t="shared" si="58"/>
        <v>0</v>
      </c>
      <c r="S75" s="2"/>
      <c r="T75" s="6">
        <v>800</v>
      </c>
      <c r="U75" s="2"/>
      <c r="V75" s="7">
        <f t="shared" si="59"/>
        <v>4.324090589697854E-3</v>
      </c>
      <c r="W75" s="2"/>
      <c r="X75" s="6">
        <f t="shared" si="60"/>
        <v>-800</v>
      </c>
      <c r="Y75" s="2"/>
      <c r="Z75" s="7">
        <f t="shared" si="61"/>
        <v>-1</v>
      </c>
    </row>
    <row r="76" spans="1:26" s="29" customFormat="1" outlineLevel="1" collapsed="1" x14ac:dyDescent="0.3">
      <c r="A76" s="28"/>
      <c r="B76" s="14" t="str">
        <f>CONCATENATE("     ","Telephone/Data Lines                              ")</f>
        <v xml:space="preserve">     Telephone/Data Lines                              </v>
      </c>
      <c r="C76" s="14"/>
      <c r="D76" s="1">
        <f>SUM(OSRRefD22_12x_0)</f>
        <v>0</v>
      </c>
      <c r="E76" s="1"/>
      <c r="F76" s="5">
        <f t="shared" ref="F76:F78" si="62">IF(D$12=0,0,D76/D$12)</f>
        <v>0</v>
      </c>
      <c r="G76" s="1"/>
      <c r="H76" s="1">
        <f>SUM(OSRRefH22_12x_0)</f>
        <v>75</v>
      </c>
      <c r="I76" s="1"/>
      <c r="J76" s="5">
        <f t="shared" ref="J76:J78" si="63">IF(H$12=0,0,H76/H$12)</f>
        <v>2.1802325581395349E-3</v>
      </c>
      <c r="K76" s="1"/>
      <c r="L76" s="1">
        <f t="shared" ref="L76:L78" si="64">+D76-H76</f>
        <v>-75</v>
      </c>
      <c r="M76" s="1"/>
      <c r="N76" s="5">
        <f t="shared" ref="N76:N78" si="65">IF(H76=0,0,L76/H76)</f>
        <v>-1</v>
      </c>
      <c r="O76" s="14"/>
      <c r="P76" s="1">
        <f>SUM(OSRRefP22_12x_0)</f>
        <v>75</v>
      </c>
      <c r="Q76" s="1"/>
      <c r="R76" s="5">
        <f t="shared" ref="R76:R78" si="66">IF(P$12=0,0,P76/P$12)</f>
        <v>0</v>
      </c>
      <c r="S76" s="1"/>
      <c r="T76" s="1">
        <f>SUM(OSRRefT22_12x_0)</f>
        <v>675</v>
      </c>
      <c r="U76" s="1"/>
      <c r="V76" s="5">
        <f t="shared" ref="V76:V78" si="67">IF(T$12=0,0,T76/T$12)</f>
        <v>3.6484514350575647E-3</v>
      </c>
      <c r="W76" s="1"/>
      <c r="X76" s="1">
        <f t="shared" ref="X76:X78" si="68">+P76-T76</f>
        <v>-600</v>
      </c>
      <c r="Y76" s="1"/>
      <c r="Z76" s="5">
        <f t="shared" ref="Z76:Z78" si="69">IF(T76=0,0,X76/T76)</f>
        <v>-0.88888888888888884</v>
      </c>
    </row>
    <row r="77" spans="1:26" s="24" customFormat="1" hidden="1" outlineLevel="2" x14ac:dyDescent="0.3">
      <c r="A77" s="27"/>
      <c r="B77" s="11" t="str">
        <f>CONCATENATE("          ", "6303", " - ", "DATA PHONE LINES")</f>
        <v xml:space="preserve">          6303 - DATA PHONE LINES</v>
      </c>
      <c r="C77" s="11"/>
      <c r="D77" s="6"/>
      <c r="E77" s="2"/>
      <c r="F77" s="7">
        <f t="shared" si="62"/>
        <v>0</v>
      </c>
      <c r="G77" s="2"/>
      <c r="H77" s="6">
        <v>75</v>
      </c>
      <c r="I77" s="2"/>
      <c r="J77" s="7">
        <f t="shared" si="63"/>
        <v>2.1802325581395349E-3</v>
      </c>
      <c r="K77" s="2"/>
      <c r="L77" s="6">
        <f t="shared" si="64"/>
        <v>-75</v>
      </c>
      <c r="M77" s="2"/>
      <c r="N77" s="7">
        <f t="shared" si="65"/>
        <v>-1</v>
      </c>
      <c r="O77" s="11"/>
      <c r="P77" s="6"/>
      <c r="Q77" s="2"/>
      <c r="R77" s="7">
        <f t="shared" si="66"/>
        <v>0</v>
      </c>
      <c r="S77" s="2"/>
      <c r="T77" s="6">
        <v>375</v>
      </c>
      <c r="U77" s="2"/>
      <c r="V77" s="7">
        <f t="shared" si="67"/>
        <v>2.0269174639208692E-3</v>
      </c>
      <c r="W77" s="2"/>
      <c r="X77" s="6">
        <f t="shared" si="68"/>
        <v>-375</v>
      </c>
      <c r="Y77" s="2"/>
      <c r="Z77" s="7">
        <f t="shared" si="69"/>
        <v>-1</v>
      </c>
    </row>
    <row r="78" spans="1:26" s="24" customFormat="1" hidden="1" outlineLevel="2" x14ac:dyDescent="0.3">
      <c r="A78" s="27"/>
      <c r="B78" s="11" t="str">
        <f>CONCATENATE("          ", "6309", " - ", "TELEPHONE")</f>
        <v xml:space="preserve">          6309 - TELEPHONE</v>
      </c>
      <c r="C78" s="11"/>
      <c r="D78" s="6">
        <v>0</v>
      </c>
      <c r="E78" s="2"/>
      <c r="F78" s="7">
        <f t="shared" si="62"/>
        <v>0</v>
      </c>
      <c r="G78" s="2"/>
      <c r="H78" s="6"/>
      <c r="I78" s="2"/>
      <c r="J78" s="7">
        <f t="shared" si="63"/>
        <v>0</v>
      </c>
      <c r="K78" s="2"/>
      <c r="L78" s="6">
        <f t="shared" si="64"/>
        <v>0</v>
      </c>
      <c r="M78" s="2"/>
      <c r="N78" s="7">
        <f t="shared" si="65"/>
        <v>0</v>
      </c>
      <c r="O78" s="11"/>
      <c r="P78" s="6">
        <v>75</v>
      </c>
      <c r="Q78" s="2"/>
      <c r="R78" s="7">
        <f t="shared" si="66"/>
        <v>0</v>
      </c>
      <c r="S78" s="2"/>
      <c r="T78" s="6">
        <v>300</v>
      </c>
      <c r="U78" s="2"/>
      <c r="V78" s="7">
        <f t="shared" si="67"/>
        <v>1.6215339711366952E-3</v>
      </c>
      <c r="W78" s="2"/>
      <c r="X78" s="6">
        <f t="shared" si="68"/>
        <v>-225</v>
      </c>
      <c r="Y78" s="2"/>
      <c r="Z78" s="7">
        <f t="shared" si="69"/>
        <v>-0.75</v>
      </c>
    </row>
    <row r="79" spans="1:26" s="29" customFormat="1" outlineLevel="1" collapsed="1" x14ac:dyDescent="0.3">
      <c r="A79" s="28"/>
      <c r="B79" s="14" t="str">
        <f>CONCATENATE("     ","Training                                          ")</f>
        <v xml:space="preserve">     Training                                          </v>
      </c>
      <c r="C79" s="14"/>
      <c r="D79" s="1">
        <f>SUM(OSRRefD22_13x_0)</f>
        <v>0</v>
      </c>
      <c r="E79" s="1"/>
      <c r="F79" s="5">
        <f t="shared" ref="F79:F82" si="70">IF(D$12=0,0,D79/D$12)</f>
        <v>0</v>
      </c>
      <c r="G79" s="1"/>
      <c r="H79" s="1">
        <f>SUM(OSRRefH22_13x_0)</f>
        <v>0</v>
      </c>
      <c r="I79" s="1"/>
      <c r="J79" s="5">
        <f t="shared" ref="J79:J82" si="71">IF(H$12=0,0,H79/H$12)</f>
        <v>0</v>
      </c>
      <c r="K79" s="1"/>
      <c r="L79" s="1">
        <f t="shared" ref="L79:L82" si="72">+D79-H79</f>
        <v>0</v>
      </c>
      <c r="M79" s="1"/>
      <c r="N79" s="5">
        <f t="shared" ref="N79:N82" si="73">IF(H79=0,0,L79/H79)</f>
        <v>0</v>
      </c>
      <c r="O79" s="14"/>
      <c r="P79" s="1">
        <f>SUM(OSRRefP22_13x_0)</f>
        <v>0</v>
      </c>
      <c r="Q79" s="1"/>
      <c r="R79" s="5">
        <f t="shared" ref="R79:R82" si="74">IF(P$12=0,0,P79/P$12)</f>
        <v>0</v>
      </c>
      <c r="S79" s="1"/>
      <c r="T79" s="1">
        <f>SUM(OSRRefT22_13x_0)</f>
        <v>200</v>
      </c>
      <c r="U79" s="1"/>
      <c r="V79" s="5">
        <f t="shared" ref="V79:V82" si="75">IF(T$12=0,0,T79/T$12)</f>
        <v>1.0810226474244635E-3</v>
      </c>
      <c r="W79" s="1"/>
      <c r="X79" s="1">
        <f t="shared" ref="X79:X82" si="76">+P79-T79</f>
        <v>-200</v>
      </c>
      <c r="Y79" s="1"/>
      <c r="Z79" s="5">
        <f t="shared" ref="Z79:Z82" si="77">IF(T79=0,0,X79/T79)</f>
        <v>-1</v>
      </c>
    </row>
    <row r="80" spans="1:26" s="24" customFormat="1" hidden="1" outlineLevel="2" x14ac:dyDescent="0.3">
      <c r="A80" s="27"/>
      <c r="B80" s="11" t="str">
        <f>CONCATENATE("          ", "6376", " - ", "TRAINING")</f>
        <v xml:space="preserve">          6376 - TRAINING</v>
      </c>
      <c r="C80" s="11"/>
      <c r="D80" s="6"/>
      <c r="E80" s="2"/>
      <c r="F80" s="7">
        <f t="shared" si="70"/>
        <v>0</v>
      </c>
      <c r="G80" s="2"/>
      <c r="H80" s="6"/>
      <c r="I80" s="2"/>
      <c r="J80" s="7">
        <f t="shared" si="71"/>
        <v>0</v>
      </c>
      <c r="K80" s="2"/>
      <c r="L80" s="6">
        <f t="shared" si="72"/>
        <v>0</v>
      </c>
      <c r="M80" s="2"/>
      <c r="N80" s="7">
        <f t="shared" si="73"/>
        <v>0</v>
      </c>
      <c r="O80" s="11"/>
      <c r="P80" s="6"/>
      <c r="Q80" s="2"/>
      <c r="R80" s="7">
        <f t="shared" si="74"/>
        <v>0</v>
      </c>
      <c r="S80" s="2"/>
      <c r="T80" s="6">
        <v>200</v>
      </c>
      <c r="U80" s="2"/>
      <c r="V80" s="7">
        <f t="shared" si="75"/>
        <v>1.0810226474244635E-3</v>
      </c>
      <c r="W80" s="2"/>
      <c r="X80" s="6">
        <f t="shared" si="76"/>
        <v>-200</v>
      </c>
      <c r="Y80" s="2"/>
      <c r="Z80" s="7">
        <f t="shared" si="77"/>
        <v>-1</v>
      </c>
    </row>
    <row r="81" spans="1:26" s="29" customFormat="1" outlineLevel="1" collapsed="1" x14ac:dyDescent="0.3">
      <c r="A81" s="28"/>
      <c r="B81" s="14" t="str">
        <f>CONCATENATE("     ","Utilities                                         ")</f>
        <v xml:space="preserve">     Utilities                                         </v>
      </c>
      <c r="C81" s="14"/>
      <c r="D81" s="1">
        <f>SUM(OSRRefD22_14x_0)</f>
        <v>0</v>
      </c>
      <c r="E81" s="1"/>
      <c r="F81" s="5">
        <f t="shared" si="70"/>
        <v>0</v>
      </c>
      <c r="G81" s="1"/>
      <c r="H81" s="1">
        <f>SUM(OSRRefH22_14x_0)</f>
        <v>500</v>
      </c>
      <c r="I81" s="1"/>
      <c r="J81" s="5">
        <f t="shared" si="71"/>
        <v>1.4534883720930232E-2</v>
      </c>
      <c r="K81" s="1"/>
      <c r="L81" s="1">
        <f t="shared" si="72"/>
        <v>-500</v>
      </c>
      <c r="M81" s="1"/>
      <c r="N81" s="5">
        <f t="shared" si="73"/>
        <v>-1</v>
      </c>
      <c r="O81" s="14"/>
      <c r="P81" s="1">
        <f>SUM(OSRRefP22_14x_0)</f>
        <v>0</v>
      </c>
      <c r="Q81" s="1"/>
      <c r="R81" s="5">
        <f t="shared" si="74"/>
        <v>0</v>
      </c>
      <c r="S81" s="1"/>
      <c r="T81" s="1">
        <f>SUM(OSRRefT22_14x_0)</f>
        <v>2500</v>
      </c>
      <c r="U81" s="1"/>
      <c r="V81" s="5">
        <f t="shared" si="75"/>
        <v>1.3512783092805795E-2</v>
      </c>
      <c r="W81" s="1"/>
      <c r="X81" s="1">
        <f t="shared" si="76"/>
        <v>-2500</v>
      </c>
      <c r="Y81" s="1"/>
      <c r="Z81" s="5">
        <f t="shared" si="77"/>
        <v>-1</v>
      </c>
    </row>
    <row r="82" spans="1:26" s="24" customFormat="1" hidden="1" outlineLevel="2" x14ac:dyDescent="0.3">
      <c r="A82" s="27"/>
      <c r="B82" s="11" t="str">
        <f>CONCATENATE("          ", "6274", " - ", "UTILITIES")</f>
        <v xml:space="preserve">          6274 - UTILITIES</v>
      </c>
      <c r="C82" s="11"/>
      <c r="D82" s="6"/>
      <c r="E82" s="2"/>
      <c r="F82" s="7">
        <f t="shared" si="70"/>
        <v>0</v>
      </c>
      <c r="G82" s="2"/>
      <c r="H82" s="6">
        <v>500</v>
      </c>
      <c r="I82" s="2"/>
      <c r="J82" s="7">
        <f t="shared" si="71"/>
        <v>1.4534883720930232E-2</v>
      </c>
      <c r="K82" s="2"/>
      <c r="L82" s="6">
        <f t="shared" si="72"/>
        <v>-500</v>
      </c>
      <c r="M82" s="2"/>
      <c r="N82" s="7">
        <f t="shared" si="73"/>
        <v>-1</v>
      </c>
      <c r="O82" s="11"/>
      <c r="P82" s="6"/>
      <c r="Q82" s="2"/>
      <c r="R82" s="7">
        <f t="shared" si="74"/>
        <v>0</v>
      </c>
      <c r="S82" s="2"/>
      <c r="T82" s="6">
        <v>2500</v>
      </c>
      <c r="U82" s="2"/>
      <c r="V82" s="7">
        <f t="shared" si="75"/>
        <v>1.3512783092805795E-2</v>
      </c>
      <c r="W82" s="2"/>
      <c r="X82" s="6">
        <f t="shared" si="76"/>
        <v>-2500</v>
      </c>
      <c r="Y82" s="2"/>
      <c r="Z82" s="7">
        <f t="shared" si="77"/>
        <v>-1</v>
      </c>
    </row>
    <row r="83" spans="1:26" s="63" customFormat="1" x14ac:dyDescent="0.3">
      <c r="A83" s="36"/>
      <c r="B83" s="36"/>
      <c r="C83" s="36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6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collapsed="1" x14ac:dyDescent="0.3">
      <c r="A84" s="10"/>
      <c r="B84" s="25" t="s">
        <v>293</v>
      </c>
      <c r="C84" s="10"/>
      <c r="D84" s="4">
        <f>SUM(OSRRefD25x_0)</f>
        <v>0</v>
      </c>
      <c r="E84" s="4"/>
      <c r="F84" s="12">
        <f t="shared" ref="F84:F85" si="78">IF(D$12=0,0,D84/D$12)</f>
        <v>0</v>
      </c>
      <c r="G84" s="4"/>
      <c r="H84" s="4">
        <f>SUM(OSRRefH25x_0)</f>
        <v>0</v>
      </c>
      <c r="I84" s="4"/>
      <c r="J84" s="12">
        <f t="shared" ref="J84:J85" si="79">IF(H$12=0,0,H84/H$12)</f>
        <v>0</v>
      </c>
      <c r="K84" s="4"/>
      <c r="L84" s="4">
        <f t="shared" ref="L84:L85" si="80">+D84-H84</f>
        <v>0</v>
      </c>
      <c r="M84" s="4"/>
      <c r="N84" s="12">
        <f t="shared" ref="N84:N85" si="81">IF(H84=0,0,L84/H84)</f>
        <v>0</v>
      </c>
      <c r="O84" s="10"/>
      <c r="P84" s="4">
        <f>SUM(OSRRefP25x_0)</f>
        <v>341.5</v>
      </c>
      <c r="Q84" s="4"/>
      <c r="R84" s="12">
        <f t="shared" ref="R84:R85" si="82">IF(P$12=0,0,P84/P$12)</f>
        <v>0</v>
      </c>
      <c r="S84" s="4"/>
      <c r="T84" s="4">
        <f>SUM(OSRRefT25x_0)</f>
        <v>0</v>
      </c>
      <c r="U84" s="4"/>
      <c r="V84" s="12">
        <f t="shared" ref="V84:V85" si="83">IF(T$12=0,0,T84/T$12)</f>
        <v>0</v>
      </c>
      <c r="W84" s="4"/>
      <c r="X84" s="4">
        <f t="shared" ref="X84:X85" si="84">+P84-T84</f>
        <v>341.5</v>
      </c>
      <c r="Y84" s="4"/>
      <c r="Z84" s="12">
        <f t="shared" ref="Z84:Z85" si="85">IF(T84=0,0,X84/T84)</f>
        <v>0</v>
      </c>
    </row>
    <row r="85" spans="1:26" s="24" customFormat="1" hidden="1" outlineLevel="1" x14ac:dyDescent="0.3">
      <c r="A85" s="44"/>
      <c r="B85" s="11" t="str">
        <f>CONCATENATE("          ", "9150", " - ", "MISC. INCOME")</f>
        <v xml:space="preserve">          9150 - MISC. INCOME</v>
      </c>
      <c r="C85" s="11"/>
      <c r="D85" s="2">
        <f>0</f>
        <v>0</v>
      </c>
      <c r="E85" s="2"/>
      <c r="F85" s="19">
        <f t="shared" si="78"/>
        <v>0</v>
      </c>
      <c r="G85" s="2"/>
      <c r="H85" s="2"/>
      <c r="I85" s="2"/>
      <c r="J85" s="19">
        <f t="shared" si="79"/>
        <v>0</v>
      </c>
      <c r="K85" s="2"/>
      <c r="L85" s="2">
        <f t="shared" si="80"/>
        <v>0</v>
      </c>
      <c r="M85" s="2"/>
      <c r="N85" s="19">
        <f t="shared" si="81"/>
        <v>0</v>
      </c>
      <c r="O85" s="11"/>
      <c r="P85" s="2">
        <f>--341.5</f>
        <v>341.5</v>
      </c>
      <c r="Q85" s="2"/>
      <c r="R85" s="19">
        <f t="shared" si="82"/>
        <v>0</v>
      </c>
      <c r="S85" s="2"/>
      <c r="T85" s="2"/>
      <c r="U85" s="2"/>
      <c r="V85" s="19">
        <f t="shared" si="83"/>
        <v>0</v>
      </c>
      <c r="W85" s="2"/>
      <c r="X85" s="2">
        <f t="shared" si="84"/>
        <v>341.5</v>
      </c>
      <c r="Y85" s="2"/>
      <c r="Z85" s="19">
        <f t="shared" si="85"/>
        <v>0</v>
      </c>
    </row>
    <row r="86" spans="1:26" x14ac:dyDescent="0.3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3">
      <c r="A87" s="10"/>
      <c r="B87" s="26" t="s">
        <v>277</v>
      </c>
      <c r="C87" s="26"/>
      <c r="D87" s="20">
        <f>+D20-D22+D84</f>
        <v>-10905.94</v>
      </c>
      <c r="E87" s="13"/>
      <c r="F87" s="22">
        <f>IF(D$12=0,0,D87/D$12)</f>
        <v>0</v>
      </c>
      <c r="G87" s="13"/>
      <c r="H87" s="20">
        <f>+H20-H22+H84</f>
        <v>-8159.4936453846203</v>
      </c>
      <c r="I87" s="13"/>
      <c r="J87" s="22">
        <f>IF(H$12=0,0,H87/H$12)</f>
        <v>-0.2371945827146692</v>
      </c>
      <c r="K87" s="15"/>
      <c r="L87" s="20">
        <f>+D87-H87</f>
        <v>-2746.4463546153802</v>
      </c>
      <c r="M87" s="15"/>
      <c r="N87" s="22">
        <f>IF(H87=0,0,L87/H87)</f>
        <v>0.3365951949933676</v>
      </c>
      <c r="O87" s="25"/>
      <c r="P87" s="20">
        <f>+P20-P22+P84</f>
        <v>-85624.13</v>
      </c>
      <c r="Q87" s="13"/>
      <c r="R87" s="22">
        <f>IF(P$12=0,0,P87/P$12)</f>
        <v>0</v>
      </c>
      <c r="S87" s="13"/>
      <c r="T87" s="20">
        <f>+T20-T22+T84</f>
        <v>-71909.033961538516</v>
      </c>
      <c r="U87" s="13"/>
      <c r="V87" s="22">
        <f>IF(T$12=0,0,T87/T$12)</f>
        <v>-0.38867647133419014</v>
      </c>
      <c r="W87" s="15"/>
      <c r="X87" s="20">
        <f>+P87-T87</f>
        <v>-13715.096038461488</v>
      </c>
      <c r="Y87" s="15"/>
      <c r="Z87" s="22">
        <f>IF(T87=0,0,X87/T87)</f>
        <v>0.19072841453825101</v>
      </c>
    </row>
    <row r="88" spans="1:26" x14ac:dyDescent="0.3">
      <c r="A88" s="9"/>
      <c r="B88" s="10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3">
      <c r="A89" s="52"/>
      <c r="B89" s="10" t="s">
        <v>128</v>
      </c>
      <c r="C89" s="10"/>
      <c r="D89" s="4"/>
      <c r="E89" s="4"/>
      <c r="F89" s="12">
        <f>IF(D$12=0,0,D89/D$12)</f>
        <v>0</v>
      </c>
      <c r="G89" s="4"/>
      <c r="H89" s="4">
        <v>5810</v>
      </c>
      <c r="I89" s="4"/>
      <c r="J89" s="12">
        <f>IF(H$12=0,0,H89/H$12)</f>
        <v>0.1688953488372093</v>
      </c>
      <c r="K89" s="4"/>
      <c r="L89" s="4">
        <f>+D89-H89</f>
        <v>-5810</v>
      </c>
      <c r="M89" s="4"/>
      <c r="N89" s="12">
        <f>IF(H89=0,0,L89/H89)</f>
        <v>-1</v>
      </c>
      <c r="O89" s="10"/>
      <c r="P89" s="4"/>
      <c r="Q89" s="4"/>
      <c r="R89" s="12">
        <f>IF(P$12=0,0,P89/P$12)</f>
        <v>0</v>
      </c>
      <c r="S89" s="4"/>
      <c r="T89" s="4">
        <v>23128</v>
      </c>
      <c r="U89" s="4"/>
      <c r="V89" s="12">
        <f>IF(T$12=0,0,T89/T$12)</f>
        <v>0.12500945894816495</v>
      </c>
      <c r="W89" s="4"/>
      <c r="X89" s="4">
        <f>+P89-T89</f>
        <v>-23128</v>
      </c>
      <c r="Y89" s="4"/>
      <c r="Z89" s="12">
        <f>IF(T89=0,0,X89/T89)</f>
        <v>-1</v>
      </c>
    </row>
    <row r="90" spans="1:26" x14ac:dyDescent="0.3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" thickBot="1" x14ac:dyDescent="0.35">
      <c r="A91" s="10"/>
      <c r="B91" s="26" t="s">
        <v>126</v>
      </c>
      <c r="C91" s="26"/>
      <c r="D91" s="33">
        <f>+D87-D89</f>
        <v>-10905.94</v>
      </c>
      <c r="E91" s="13"/>
      <c r="F91" s="34">
        <f>IF(D$12=0,0,D91/D$12)</f>
        <v>0</v>
      </c>
      <c r="G91" s="13"/>
      <c r="H91" s="33">
        <f>+H87-H89</f>
        <v>-13969.49364538462</v>
      </c>
      <c r="I91" s="13"/>
      <c r="J91" s="34">
        <f>IF(H$12=0,0,H91/H$12)</f>
        <v>-0.4060899315518785</v>
      </c>
      <c r="K91" s="15"/>
      <c r="L91" s="33">
        <f>D91-H91</f>
        <v>3063.5536453846198</v>
      </c>
      <c r="M91" s="15"/>
      <c r="N91" s="34">
        <f>IF(H91=0,0,L91/H91)</f>
        <v>-0.21930312745421426</v>
      </c>
      <c r="O91" s="25"/>
      <c r="P91" s="33">
        <f>+P87-P89</f>
        <v>-85624.13</v>
      </c>
      <c r="Q91" s="13"/>
      <c r="R91" s="34">
        <f>IF(P$12=0,0,P91/P$12)</f>
        <v>0</v>
      </c>
      <c r="S91" s="13"/>
      <c r="T91" s="33">
        <f>+T87-T89</f>
        <v>-95037.033961538516</v>
      </c>
      <c r="U91" s="13"/>
      <c r="V91" s="34">
        <f>IF(T$12=0,0,T91/T$12)</f>
        <v>-0.5136859302823551</v>
      </c>
      <c r="W91" s="15"/>
      <c r="X91" s="33">
        <f>P91-T91</f>
        <v>9412.9039615385118</v>
      </c>
      <c r="Y91" s="15"/>
      <c r="Z91" s="34">
        <f>IF(T91=0,0,X91/T91)</f>
        <v>-9.9044588926753691E-2</v>
      </c>
    </row>
    <row r="92" spans="1:26" ht="15" thickTop="1" x14ac:dyDescent="0.3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x14ac:dyDescent="0.3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" thickBot="1" x14ac:dyDescent="0.35">
      <c r="A94" s="10"/>
      <c r="B94" s="26" t="s">
        <v>294</v>
      </c>
      <c r="C94" s="26"/>
      <c r="D94" s="35">
        <f>SUM(D91:D93)</f>
        <v>-10905.94</v>
      </c>
      <c r="E94" s="13"/>
      <c r="F94" s="32">
        <f>IF(D$12=0,0,D94/D$12)</f>
        <v>0</v>
      </c>
      <c r="G94" s="13"/>
      <c r="H94" s="35">
        <f>SUM(H91:H93)</f>
        <v>-13969.49364538462</v>
      </c>
      <c r="I94" s="13"/>
      <c r="J94" s="32">
        <f>IF(H$12=0,0,H94/H$12)</f>
        <v>-0.4060899315518785</v>
      </c>
      <c r="K94" s="15"/>
      <c r="L94" s="35">
        <f>+D94-H94</f>
        <v>3063.5536453846198</v>
      </c>
      <c r="M94" s="15"/>
      <c r="N94" s="32">
        <f>IF(H94=0,0,L94/H94)</f>
        <v>-0.21930312745421426</v>
      </c>
      <c r="O94" s="25"/>
      <c r="P94" s="35">
        <f>SUM(P91:P93)</f>
        <v>-85624.13</v>
      </c>
      <c r="Q94" s="13"/>
      <c r="R94" s="32">
        <f>IF(P$12=0,0,P94/P$12)</f>
        <v>0</v>
      </c>
      <c r="S94" s="13"/>
      <c r="T94" s="35">
        <f>SUM(T91:T93)</f>
        <v>-95037.033961538516</v>
      </c>
      <c r="U94" s="13"/>
      <c r="V94" s="32">
        <f>IF(T$12=0,0,T94/T$12)</f>
        <v>-0.5136859302823551</v>
      </c>
      <c r="W94" s="15"/>
      <c r="X94" s="35">
        <f>+P94-T94</f>
        <v>9412.9039615385118</v>
      </c>
      <c r="Y94" s="15"/>
      <c r="Z94" s="32">
        <f>IF(T94=0,0,X94/T94)</f>
        <v>-9.9044588926753691E-2</v>
      </c>
    </row>
    <row r="95" spans="1:26" ht="15" thickTop="1" x14ac:dyDescent="0.3">
      <c r="A95" s="9"/>
      <c r="C95" s="9"/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3">
      <c r="A96" s="9"/>
      <c r="B96" s="60">
        <v>44543.753113078703</v>
      </c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1:24" x14ac:dyDescent="0.3">
      <c r="A97" s="9"/>
      <c r="B97" s="58" t="s">
        <v>56</v>
      </c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3">
      <c r="A98" s="9"/>
      <c r="B98" s="55"/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  <row r="99" spans="1:24" x14ac:dyDescent="0.3">
      <c r="D99" s="17"/>
      <c r="E99" s="17"/>
      <c r="G99" s="17"/>
      <c r="H99" s="17"/>
      <c r="I99" s="17"/>
      <c r="J99" s="42"/>
      <c r="K99" s="17"/>
      <c r="L99" s="17"/>
      <c r="M99" s="17"/>
      <c r="P99" s="17"/>
      <c r="Q99" s="17"/>
      <c r="R99" s="42"/>
      <c r="S99" s="17"/>
      <c r="T99" s="17"/>
      <c r="U99" s="17"/>
      <c r="V99" s="42"/>
      <c r="W99" s="17"/>
      <c r="X99" s="17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rgb="FF92D050"/>
    <outlinePr summaryBelow="0" summaryRight="0"/>
  </sheetPr>
  <dimension ref="A2:Z6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","423", " - ", "Contract/Vending Revenue")</f>
        <v>Department 423 - Contract/Vending Revenue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5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1">
        <f>SUM(OSRRefD22x_0)</f>
        <v>90.539999999999992</v>
      </c>
      <c r="E18" s="21"/>
      <c r="F18" s="30">
        <f t="shared" ref="F18:F27" si="0">IF(D$12=0,0,D18/D$12)</f>
        <v>0</v>
      </c>
      <c r="G18" s="21"/>
      <c r="H18" s="21">
        <f>SUM(OSRRefH22x_0)</f>
        <v>0</v>
      </c>
      <c r="I18" s="21"/>
      <c r="J18" s="30">
        <f t="shared" ref="J18:J27" si="1">IF(H$12=0,0,H18/H$12)</f>
        <v>0</v>
      </c>
      <c r="K18" s="4"/>
      <c r="L18" s="21">
        <f t="shared" ref="L18:L27" si="2">+D18-H18</f>
        <v>90.539999999999992</v>
      </c>
      <c r="M18" s="4"/>
      <c r="N18" s="30">
        <f t="shared" ref="N18:N27" si="3">IF(H18=0,0,L18/H18)</f>
        <v>0</v>
      </c>
      <c r="O18" s="10"/>
      <c r="P18" s="21">
        <f>SUM(OSRRefP22x_0)</f>
        <v>8088.05</v>
      </c>
      <c r="Q18" s="21"/>
      <c r="R18" s="30">
        <f t="shared" ref="R18:R27" si="4">IF(P$12=0,0,P18/P$12)</f>
        <v>0</v>
      </c>
      <c r="S18" s="21"/>
      <c r="T18" s="21">
        <f>SUM(OSRRefT22x_0)</f>
        <v>0</v>
      </c>
      <c r="U18" s="21"/>
      <c r="V18" s="30">
        <f t="shared" ref="V18:V27" si="5">IF(T$12=0,0,T18/T$12)</f>
        <v>0</v>
      </c>
      <c r="W18" s="4"/>
      <c r="X18" s="21">
        <f t="shared" ref="X18:X27" si="6">+P18-T18</f>
        <v>8088.05</v>
      </c>
      <c r="Y18" s="4"/>
      <c r="Z18" s="30">
        <f t="shared" ref="Z18:Z27" si="7">IF(T18=0,0,X18/T18)</f>
        <v>0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0</v>
      </c>
      <c r="Y19" s="1"/>
      <c r="Z19" s="5">
        <f t="shared" si="7"/>
        <v>0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6"/>
      <c r="E20" s="2"/>
      <c r="F20" s="7">
        <f t="shared" si="0"/>
        <v>0</v>
      </c>
      <c r="G20" s="2"/>
      <c r="H20" s="6">
        <v>0</v>
      </c>
      <c r="I20" s="2"/>
      <c r="J20" s="7">
        <f t="shared" si="1"/>
        <v>0</v>
      </c>
      <c r="K20" s="2"/>
      <c r="L20" s="6">
        <f t="shared" si="2"/>
        <v>0</v>
      </c>
      <c r="M20" s="2"/>
      <c r="N20" s="7">
        <f t="shared" si="3"/>
        <v>0</v>
      </c>
      <c r="O20" s="11"/>
      <c r="P20" s="6"/>
      <c r="Q20" s="2"/>
      <c r="R20" s="7">
        <f t="shared" si="4"/>
        <v>0</v>
      </c>
      <c r="S20" s="2"/>
      <c r="T20" s="6">
        <v>0</v>
      </c>
      <c r="U20" s="2"/>
      <c r="V20" s="7">
        <f t="shared" si="5"/>
        <v>0</v>
      </c>
      <c r="W20" s="2"/>
      <c r="X20" s="6">
        <f t="shared" si="6"/>
        <v>0</v>
      </c>
      <c r="Y20" s="2"/>
      <c r="Z20" s="7">
        <f t="shared" si="7"/>
        <v>0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6"/>
      <c r="E21" s="2"/>
      <c r="F21" s="7">
        <f t="shared" si="0"/>
        <v>0</v>
      </c>
      <c r="G21" s="2"/>
      <c r="H21" s="6">
        <v>0</v>
      </c>
      <c r="I21" s="2"/>
      <c r="J21" s="7">
        <f t="shared" si="1"/>
        <v>0</v>
      </c>
      <c r="K21" s="2"/>
      <c r="L21" s="6">
        <f t="shared" si="2"/>
        <v>0</v>
      </c>
      <c r="M21" s="2"/>
      <c r="N21" s="7">
        <f t="shared" si="3"/>
        <v>0</v>
      </c>
      <c r="O21" s="11"/>
      <c r="P21" s="6"/>
      <c r="Q21" s="2"/>
      <c r="R21" s="7">
        <f t="shared" si="4"/>
        <v>0</v>
      </c>
      <c r="S21" s="2"/>
      <c r="T21" s="6">
        <v>0</v>
      </c>
      <c r="U21" s="2"/>
      <c r="V21" s="7">
        <f t="shared" si="5"/>
        <v>0</v>
      </c>
      <c r="W21" s="2"/>
      <c r="X21" s="6">
        <f t="shared" si="6"/>
        <v>0</v>
      </c>
      <c r="Y21" s="2"/>
      <c r="Z21" s="7">
        <f t="shared" si="7"/>
        <v>0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6"/>
      <c r="E22" s="2"/>
      <c r="F22" s="7">
        <f t="shared" si="0"/>
        <v>0</v>
      </c>
      <c r="G22" s="2"/>
      <c r="H22" s="6">
        <v>0</v>
      </c>
      <c r="I22" s="2"/>
      <c r="J22" s="7">
        <f t="shared" si="1"/>
        <v>0</v>
      </c>
      <c r="K22" s="2"/>
      <c r="L22" s="6">
        <f t="shared" si="2"/>
        <v>0</v>
      </c>
      <c r="M22" s="2"/>
      <c r="N22" s="7">
        <f t="shared" si="3"/>
        <v>0</v>
      </c>
      <c r="O22" s="11"/>
      <c r="P22" s="6"/>
      <c r="Q22" s="2"/>
      <c r="R22" s="7">
        <f t="shared" si="4"/>
        <v>0</v>
      </c>
      <c r="S22" s="2"/>
      <c r="T22" s="6">
        <v>0</v>
      </c>
      <c r="U22" s="2"/>
      <c r="V22" s="7">
        <f t="shared" si="5"/>
        <v>0</v>
      </c>
      <c r="W22" s="2"/>
      <c r="X22" s="6">
        <f t="shared" si="6"/>
        <v>0</v>
      </c>
      <c r="Y22" s="2"/>
      <c r="Z22" s="7">
        <f t="shared" si="7"/>
        <v>0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/>
      <c r="E23" s="2"/>
      <c r="F23" s="7">
        <f t="shared" si="0"/>
        <v>0</v>
      </c>
      <c r="G23" s="2"/>
      <c r="H23" s="6">
        <v>0</v>
      </c>
      <c r="I23" s="2"/>
      <c r="J23" s="7">
        <f t="shared" si="1"/>
        <v>0</v>
      </c>
      <c r="K23" s="2"/>
      <c r="L23" s="6">
        <f t="shared" si="2"/>
        <v>0</v>
      </c>
      <c r="M23" s="2"/>
      <c r="N23" s="7">
        <f t="shared" si="3"/>
        <v>0</v>
      </c>
      <c r="O23" s="11"/>
      <c r="P23" s="6"/>
      <c r="Q23" s="2"/>
      <c r="R23" s="7">
        <f t="shared" si="4"/>
        <v>0</v>
      </c>
      <c r="S23" s="2"/>
      <c r="T23" s="6">
        <v>0</v>
      </c>
      <c r="U23" s="2"/>
      <c r="V23" s="7">
        <f t="shared" si="5"/>
        <v>0</v>
      </c>
      <c r="W23" s="2"/>
      <c r="X23" s="6">
        <f t="shared" si="6"/>
        <v>0</v>
      </c>
      <c r="Y23" s="2"/>
      <c r="Z23" s="7">
        <f t="shared" si="7"/>
        <v>0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6"/>
      <c r="E24" s="2"/>
      <c r="F24" s="7">
        <f t="shared" si="0"/>
        <v>0</v>
      </c>
      <c r="G24" s="2"/>
      <c r="H24" s="6">
        <v>0</v>
      </c>
      <c r="I24" s="2"/>
      <c r="J24" s="7">
        <f t="shared" si="1"/>
        <v>0</v>
      </c>
      <c r="K24" s="2"/>
      <c r="L24" s="6">
        <f t="shared" si="2"/>
        <v>0</v>
      </c>
      <c r="M24" s="2"/>
      <c r="N24" s="7">
        <f t="shared" si="3"/>
        <v>0</v>
      </c>
      <c r="O24" s="11"/>
      <c r="P24" s="6"/>
      <c r="Q24" s="2"/>
      <c r="R24" s="7">
        <f t="shared" si="4"/>
        <v>0</v>
      </c>
      <c r="S24" s="2"/>
      <c r="T24" s="6">
        <v>0</v>
      </c>
      <c r="U24" s="2"/>
      <c r="V24" s="7">
        <f t="shared" si="5"/>
        <v>0</v>
      </c>
      <c r="W24" s="2"/>
      <c r="X24" s="6">
        <f t="shared" si="6"/>
        <v>0</v>
      </c>
      <c r="Y24" s="2"/>
      <c r="Z24" s="7">
        <f t="shared" si="7"/>
        <v>0</v>
      </c>
    </row>
    <row r="25" spans="1:26" s="24" customFormat="1" hidden="1" outlineLevel="2" x14ac:dyDescent="0.3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3">
      <c r="A26" s="27"/>
      <c r="B26" s="11" t="str">
        <f>CONCATENATE("          ", "6118", " - ", "VACATION")</f>
        <v xml:space="preserve">          6118 - VACATION</v>
      </c>
      <c r="C26" s="11"/>
      <c r="D26" s="6"/>
      <c r="E26" s="2"/>
      <c r="F26" s="7">
        <f t="shared" si="0"/>
        <v>0</v>
      </c>
      <c r="G26" s="2"/>
      <c r="H26" s="6">
        <v>0</v>
      </c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1"/>
      <c r="P26" s="6"/>
      <c r="Q26" s="2"/>
      <c r="R26" s="7">
        <f t="shared" si="4"/>
        <v>0</v>
      </c>
      <c r="S26" s="2"/>
      <c r="T26" s="6">
        <v>0</v>
      </c>
      <c r="U26" s="2"/>
      <c r="V26" s="7">
        <f t="shared" si="5"/>
        <v>0</v>
      </c>
      <c r="W26" s="2"/>
      <c r="X26" s="6">
        <f t="shared" si="6"/>
        <v>0</v>
      </c>
      <c r="Y26" s="2"/>
      <c r="Z26" s="7">
        <f t="shared" si="7"/>
        <v>0</v>
      </c>
    </row>
    <row r="27" spans="1:26" s="24" customFormat="1" hidden="1" outlineLevel="2" x14ac:dyDescent="0.3">
      <c r="A27" s="27"/>
      <c r="B27" s="11" t="str">
        <f>CONCATENATE("          ", "6119", " - ", "SICK LEAVE")</f>
        <v xml:space="preserve">          6119 - SICK LEAVE</v>
      </c>
      <c r="C27" s="11"/>
      <c r="D27" s="6"/>
      <c r="E27" s="2"/>
      <c r="F27" s="7">
        <f t="shared" si="0"/>
        <v>0</v>
      </c>
      <c r="G27" s="2"/>
      <c r="H27" s="6">
        <v>0</v>
      </c>
      <c r="I27" s="2"/>
      <c r="J27" s="7">
        <f t="shared" si="1"/>
        <v>0</v>
      </c>
      <c r="K27" s="2"/>
      <c r="L27" s="6">
        <f t="shared" si="2"/>
        <v>0</v>
      </c>
      <c r="M27" s="2"/>
      <c r="N27" s="7">
        <f t="shared" si="3"/>
        <v>0</v>
      </c>
      <c r="O27" s="11"/>
      <c r="P27" s="6"/>
      <c r="Q27" s="2"/>
      <c r="R27" s="7">
        <f t="shared" si="4"/>
        <v>0</v>
      </c>
      <c r="S27" s="2"/>
      <c r="T27" s="6">
        <v>0</v>
      </c>
      <c r="U27" s="2"/>
      <c r="V27" s="7">
        <f t="shared" si="5"/>
        <v>0</v>
      </c>
      <c r="W27" s="2"/>
      <c r="X27" s="6">
        <f t="shared" si="6"/>
        <v>0</v>
      </c>
      <c r="Y27" s="2"/>
      <c r="Z27" s="7">
        <f t="shared" si="7"/>
        <v>0</v>
      </c>
    </row>
    <row r="28" spans="1:26" s="29" customFormat="1" outlineLevel="1" collapsed="1" x14ac:dyDescent="0.3">
      <c r="A28" s="28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0</v>
      </c>
      <c r="E28" s="1"/>
      <c r="F28" s="5">
        <f t="shared" ref="F28:F38" si="8">IF(D$12=0,0,D28/D$12)</f>
        <v>0</v>
      </c>
      <c r="G28" s="1"/>
      <c r="H28" s="1">
        <f>SUM(OSRRefH22_1x_0)</f>
        <v>0</v>
      </c>
      <c r="I28" s="1"/>
      <c r="J28" s="5">
        <f t="shared" ref="J28:J38" si="9">IF(H$12=0,0,H28/H$12)</f>
        <v>0</v>
      </c>
      <c r="K28" s="1"/>
      <c r="L28" s="1">
        <f t="shared" ref="L28:L38" si="10">+D28-H28</f>
        <v>0</v>
      </c>
      <c r="M28" s="1"/>
      <c r="N28" s="5">
        <f t="shared" ref="N28:N38" si="11">IF(H28=0,0,L28/H28)</f>
        <v>0</v>
      </c>
      <c r="O28" s="14"/>
      <c r="P28" s="1">
        <f>SUM(OSRRefP22_1x_0)</f>
        <v>0</v>
      </c>
      <c r="Q28" s="1"/>
      <c r="R28" s="5">
        <f t="shared" ref="R28:R38" si="12">IF(P$12=0,0,P28/P$12)</f>
        <v>0</v>
      </c>
      <c r="S28" s="1"/>
      <c r="T28" s="1">
        <f>SUM(OSRRefT22_1x_0)</f>
        <v>0</v>
      </c>
      <c r="U28" s="1"/>
      <c r="V28" s="5">
        <f t="shared" ref="V28:V38" si="13">IF(T$12=0,0,T28/T$12)</f>
        <v>0</v>
      </c>
      <c r="W28" s="1"/>
      <c r="X28" s="1">
        <f t="shared" ref="X28:X38" si="14">+P28-T28</f>
        <v>0</v>
      </c>
      <c r="Y28" s="1"/>
      <c r="Z28" s="5">
        <f t="shared" ref="Z28:Z38" si="15">IF(T28=0,0,X28/T28)</f>
        <v>0</v>
      </c>
    </row>
    <row r="29" spans="1:26" s="24" customFormat="1" hidden="1" outlineLevel="2" x14ac:dyDescent="0.3">
      <c r="A29" s="27"/>
      <c r="B29" s="11" t="str">
        <f>CONCATENATE("          ", "6001", " - ", "ADMINISTRATIVE SALARIES")</f>
        <v xml:space="preserve">          6001 - ADMINISTRATIVE SALARIES</v>
      </c>
      <c r="C29" s="11"/>
      <c r="D29" s="6"/>
      <c r="E29" s="2"/>
      <c r="F29" s="7">
        <f t="shared" si="8"/>
        <v>0</v>
      </c>
      <c r="G29" s="2"/>
      <c r="H29" s="6">
        <v>0</v>
      </c>
      <c r="I29" s="2"/>
      <c r="J29" s="7">
        <f t="shared" si="9"/>
        <v>0</v>
      </c>
      <c r="K29" s="2"/>
      <c r="L29" s="6">
        <f t="shared" si="10"/>
        <v>0</v>
      </c>
      <c r="M29" s="2"/>
      <c r="N29" s="7">
        <f t="shared" si="11"/>
        <v>0</v>
      </c>
      <c r="O29" s="11"/>
      <c r="P29" s="6"/>
      <c r="Q29" s="2"/>
      <c r="R29" s="7">
        <f t="shared" si="12"/>
        <v>0</v>
      </c>
      <c r="S29" s="2"/>
      <c r="T29" s="6">
        <v>0</v>
      </c>
      <c r="U29" s="2"/>
      <c r="V29" s="7">
        <f t="shared" si="13"/>
        <v>0</v>
      </c>
      <c r="W29" s="2"/>
      <c r="X29" s="6">
        <f t="shared" si="14"/>
        <v>0</v>
      </c>
      <c r="Y29" s="2"/>
      <c r="Z29" s="7">
        <f t="shared" si="15"/>
        <v>0</v>
      </c>
    </row>
    <row r="30" spans="1:26" s="24" customFormat="1" hidden="1" outlineLevel="2" x14ac:dyDescent="0.3">
      <c r="A30" s="27"/>
      <c r="B30" s="11" t="str">
        <f>CONCATENATE("          ", "6002", " - ", "STAFF SALARIES")</f>
        <v xml:space="preserve">          6002 - STAFF SALARIES</v>
      </c>
      <c r="C30" s="11"/>
      <c r="D30" s="6"/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/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0</v>
      </c>
      <c r="Y30" s="2"/>
      <c r="Z30" s="7">
        <f t="shared" si="15"/>
        <v>0</v>
      </c>
    </row>
    <row r="31" spans="1:26" s="24" customFormat="1" hidden="1" outlineLevel="2" x14ac:dyDescent="0.3">
      <c r="A31" s="27"/>
      <c r="B31" s="11" t="str">
        <f>CONCATENATE("          ", "6003", " - ", "STAFF HOURLY-9 MONTH")</f>
        <v xml:space="preserve">          6003 - STAFF HOURLY-9 MONTH</v>
      </c>
      <c r="C31" s="11"/>
      <c r="D31" s="6"/>
      <c r="E31" s="2"/>
      <c r="F31" s="7">
        <f t="shared" si="8"/>
        <v>0</v>
      </c>
      <c r="G31" s="2"/>
      <c r="H31" s="6">
        <v>0</v>
      </c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/>
      <c r="Q31" s="2"/>
      <c r="R31" s="7">
        <f t="shared" si="12"/>
        <v>0</v>
      </c>
      <c r="S31" s="2"/>
      <c r="T31" s="6">
        <v>0</v>
      </c>
      <c r="U31" s="2"/>
      <c r="V31" s="7">
        <f t="shared" si="13"/>
        <v>0</v>
      </c>
      <c r="W31" s="2"/>
      <c r="X31" s="6">
        <f t="shared" si="14"/>
        <v>0</v>
      </c>
      <c r="Y31" s="2"/>
      <c r="Z31" s="7">
        <f t="shared" si="15"/>
        <v>0</v>
      </c>
    </row>
    <row r="32" spans="1:26" s="24" customFormat="1" hidden="1" outlineLevel="2" x14ac:dyDescent="0.3">
      <c r="A32" s="27"/>
      <c r="B32" s="11" t="str">
        <f>CONCATENATE("          ", "6004", " - ", "STAFF HOURLY")</f>
        <v xml:space="preserve">          6004 - STAFF HOURLY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3">
      <c r="A33" s="27"/>
      <c r="B33" s="11" t="str">
        <f>CONCATENATE("          ", "6005", " - ", "TEMPORARY WAGES-HOURLY")</f>
        <v xml:space="preserve">          6005 - TEMPORARY WAGES-HOURLY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3">
      <c r="A34" s="27"/>
      <c r="B34" s="11" t="str">
        <f>CONCATENATE("          ", "6006", " - ", "TEMPORARY PART TIME")</f>
        <v xml:space="preserve">          6006 - TEMPORARY PART TIME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3">
      <c r="A35" s="27"/>
      <c r="B35" s="11" t="str">
        <f>CONCATENATE("          ", "6007", " - ", "STUDENT HOURLY")</f>
        <v xml:space="preserve">          6007 - STUDENT HOURLY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3">
      <c r="A36" s="27"/>
      <c r="B36" s="11" t="str">
        <f>CONCATENATE("          ", "6008", " - ", "STUDENT HOURLY-FICA EXEMPT")</f>
        <v xml:space="preserve">          6008 - STUDENT HOURLY-FICA EXEMPT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3">
      <c r="A37" s="27"/>
      <c r="B37" s="11" t="str">
        <f>CONCATENATE("          ", "6009", " - ", "TEMPORARY-SEASONAL")</f>
        <v xml:space="preserve">          6009 - TEMPORARY-SEASONAL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3">
      <c r="A38" s="27"/>
      <c r="B38" s="11" t="str">
        <f>CONCATENATE("          ", "6010", " - ", "GRATUITY")</f>
        <v xml:space="preserve">          6010 - GRATUITY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9" customFormat="1" outlineLevel="1" collapsed="1" x14ac:dyDescent="0.3">
      <c r="A39" s="28"/>
      <c r="B39" s="14" t="str">
        <f>CONCATENATE("     ","General                                           ")</f>
        <v xml:space="preserve">     General                                           </v>
      </c>
      <c r="C39" s="14"/>
      <c r="D39" s="1">
        <f>SUM(OSRRefD22_2x_0)</f>
        <v>0</v>
      </c>
      <c r="E39" s="1"/>
      <c r="F39" s="5">
        <f t="shared" ref="F39:F46" si="16">IF(D$12=0,0,D39/D$12)</f>
        <v>0</v>
      </c>
      <c r="G39" s="1"/>
      <c r="H39" s="1">
        <f>SUM(OSRRefH22_2x_0)</f>
        <v>0</v>
      </c>
      <c r="I39" s="1"/>
      <c r="J39" s="5">
        <f t="shared" ref="J39:J46" si="17">IF(H$12=0,0,H39/H$12)</f>
        <v>0</v>
      </c>
      <c r="K39" s="1"/>
      <c r="L39" s="1">
        <f t="shared" ref="L39:L46" si="18">+D39-H39</f>
        <v>0</v>
      </c>
      <c r="M39" s="1"/>
      <c r="N39" s="5">
        <f t="shared" ref="N39:N46" si="19">IF(H39=0,0,L39/H39)</f>
        <v>0</v>
      </c>
      <c r="O39" s="14"/>
      <c r="P39" s="1">
        <f>SUM(OSRRefP22_2x_0)</f>
        <v>7489.93</v>
      </c>
      <c r="Q39" s="1"/>
      <c r="R39" s="5">
        <f t="shared" ref="R39:R46" si="20">IF(P$12=0,0,P39/P$12)</f>
        <v>0</v>
      </c>
      <c r="S39" s="1"/>
      <c r="T39" s="1">
        <f>SUM(OSRRefT22_2x_0)</f>
        <v>0</v>
      </c>
      <c r="U39" s="1"/>
      <c r="V39" s="5">
        <f t="shared" ref="V39:V46" si="21">IF(T$12=0,0,T39/T$12)</f>
        <v>0</v>
      </c>
      <c r="W39" s="1"/>
      <c r="X39" s="1">
        <f t="shared" ref="X39:X46" si="22">+P39-T39</f>
        <v>7489.93</v>
      </c>
      <c r="Y39" s="1"/>
      <c r="Z39" s="5">
        <f t="shared" ref="Z39:Z46" si="23">IF(T39=0,0,X39/T39)</f>
        <v>0</v>
      </c>
    </row>
    <row r="40" spans="1:26" s="24" customFormat="1" hidden="1" outlineLevel="2" x14ac:dyDescent="0.3">
      <c r="A40" s="27"/>
      <c r="B40" s="11" t="str">
        <f>CONCATENATE("          ", "6279", " - ", "GENERAL EXPENSE")</f>
        <v xml:space="preserve">          6279 - GENERAL EXPENSE</v>
      </c>
      <c r="C40" s="11"/>
      <c r="D40" s="6"/>
      <c r="E40" s="2"/>
      <c r="F40" s="7">
        <f t="shared" si="16"/>
        <v>0</v>
      </c>
      <c r="G40" s="2"/>
      <c r="H40" s="6"/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1"/>
      <c r="P40" s="6">
        <v>7489.93</v>
      </c>
      <c r="Q40" s="2"/>
      <c r="R40" s="7">
        <f t="shared" si="20"/>
        <v>0</v>
      </c>
      <c r="S40" s="2"/>
      <c r="T40" s="6"/>
      <c r="U40" s="2"/>
      <c r="V40" s="7">
        <f t="shared" si="21"/>
        <v>0</v>
      </c>
      <c r="W40" s="2"/>
      <c r="X40" s="6">
        <f t="shared" si="22"/>
        <v>7489.93</v>
      </c>
      <c r="Y40" s="2"/>
      <c r="Z40" s="7">
        <f t="shared" si="23"/>
        <v>0</v>
      </c>
    </row>
    <row r="41" spans="1:26" s="29" customFormat="1" outlineLevel="1" collapsed="1" x14ac:dyDescent="0.3">
      <c r="A41" s="28"/>
      <c r="B41" s="14" t="str">
        <f>CONCATENATE("     ","Services                                          ")</f>
        <v xml:space="preserve">     Services                                          </v>
      </c>
      <c r="C41" s="14"/>
      <c r="D41" s="1">
        <f>SUM(OSRRefD22_3x_0)</f>
        <v>0</v>
      </c>
      <c r="E41" s="1"/>
      <c r="F41" s="5">
        <f t="shared" si="16"/>
        <v>0</v>
      </c>
      <c r="G41" s="1"/>
      <c r="H41" s="1">
        <f>SUM(OSRRefH22_3x_0)</f>
        <v>0</v>
      </c>
      <c r="I41" s="1"/>
      <c r="J41" s="5">
        <f t="shared" si="17"/>
        <v>0</v>
      </c>
      <c r="K41" s="1"/>
      <c r="L41" s="1">
        <f t="shared" si="18"/>
        <v>0</v>
      </c>
      <c r="M41" s="1"/>
      <c r="N41" s="5">
        <f t="shared" si="19"/>
        <v>0</v>
      </c>
      <c r="O41" s="14"/>
      <c r="P41" s="1">
        <f>SUM(OSRRefP22_3x_0)</f>
        <v>0</v>
      </c>
      <c r="Q41" s="1"/>
      <c r="R41" s="5">
        <f t="shared" si="20"/>
        <v>0</v>
      </c>
      <c r="S41" s="1"/>
      <c r="T41" s="1">
        <f>SUM(OSRRefT22_3x_0)</f>
        <v>0</v>
      </c>
      <c r="U41" s="1"/>
      <c r="V41" s="5">
        <f t="shared" si="21"/>
        <v>0</v>
      </c>
      <c r="W41" s="1"/>
      <c r="X41" s="1">
        <f t="shared" si="22"/>
        <v>0</v>
      </c>
      <c r="Y41" s="1"/>
      <c r="Z41" s="5">
        <f t="shared" si="23"/>
        <v>0</v>
      </c>
    </row>
    <row r="42" spans="1:26" s="24" customFormat="1" hidden="1" outlineLevel="2" x14ac:dyDescent="0.3">
      <c r="A42" s="27"/>
      <c r="B42" s="11" t="str">
        <f>CONCATENATE("          ", "6284", " - ", "TRASH REMOVAL EXPENSE")</f>
        <v xml:space="preserve">          6284 - TRASH REMOVAL EXPENSE</v>
      </c>
      <c r="C42" s="11"/>
      <c r="D42" s="6"/>
      <c r="E42" s="2"/>
      <c r="F42" s="7">
        <f t="shared" si="16"/>
        <v>0</v>
      </c>
      <c r="G42" s="2"/>
      <c r="H42" s="6"/>
      <c r="I42" s="2"/>
      <c r="J42" s="7">
        <f t="shared" si="17"/>
        <v>0</v>
      </c>
      <c r="K42" s="2"/>
      <c r="L42" s="6">
        <f t="shared" si="18"/>
        <v>0</v>
      </c>
      <c r="M42" s="2"/>
      <c r="N42" s="7">
        <f t="shared" si="19"/>
        <v>0</v>
      </c>
      <c r="O42" s="11"/>
      <c r="P42" s="6"/>
      <c r="Q42" s="2"/>
      <c r="R42" s="7">
        <f t="shared" si="20"/>
        <v>0</v>
      </c>
      <c r="S42" s="2"/>
      <c r="T42" s="6">
        <v>0</v>
      </c>
      <c r="U42" s="2"/>
      <c r="V42" s="7">
        <f t="shared" si="21"/>
        <v>0</v>
      </c>
      <c r="W42" s="2"/>
      <c r="X42" s="6">
        <f t="shared" si="22"/>
        <v>0</v>
      </c>
      <c r="Y42" s="2"/>
      <c r="Z42" s="7">
        <f t="shared" si="23"/>
        <v>0</v>
      </c>
    </row>
    <row r="43" spans="1:26" s="29" customFormat="1" outlineLevel="1" collapsed="1" x14ac:dyDescent="0.3">
      <c r="A43" s="28"/>
      <c r="B43" s="14" t="str">
        <f>CONCATENATE("     ","Supplies                                          ")</f>
        <v xml:space="preserve">     Supplies                                          </v>
      </c>
      <c r="C43" s="14"/>
      <c r="D43" s="1">
        <f>SUM(OSRRefD22_4x_0)</f>
        <v>22.04</v>
      </c>
      <c r="E43" s="1"/>
      <c r="F43" s="5">
        <f t="shared" si="16"/>
        <v>0</v>
      </c>
      <c r="G43" s="1"/>
      <c r="H43" s="1">
        <f>SUM(OSRRefH22_4x_0)</f>
        <v>0</v>
      </c>
      <c r="I43" s="1"/>
      <c r="J43" s="5">
        <f t="shared" si="17"/>
        <v>0</v>
      </c>
      <c r="K43" s="1"/>
      <c r="L43" s="1">
        <f t="shared" si="18"/>
        <v>22.04</v>
      </c>
      <c r="M43" s="1"/>
      <c r="N43" s="5">
        <f t="shared" si="19"/>
        <v>0</v>
      </c>
      <c r="O43" s="14"/>
      <c r="P43" s="1">
        <f>SUM(OSRRefP22_4x_0)</f>
        <v>520.62</v>
      </c>
      <c r="Q43" s="1"/>
      <c r="R43" s="5">
        <f t="shared" si="20"/>
        <v>0</v>
      </c>
      <c r="S43" s="1"/>
      <c r="T43" s="1">
        <f>SUM(OSRRefT22_4x_0)</f>
        <v>0</v>
      </c>
      <c r="U43" s="1"/>
      <c r="V43" s="5">
        <f t="shared" si="21"/>
        <v>0</v>
      </c>
      <c r="W43" s="1"/>
      <c r="X43" s="1">
        <f t="shared" si="22"/>
        <v>520.62</v>
      </c>
      <c r="Y43" s="1"/>
      <c r="Z43" s="5">
        <f t="shared" si="23"/>
        <v>0</v>
      </c>
    </row>
    <row r="44" spans="1:26" s="24" customFormat="1" hidden="1" outlineLevel="2" x14ac:dyDescent="0.3">
      <c r="A44" s="27"/>
      <c r="B44" s="11" t="str">
        <f>CONCATENATE("          ", "6241", " - ", "OFFICE EXPENSE")</f>
        <v xml:space="preserve">          6241 - OFFICE EXPENSE</v>
      </c>
      <c r="C44" s="11"/>
      <c r="D44" s="6">
        <v>22.04</v>
      </c>
      <c r="E44" s="2"/>
      <c r="F44" s="7">
        <f t="shared" si="16"/>
        <v>0</v>
      </c>
      <c r="G44" s="2"/>
      <c r="H44" s="6"/>
      <c r="I44" s="2"/>
      <c r="J44" s="7">
        <f t="shared" si="17"/>
        <v>0</v>
      </c>
      <c r="K44" s="2"/>
      <c r="L44" s="6">
        <f t="shared" si="18"/>
        <v>22.04</v>
      </c>
      <c r="M44" s="2"/>
      <c r="N44" s="7">
        <f t="shared" si="19"/>
        <v>0</v>
      </c>
      <c r="O44" s="11"/>
      <c r="P44" s="6">
        <v>520.62</v>
      </c>
      <c r="Q44" s="2"/>
      <c r="R44" s="7">
        <f t="shared" si="20"/>
        <v>0</v>
      </c>
      <c r="S44" s="2"/>
      <c r="T44" s="6"/>
      <c r="U44" s="2"/>
      <c r="V44" s="7">
        <f t="shared" si="21"/>
        <v>0</v>
      </c>
      <c r="W44" s="2"/>
      <c r="X44" s="6">
        <f t="shared" si="22"/>
        <v>520.62</v>
      </c>
      <c r="Y44" s="2"/>
      <c r="Z44" s="7">
        <f t="shared" si="23"/>
        <v>0</v>
      </c>
    </row>
    <row r="45" spans="1:26" s="29" customFormat="1" outlineLevel="1" collapsed="1" x14ac:dyDescent="0.3">
      <c r="A45" s="28"/>
      <c r="B45" s="14" t="str">
        <f>CONCATENATE("     ","Telephone/Data Lines                              ")</f>
        <v xml:space="preserve">     Telephone/Data Lines                              </v>
      </c>
      <c r="C45" s="14"/>
      <c r="D45" s="1">
        <f>SUM(OSRRefD22_5x_0)</f>
        <v>68.5</v>
      </c>
      <c r="E45" s="1"/>
      <c r="F45" s="5">
        <f t="shared" si="16"/>
        <v>0</v>
      </c>
      <c r="G45" s="1"/>
      <c r="H45" s="1">
        <f>SUM(OSRRefH22_5x_0)</f>
        <v>0</v>
      </c>
      <c r="I45" s="1"/>
      <c r="J45" s="5">
        <f t="shared" si="17"/>
        <v>0</v>
      </c>
      <c r="K45" s="1"/>
      <c r="L45" s="1">
        <f t="shared" si="18"/>
        <v>68.5</v>
      </c>
      <c r="M45" s="1"/>
      <c r="N45" s="5">
        <f t="shared" si="19"/>
        <v>0</v>
      </c>
      <c r="O45" s="14"/>
      <c r="P45" s="1">
        <f>SUM(OSRRefP22_5x_0)</f>
        <v>77.5</v>
      </c>
      <c r="Q45" s="1"/>
      <c r="R45" s="5">
        <f t="shared" si="20"/>
        <v>0</v>
      </c>
      <c r="S45" s="1"/>
      <c r="T45" s="1">
        <f>SUM(OSRRefT22_5x_0)</f>
        <v>0</v>
      </c>
      <c r="U45" s="1"/>
      <c r="V45" s="5">
        <f t="shared" si="21"/>
        <v>0</v>
      </c>
      <c r="W45" s="1"/>
      <c r="X45" s="1">
        <f t="shared" si="22"/>
        <v>77.5</v>
      </c>
      <c r="Y45" s="1"/>
      <c r="Z45" s="5">
        <f t="shared" si="23"/>
        <v>0</v>
      </c>
    </row>
    <row r="46" spans="1:26" s="24" customFormat="1" hidden="1" outlineLevel="2" x14ac:dyDescent="0.3">
      <c r="A46" s="27"/>
      <c r="B46" s="11" t="str">
        <f>CONCATENATE("          ", "6309", " - ", "TELEPHONE")</f>
        <v xml:space="preserve">          6309 - TELEPHONE</v>
      </c>
      <c r="C46" s="11"/>
      <c r="D46" s="6">
        <v>68.5</v>
      </c>
      <c r="E46" s="2"/>
      <c r="F46" s="7">
        <f t="shared" si="16"/>
        <v>0</v>
      </c>
      <c r="G46" s="2"/>
      <c r="H46" s="6"/>
      <c r="I46" s="2"/>
      <c r="J46" s="7">
        <f t="shared" si="17"/>
        <v>0</v>
      </c>
      <c r="K46" s="2"/>
      <c r="L46" s="6">
        <f t="shared" si="18"/>
        <v>68.5</v>
      </c>
      <c r="M46" s="2"/>
      <c r="N46" s="7">
        <f t="shared" si="19"/>
        <v>0</v>
      </c>
      <c r="O46" s="11"/>
      <c r="P46" s="6">
        <v>77.5</v>
      </c>
      <c r="Q46" s="2"/>
      <c r="R46" s="7">
        <f t="shared" si="20"/>
        <v>0</v>
      </c>
      <c r="S46" s="2"/>
      <c r="T46" s="6"/>
      <c r="U46" s="2"/>
      <c r="V46" s="7">
        <f t="shared" si="21"/>
        <v>0</v>
      </c>
      <c r="W46" s="2"/>
      <c r="X46" s="6">
        <f t="shared" si="22"/>
        <v>77.5</v>
      </c>
      <c r="Y46" s="2"/>
      <c r="Z46" s="7">
        <f t="shared" si="23"/>
        <v>0</v>
      </c>
    </row>
    <row r="47" spans="1:26" s="63" customFormat="1" x14ac:dyDescent="0.3">
      <c r="A47" s="36"/>
      <c r="B47" s="36"/>
      <c r="C47" s="36"/>
      <c r="D47" s="1"/>
      <c r="E47" s="1"/>
      <c r="F47" s="5"/>
      <c r="G47" s="1"/>
      <c r="H47" s="1"/>
      <c r="I47" s="1"/>
      <c r="J47" s="5"/>
      <c r="K47" s="1"/>
      <c r="L47" s="1"/>
      <c r="M47" s="1"/>
      <c r="N47" s="5"/>
      <c r="O47" s="36"/>
      <c r="P47" s="1"/>
      <c r="Q47" s="1"/>
      <c r="R47" s="5"/>
      <c r="S47" s="1"/>
      <c r="T47" s="1"/>
      <c r="U47" s="1"/>
      <c r="V47" s="5"/>
      <c r="W47" s="1"/>
      <c r="X47" s="1"/>
      <c r="Y47" s="1"/>
      <c r="Z47" s="5"/>
    </row>
    <row r="48" spans="1:26" s="23" customFormat="1" collapsed="1" x14ac:dyDescent="0.3">
      <c r="A48" s="10"/>
      <c r="B48" s="25" t="s">
        <v>293</v>
      </c>
      <c r="C48" s="10"/>
      <c r="D48" s="4">
        <f>SUM(OSRRefD25x_0)</f>
        <v>5819.63</v>
      </c>
      <c r="E48" s="4"/>
      <c r="F48" s="12">
        <f t="shared" ref="F48:F49" si="24">IF(D$12=0,0,D48/D$12)</f>
        <v>0</v>
      </c>
      <c r="G48" s="4"/>
      <c r="H48" s="4">
        <f>SUM(OSRRefH25x_0)</f>
        <v>250</v>
      </c>
      <c r="I48" s="4"/>
      <c r="J48" s="12">
        <f t="shared" ref="J48:J49" si="25">IF(H$12=0,0,H48/H$12)</f>
        <v>0</v>
      </c>
      <c r="K48" s="4"/>
      <c r="L48" s="4">
        <f t="shared" ref="L48:L49" si="26">+D48-H48</f>
        <v>5569.63</v>
      </c>
      <c r="M48" s="4"/>
      <c r="N48" s="12">
        <f t="shared" ref="N48:N49" si="27">IF(H48=0,0,L48/H48)</f>
        <v>22.27852</v>
      </c>
      <c r="O48" s="10"/>
      <c r="P48" s="4">
        <f>SUM(OSRRefP25x_0)</f>
        <v>25936.57</v>
      </c>
      <c r="Q48" s="4"/>
      <c r="R48" s="12">
        <f t="shared" ref="R48:R49" si="28">IF(P$12=0,0,P48/P$12)</f>
        <v>0</v>
      </c>
      <c r="S48" s="4"/>
      <c r="T48" s="4">
        <f>SUM(OSRRefT25x_0)</f>
        <v>750</v>
      </c>
      <c r="U48" s="4"/>
      <c r="V48" s="12">
        <f t="shared" ref="V48:V49" si="29">IF(T$12=0,0,T48/T$12)</f>
        <v>0</v>
      </c>
      <c r="W48" s="4"/>
      <c r="X48" s="4">
        <f t="shared" ref="X48:X49" si="30">+P48-T48</f>
        <v>25186.57</v>
      </c>
      <c r="Y48" s="4"/>
      <c r="Z48" s="12">
        <f t="shared" ref="Z48:Z49" si="31">IF(T48=0,0,X48/T48)</f>
        <v>33.582093333333333</v>
      </c>
    </row>
    <row r="49" spans="1:26" s="24" customFormat="1" hidden="1" outlineLevel="1" x14ac:dyDescent="0.3">
      <c r="A49" s="44"/>
      <c r="B49" s="11" t="str">
        <f>CONCATENATE("          ", "9150", " - ", "MISC. INCOME")</f>
        <v xml:space="preserve">          9150 - MISC. INCOME</v>
      </c>
      <c r="C49" s="11"/>
      <c r="D49" s="2">
        <f>--5819.63</f>
        <v>5819.63</v>
      </c>
      <c r="E49" s="2"/>
      <c r="F49" s="19">
        <f t="shared" si="24"/>
        <v>0</v>
      </c>
      <c r="G49" s="2"/>
      <c r="H49" s="2">
        <v>250</v>
      </c>
      <c r="I49" s="2"/>
      <c r="J49" s="19">
        <f t="shared" si="25"/>
        <v>0</v>
      </c>
      <c r="K49" s="2"/>
      <c r="L49" s="2">
        <f t="shared" si="26"/>
        <v>5569.63</v>
      </c>
      <c r="M49" s="2"/>
      <c r="N49" s="19">
        <f t="shared" si="27"/>
        <v>22.27852</v>
      </c>
      <c r="O49" s="11"/>
      <c r="P49" s="2">
        <f>--25936.57</f>
        <v>25936.57</v>
      </c>
      <c r="Q49" s="2"/>
      <c r="R49" s="19">
        <f t="shared" si="28"/>
        <v>0</v>
      </c>
      <c r="S49" s="2"/>
      <c r="T49" s="2">
        <v>750</v>
      </c>
      <c r="U49" s="2"/>
      <c r="V49" s="19">
        <f t="shared" si="29"/>
        <v>0</v>
      </c>
      <c r="W49" s="2"/>
      <c r="X49" s="2">
        <f t="shared" si="30"/>
        <v>25186.57</v>
      </c>
      <c r="Y49" s="2"/>
      <c r="Z49" s="19">
        <f t="shared" si="31"/>
        <v>33.582093333333333</v>
      </c>
    </row>
    <row r="50" spans="1:26" x14ac:dyDescent="0.3">
      <c r="A50" s="9"/>
      <c r="B50" s="10"/>
      <c r="C50" s="10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0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3">
      <c r="A51" s="10"/>
      <c r="B51" s="26" t="s">
        <v>277</v>
      </c>
      <c r="C51" s="26"/>
      <c r="D51" s="20">
        <f>+D16-D18+D48</f>
        <v>5729.09</v>
      </c>
      <c r="E51" s="13"/>
      <c r="F51" s="22">
        <f>IF(D$12=0,0,D51/D$12)</f>
        <v>0</v>
      </c>
      <c r="G51" s="13"/>
      <c r="H51" s="20">
        <f>+H16-H18+H48</f>
        <v>250</v>
      </c>
      <c r="I51" s="13"/>
      <c r="J51" s="22">
        <f>IF(H$12=0,0,H51/H$12)</f>
        <v>0</v>
      </c>
      <c r="K51" s="15"/>
      <c r="L51" s="20">
        <f>+D51-H51</f>
        <v>5479.09</v>
      </c>
      <c r="M51" s="15"/>
      <c r="N51" s="22">
        <f>IF(H51=0,0,L51/H51)</f>
        <v>21.916360000000001</v>
      </c>
      <c r="O51" s="25"/>
      <c r="P51" s="20">
        <f>+P16-P18+P48</f>
        <v>17848.52</v>
      </c>
      <c r="Q51" s="13"/>
      <c r="R51" s="22">
        <f>IF(P$12=0,0,P51/P$12)</f>
        <v>0</v>
      </c>
      <c r="S51" s="13"/>
      <c r="T51" s="20">
        <f>+T16-T18+T48</f>
        <v>750</v>
      </c>
      <c r="U51" s="13"/>
      <c r="V51" s="22">
        <f>IF(T$12=0,0,T51/T$12)</f>
        <v>0</v>
      </c>
      <c r="W51" s="15"/>
      <c r="X51" s="20">
        <f>+P51-T51</f>
        <v>17098.52</v>
      </c>
      <c r="Y51" s="15"/>
      <c r="Z51" s="22">
        <f>IF(T51=0,0,X51/T51)</f>
        <v>22.798026666666669</v>
      </c>
    </row>
    <row r="52" spans="1:26" x14ac:dyDescent="0.3">
      <c r="A52" s="9"/>
      <c r="B52" s="10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3">
      <c r="A53" s="52"/>
      <c r="B53" s="10" t="s">
        <v>128</v>
      </c>
      <c r="C53" s="10"/>
      <c r="D53" s="4"/>
      <c r="E53" s="4"/>
      <c r="F53" s="12">
        <f>IF(D$12=0,0,D53/D$12)</f>
        <v>0</v>
      </c>
      <c r="G53" s="4"/>
      <c r="H53" s="4"/>
      <c r="I53" s="4"/>
      <c r="J53" s="12">
        <f>IF(H$12=0,0,H53/H$12)</f>
        <v>0</v>
      </c>
      <c r="K53" s="4"/>
      <c r="L53" s="4">
        <f>+D53-H53</f>
        <v>0</v>
      </c>
      <c r="M53" s="4"/>
      <c r="N53" s="12">
        <f>IF(H53=0,0,L53/H53)</f>
        <v>0</v>
      </c>
      <c r="O53" s="10"/>
      <c r="P53" s="4"/>
      <c r="Q53" s="4"/>
      <c r="R53" s="12">
        <f>IF(P$12=0,0,P53/P$12)</f>
        <v>0</v>
      </c>
      <c r="S53" s="4"/>
      <c r="T53" s="4"/>
      <c r="U53" s="4"/>
      <c r="V53" s="12">
        <f>IF(T$12=0,0,T53/T$12)</f>
        <v>0</v>
      </c>
      <c r="W53" s="4"/>
      <c r="X53" s="4">
        <f>+P53-T53</f>
        <v>0</v>
      </c>
      <c r="Y53" s="4"/>
      <c r="Z53" s="12">
        <f>IF(T53=0,0,X53/T53)</f>
        <v>0</v>
      </c>
    </row>
    <row r="54" spans="1:26" x14ac:dyDescent="0.3">
      <c r="A54" s="9"/>
      <c r="B54" s="10"/>
      <c r="C54" s="10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0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ht="15" thickBot="1" x14ac:dyDescent="0.35">
      <c r="A55" s="10"/>
      <c r="B55" s="26" t="s">
        <v>126</v>
      </c>
      <c r="C55" s="26"/>
      <c r="D55" s="33">
        <f>+D51-D53</f>
        <v>5729.09</v>
      </c>
      <c r="E55" s="13"/>
      <c r="F55" s="34">
        <f>IF(D$12=0,0,D55/D$12)</f>
        <v>0</v>
      </c>
      <c r="G55" s="13"/>
      <c r="H55" s="33">
        <f>+H51-H53</f>
        <v>250</v>
      </c>
      <c r="I55" s="13"/>
      <c r="J55" s="34">
        <f>IF(H$12=0,0,H55/H$12)</f>
        <v>0</v>
      </c>
      <c r="K55" s="15"/>
      <c r="L55" s="33">
        <f>D55-H55</f>
        <v>5479.09</v>
      </c>
      <c r="M55" s="15"/>
      <c r="N55" s="34">
        <f>IF(H55=0,0,L55/H55)</f>
        <v>21.916360000000001</v>
      </c>
      <c r="O55" s="25"/>
      <c r="P55" s="33">
        <f>+P51-P53</f>
        <v>17848.52</v>
      </c>
      <c r="Q55" s="13"/>
      <c r="R55" s="34">
        <f>IF(P$12=0,0,P55/P$12)</f>
        <v>0</v>
      </c>
      <c r="S55" s="13"/>
      <c r="T55" s="33">
        <f>+T51-T53</f>
        <v>750</v>
      </c>
      <c r="U55" s="13"/>
      <c r="V55" s="34">
        <f>IF(T$12=0,0,T55/T$12)</f>
        <v>0</v>
      </c>
      <c r="W55" s="15"/>
      <c r="X55" s="33">
        <f>P55-T55</f>
        <v>17098.52</v>
      </c>
      <c r="Y55" s="15"/>
      <c r="Z55" s="34">
        <f>IF(T55=0,0,X55/T55)</f>
        <v>22.798026666666669</v>
      </c>
    </row>
    <row r="56" spans="1:26" ht="15" thickTop="1" x14ac:dyDescent="0.3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x14ac:dyDescent="0.3">
      <c r="A57" s="9"/>
      <c r="B57" s="9"/>
      <c r="C57" s="9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ht="15" thickBot="1" x14ac:dyDescent="0.35">
      <c r="A58" s="10"/>
      <c r="B58" s="26" t="s">
        <v>294</v>
      </c>
      <c r="C58" s="26"/>
      <c r="D58" s="35">
        <f>SUM(D55:D57)</f>
        <v>5729.09</v>
      </c>
      <c r="E58" s="13"/>
      <c r="F58" s="32">
        <f>IF(D$12=0,0,D58/D$12)</f>
        <v>0</v>
      </c>
      <c r="G58" s="13"/>
      <c r="H58" s="35">
        <f>SUM(H55:H57)</f>
        <v>250</v>
      </c>
      <c r="I58" s="13"/>
      <c r="J58" s="32">
        <f>IF(H$12=0,0,H58/H$12)</f>
        <v>0</v>
      </c>
      <c r="K58" s="15"/>
      <c r="L58" s="35">
        <f>+D58-H58</f>
        <v>5479.09</v>
      </c>
      <c r="M58" s="15"/>
      <c r="N58" s="32">
        <f>IF(H58=0,0,L58/H58)</f>
        <v>21.916360000000001</v>
      </c>
      <c r="O58" s="25"/>
      <c r="P58" s="35">
        <f>SUM(P55:P57)</f>
        <v>17848.52</v>
      </c>
      <c r="Q58" s="13"/>
      <c r="R58" s="32">
        <f>IF(P$12=0,0,P58/P$12)</f>
        <v>0</v>
      </c>
      <c r="S58" s="13"/>
      <c r="T58" s="35">
        <f>SUM(T55:T57)</f>
        <v>750</v>
      </c>
      <c r="U58" s="13"/>
      <c r="V58" s="32">
        <f>IF(T$12=0,0,T58/T$12)</f>
        <v>0</v>
      </c>
      <c r="W58" s="15"/>
      <c r="X58" s="35">
        <f>+P58-T58</f>
        <v>17098.52</v>
      </c>
      <c r="Y58" s="15"/>
      <c r="Z58" s="32">
        <f>IF(T58=0,0,X58/T58)</f>
        <v>22.798026666666669</v>
      </c>
    </row>
    <row r="59" spans="1:26" ht="15" thickTop="1" x14ac:dyDescent="0.3">
      <c r="A59" s="9"/>
      <c r="C59" s="9"/>
      <c r="D59" s="17"/>
      <c r="E59" s="17"/>
      <c r="G59" s="17"/>
      <c r="H59" s="17"/>
      <c r="I59" s="17"/>
      <c r="J59" s="42"/>
      <c r="K59" s="17"/>
      <c r="L59" s="17"/>
      <c r="M59" s="17"/>
      <c r="P59" s="17"/>
      <c r="Q59" s="17"/>
      <c r="R59" s="42"/>
      <c r="S59" s="17"/>
      <c r="T59" s="17"/>
      <c r="U59" s="17"/>
      <c r="V59" s="42"/>
      <c r="W59" s="17"/>
      <c r="X59" s="17"/>
    </row>
    <row r="60" spans="1:26" x14ac:dyDescent="0.3">
      <c r="A60" s="9"/>
      <c r="B60" s="60">
        <v>44543.753113078703</v>
      </c>
      <c r="D60" s="17"/>
      <c r="E60" s="17"/>
      <c r="G60" s="17"/>
      <c r="H60" s="17"/>
      <c r="I60" s="17"/>
      <c r="J60" s="42"/>
      <c r="K60" s="17"/>
      <c r="L60" s="17"/>
      <c r="M60" s="17"/>
      <c r="P60" s="17"/>
      <c r="Q60" s="17"/>
      <c r="R60" s="42"/>
      <c r="S60" s="17"/>
      <c r="T60" s="17"/>
      <c r="U60" s="17"/>
      <c r="V60" s="42"/>
      <c r="W60" s="17"/>
      <c r="X60" s="17"/>
    </row>
    <row r="61" spans="1:26" x14ac:dyDescent="0.3">
      <c r="A61" s="9"/>
      <c r="B61" s="58" t="s">
        <v>56</v>
      </c>
      <c r="D61" s="17"/>
      <c r="E61" s="17"/>
      <c r="G61" s="17"/>
      <c r="H61" s="17"/>
      <c r="I61" s="17"/>
      <c r="J61" s="42"/>
      <c r="K61" s="17"/>
      <c r="L61" s="17"/>
      <c r="M61" s="17"/>
      <c r="P61" s="17"/>
      <c r="Q61" s="17"/>
      <c r="R61" s="42"/>
      <c r="S61" s="17"/>
      <c r="T61" s="17"/>
      <c r="U61" s="17"/>
      <c r="V61" s="42"/>
      <c r="W61" s="17"/>
      <c r="X61" s="17"/>
    </row>
    <row r="62" spans="1:26" x14ac:dyDescent="0.3">
      <c r="A62" s="9"/>
      <c r="B62" s="55"/>
      <c r="D62" s="17"/>
      <c r="E62" s="17"/>
      <c r="G62" s="17"/>
      <c r="H62" s="17"/>
      <c r="I62" s="17"/>
      <c r="J62" s="42"/>
      <c r="K62" s="17"/>
      <c r="L62" s="17"/>
      <c r="M62" s="17"/>
      <c r="P62" s="17"/>
      <c r="Q62" s="17"/>
      <c r="R62" s="42"/>
      <c r="S62" s="17"/>
      <c r="T62" s="17"/>
      <c r="U62" s="17"/>
      <c r="V62" s="42"/>
      <c r="W62" s="17"/>
      <c r="X62" s="17"/>
    </row>
    <row r="63" spans="1:26" x14ac:dyDescent="0.3">
      <c r="D63" s="17"/>
      <c r="E63" s="17"/>
      <c r="G63" s="17"/>
      <c r="H63" s="17"/>
      <c r="I63" s="17"/>
      <c r="J63" s="42"/>
      <c r="K63" s="17"/>
      <c r="L63" s="17"/>
      <c r="M63" s="17"/>
      <c r="P63" s="17"/>
      <c r="Q63" s="17"/>
      <c r="R63" s="42"/>
      <c r="S63" s="17"/>
      <c r="T63" s="17"/>
      <c r="U63" s="17"/>
      <c r="V63" s="42"/>
      <c r="W63" s="17"/>
      <c r="X63" s="17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92D050"/>
    <outlinePr summaryBelow="0" summaryRight="0"/>
  </sheetPr>
  <dimension ref="A2:Z3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","424", " - ", "Blair Field")</f>
        <v>Department 424 - Blair Field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5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1">
        <f>SUM(OSRRefD22x_0)</f>
        <v>479.29</v>
      </c>
      <c r="E18" s="21"/>
      <c r="F18" s="30">
        <f t="shared" ref="F18:F22" si="0">IF(D$12=0,0,D18/D$12)</f>
        <v>0</v>
      </c>
      <c r="G18" s="21"/>
      <c r="H18" s="21">
        <f>SUM(OSRRefH22x_0)</f>
        <v>479</v>
      </c>
      <c r="I18" s="21"/>
      <c r="J18" s="30">
        <f t="shared" ref="J18:J22" si="1">IF(H$12=0,0,H18/H$12)</f>
        <v>0</v>
      </c>
      <c r="K18" s="4"/>
      <c r="L18" s="21">
        <f t="shared" ref="L18:L22" si="2">+D18-H18</f>
        <v>0.29000000000002046</v>
      </c>
      <c r="M18" s="4"/>
      <c r="N18" s="30">
        <f t="shared" ref="N18:N22" si="3">IF(H18=0,0,L18/H18)</f>
        <v>6.054279749478506E-4</v>
      </c>
      <c r="O18" s="10"/>
      <c r="P18" s="21">
        <f>SUM(OSRRefP22x_0)</f>
        <v>2396.4499999999998</v>
      </c>
      <c r="Q18" s="21"/>
      <c r="R18" s="30">
        <f t="shared" ref="R18:R22" si="4">IF(P$12=0,0,P18/P$12)</f>
        <v>0</v>
      </c>
      <c r="S18" s="21"/>
      <c r="T18" s="21">
        <f>SUM(OSRRefT22x_0)</f>
        <v>2395</v>
      </c>
      <c r="U18" s="21"/>
      <c r="V18" s="30">
        <f t="shared" ref="V18:V22" si="5">IF(T$12=0,0,T18/T$12)</f>
        <v>0</v>
      </c>
      <c r="W18" s="4"/>
      <c r="X18" s="21">
        <f t="shared" ref="X18:X22" si="6">+P18-T18</f>
        <v>1.4499999999998181</v>
      </c>
      <c r="Y18" s="4"/>
      <c r="Z18" s="30">
        <f t="shared" ref="Z18:Z22" si="7">IF(T18=0,0,X18/T18)</f>
        <v>6.0542797494773199E-4</v>
      </c>
    </row>
    <row r="19" spans="1:26" s="29" customFormat="1" outlineLevel="1" collapsed="1" x14ac:dyDescent="0.3">
      <c r="A19" s="28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479.29</v>
      </c>
      <c r="E19" s="1"/>
      <c r="F19" s="5">
        <f t="shared" si="0"/>
        <v>0</v>
      </c>
      <c r="G19" s="1"/>
      <c r="H19" s="1">
        <f>SUM(OSRRefH22_0x_0)</f>
        <v>479</v>
      </c>
      <c r="I19" s="1"/>
      <c r="J19" s="5">
        <f t="shared" si="1"/>
        <v>0</v>
      </c>
      <c r="K19" s="1"/>
      <c r="L19" s="1">
        <f t="shared" si="2"/>
        <v>0.29000000000002046</v>
      </c>
      <c r="M19" s="1"/>
      <c r="N19" s="5">
        <f t="shared" si="3"/>
        <v>6.054279749478506E-4</v>
      </c>
      <c r="O19" s="14"/>
      <c r="P19" s="1">
        <f>SUM(OSRRefP22_0x_0)</f>
        <v>2396.4499999999998</v>
      </c>
      <c r="Q19" s="1"/>
      <c r="R19" s="5">
        <f t="shared" si="4"/>
        <v>0</v>
      </c>
      <c r="S19" s="1"/>
      <c r="T19" s="1">
        <f>SUM(OSRRefT22_0x_0)</f>
        <v>2395</v>
      </c>
      <c r="U19" s="1"/>
      <c r="V19" s="5">
        <f t="shared" si="5"/>
        <v>0</v>
      </c>
      <c r="W19" s="1"/>
      <c r="X19" s="1">
        <f t="shared" si="6"/>
        <v>1.4499999999998181</v>
      </c>
      <c r="Y19" s="1"/>
      <c r="Z19" s="5">
        <f t="shared" si="7"/>
        <v>6.0542797494773199E-4</v>
      </c>
    </row>
    <row r="20" spans="1:26" s="24" customFormat="1" hidden="1" outlineLevel="2" x14ac:dyDescent="0.3">
      <c r="A20" s="27"/>
      <c r="B20" s="11" t="str">
        <f>CONCATENATE("          ", "6322", " - ", "EQUIPMENT DEPRECIATION EXPENSE")</f>
        <v xml:space="preserve">          6322 - EQUIPMENT DEPRECIATION EXPENSE</v>
      </c>
      <c r="C20" s="11"/>
      <c r="D20" s="6">
        <v>479.29</v>
      </c>
      <c r="E20" s="2"/>
      <c r="F20" s="7">
        <f t="shared" si="0"/>
        <v>0</v>
      </c>
      <c r="G20" s="2"/>
      <c r="H20" s="6">
        <v>479</v>
      </c>
      <c r="I20" s="2"/>
      <c r="J20" s="7">
        <f t="shared" si="1"/>
        <v>0</v>
      </c>
      <c r="K20" s="2"/>
      <c r="L20" s="6">
        <f t="shared" si="2"/>
        <v>0.29000000000002046</v>
      </c>
      <c r="M20" s="2"/>
      <c r="N20" s="7">
        <f t="shared" si="3"/>
        <v>6.054279749478506E-4</v>
      </c>
      <c r="O20" s="11"/>
      <c r="P20" s="6">
        <v>2396.4499999999998</v>
      </c>
      <c r="Q20" s="2"/>
      <c r="R20" s="7">
        <f t="shared" si="4"/>
        <v>0</v>
      </c>
      <c r="S20" s="2"/>
      <c r="T20" s="6">
        <v>2395</v>
      </c>
      <c r="U20" s="2"/>
      <c r="V20" s="7">
        <f t="shared" si="5"/>
        <v>0</v>
      </c>
      <c r="W20" s="2"/>
      <c r="X20" s="6">
        <f t="shared" si="6"/>
        <v>1.4499999999998181</v>
      </c>
      <c r="Y20" s="2"/>
      <c r="Z20" s="7">
        <f t="shared" si="7"/>
        <v>6.0542797494773199E-4</v>
      </c>
    </row>
    <row r="21" spans="1:26" s="29" customFormat="1" outlineLevel="1" collapsed="1" x14ac:dyDescent="0.3">
      <c r="A21" s="28"/>
      <c r="B21" s="14" t="str">
        <f>CONCATENATE("     ","Services                                          ")</f>
        <v xml:space="preserve">     Services              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0</v>
      </c>
      <c r="M21" s="1"/>
      <c r="N21" s="5">
        <f t="shared" si="3"/>
        <v>0</v>
      </c>
      <c r="O21" s="14"/>
      <c r="P21" s="1">
        <f>SUM(OSRRefP22_1x_0)</f>
        <v>0</v>
      </c>
      <c r="Q21" s="1"/>
      <c r="R21" s="5">
        <f t="shared" si="4"/>
        <v>0</v>
      </c>
      <c r="S21" s="1"/>
      <c r="T21" s="1">
        <f>SUM(OSRRefT22_1x_0)</f>
        <v>0</v>
      </c>
      <c r="U21" s="1"/>
      <c r="V21" s="5">
        <f t="shared" si="5"/>
        <v>0</v>
      </c>
      <c r="W21" s="1"/>
      <c r="X21" s="1">
        <f t="shared" si="6"/>
        <v>0</v>
      </c>
      <c r="Y21" s="1"/>
      <c r="Z21" s="5">
        <f t="shared" si="7"/>
        <v>0</v>
      </c>
    </row>
    <row r="22" spans="1:26" s="24" customFormat="1" hidden="1" outlineLevel="2" x14ac:dyDescent="0.3">
      <c r="A22" s="27"/>
      <c r="B22" s="11" t="str">
        <f>CONCATENATE("          ", "6284", " - ", "TRASH REMOVAL EXPENSE")</f>
        <v xml:space="preserve">          6284 - TRASH REMOVAL EXPENSE</v>
      </c>
      <c r="C22" s="11"/>
      <c r="D22" s="6"/>
      <c r="E22" s="2"/>
      <c r="F22" s="7">
        <f t="shared" si="0"/>
        <v>0</v>
      </c>
      <c r="G22" s="2"/>
      <c r="H22" s="6"/>
      <c r="I22" s="2"/>
      <c r="J22" s="7">
        <f t="shared" si="1"/>
        <v>0</v>
      </c>
      <c r="K22" s="2"/>
      <c r="L22" s="6">
        <f t="shared" si="2"/>
        <v>0</v>
      </c>
      <c r="M22" s="2"/>
      <c r="N22" s="7">
        <f t="shared" si="3"/>
        <v>0</v>
      </c>
      <c r="O22" s="11"/>
      <c r="P22" s="6"/>
      <c r="Q22" s="2"/>
      <c r="R22" s="7">
        <f t="shared" si="4"/>
        <v>0</v>
      </c>
      <c r="S22" s="2"/>
      <c r="T22" s="6">
        <v>0</v>
      </c>
      <c r="U22" s="2"/>
      <c r="V22" s="7">
        <f t="shared" si="5"/>
        <v>0</v>
      </c>
      <c r="W22" s="2"/>
      <c r="X22" s="6">
        <f t="shared" si="6"/>
        <v>0</v>
      </c>
      <c r="Y22" s="2"/>
      <c r="Z22" s="7">
        <f t="shared" si="7"/>
        <v>0</v>
      </c>
    </row>
    <row r="23" spans="1:26" s="6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3">
      <c r="A24" s="10"/>
      <c r="B24" s="25" t="s">
        <v>293</v>
      </c>
      <c r="C24" s="10"/>
      <c r="D24" s="4">
        <f>SUM(0)</f>
        <v>0</v>
      </c>
      <c r="E24" s="4"/>
      <c r="F24" s="12">
        <f>IF(D$12=0,0,D24/D$12)</f>
        <v>0</v>
      </c>
      <c r="G24" s="4"/>
      <c r="H24" s="4">
        <f>SUM(0)</f>
        <v>0</v>
      </c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>
        <f>SUM(0)</f>
        <v>0</v>
      </c>
      <c r="Q24" s="4"/>
      <c r="R24" s="12">
        <f>IF(P$12=0,0,P24/P$12)</f>
        <v>0</v>
      </c>
      <c r="S24" s="4"/>
      <c r="T24" s="4">
        <f>SUM(0)</f>
        <v>0</v>
      </c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3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3">
      <c r="A26" s="10"/>
      <c r="B26" s="26" t="s">
        <v>277</v>
      </c>
      <c r="C26" s="26"/>
      <c r="D26" s="20">
        <f>+D16-D18+D24</f>
        <v>-479.29</v>
      </c>
      <c r="E26" s="13"/>
      <c r="F26" s="22">
        <f>IF(D$12=0,0,D26/D$12)</f>
        <v>0</v>
      </c>
      <c r="G26" s="13"/>
      <c r="H26" s="20">
        <f>+H16-H18+H24</f>
        <v>-479</v>
      </c>
      <c r="I26" s="13"/>
      <c r="J26" s="22">
        <f>IF(H$12=0,0,H26/H$12)</f>
        <v>0</v>
      </c>
      <c r="K26" s="15"/>
      <c r="L26" s="20">
        <f>+D26-H26</f>
        <v>-0.29000000000002046</v>
      </c>
      <c r="M26" s="15"/>
      <c r="N26" s="22">
        <f>IF(H26=0,0,L26/H26)</f>
        <v>6.054279749478506E-4</v>
      </c>
      <c r="O26" s="25"/>
      <c r="P26" s="20">
        <f>+P16-P18+P24</f>
        <v>-2396.4499999999998</v>
      </c>
      <c r="Q26" s="13"/>
      <c r="R26" s="22">
        <f>IF(P$12=0,0,P26/P$12)</f>
        <v>0</v>
      </c>
      <c r="S26" s="13"/>
      <c r="T26" s="20">
        <f>+T16-T18+T24</f>
        <v>-2395</v>
      </c>
      <c r="U26" s="13"/>
      <c r="V26" s="22">
        <f>IF(T$12=0,0,T26/T$12)</f>
        <v>0</v>
      </c>
      <c r="W26" s="15"/>
      <c r="X26" s="20">
        <f>+P26-T26</f>
        <v>-1.4499999999998181</v>
      </c>
      <c r="Y26" s="15"/>
      <c r="Z26" s="22">
        <f>IF(T26=0,0,X26/T26)</f>
        <v>6.0542797494773199E-4</v>
      </c>
    </row>
    <row r="27" spans="1:26" x14ac:dyDescent="0.3">
      <c r="A27" s="9"/>
      <c r="B27" s="10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3">
      <c r="A28" s="52"/>
      <c r="B28" s="10" t="s">
        <v>128</v>
      </c>
      <c r="C28" s="10"/>
      <c r="D28" s="4"/>
      <c r="E28" s="4"/>
      <c r="F28" s="12">
        <f>IF(D$12=0,0,D28/D$12)</f>
        <v>0</v>
      </c>
      <c r="G28" s="4"/>
      <c r="H28" s="4"/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/>
      <c r="Q28" s="4"/>
      <c r="R28" s="12">
        <f>IF(P$12=0,0,P28/P$12)</f>
        <v>0</v>
      </c>
      <c r="S28" s="4"/>
      <c r="T28" s="4"/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3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ht="15" thickBot="1" x14ac:dyDescent="0.35">
      <c r="A30" s="10"/>
      <c r="B30" s="26" t="s">
        <v>126</v>
      </c>
      <c r="C30" s="26"/>
      <c r="D30" s="33">
        <f>+D26-D28</f>
        <v>-479.29</v>
      </c>
      <c r="E30" s="13"/>
      <c r="F30" s="34">
        <f>IF(D$12=0,0,D30/D$12)</f>
        <v>0</v>
      </c>
      <c r="G30" s="13"/>
      <c r="H30" s="33">
        <f>+H26-H28</f>
        <v>-479</v>
      </c>
      <c r="I30" s="13"/>
      <c r="J30" s="34">
        <f>IF(H$12=0,0,H30/H$12)</f>
        <v>0</v>
      </c>
      <c r="K30" s="15"/>
      <c r="L30" s="33">
        <f>D30-H30</f>
        <v>-0.29000000000002046</v>
      </c>
      <c r="M30" s="15"/>
      <c r="N30" s="34">
        <f>IF(H30=0,0,L30/H30)</f>
        <v>6.054279749478506E-4</v>
      </c>
      <c r="O30" s="25"/>
      <c r="P30" s="33">
        <f>+P26-P28</f>
        <v>-2396.4499999999998</v>
      </c>
      <c r="Q30" s="13"/>
      <c r="R30" s="34">
        <f>IF(P$12=0,0,P30/P$12)</f>
        <v>0</v>
      </c>
      <c r="S30" s="13"/>
      <c r="T30" s="33">
        <f>+T26-T28</f>
        <v>-2395</v>
      </c>
      <c r="U30" s="13"/>
      <c r="V30" s="34">
        <f>IF(T$12=0,0,T30/T$12)</f>
        <v>0</v>
      </c>
      <c r="W30" s="15"/>
      <c r="X30" s="33">
        <f>P30-T30</f>
        <v>-1.4499999999998181</v>
      </c>
      <c r="Y30" s="15"/>
      <c r="Z30" s="34">
        <f>IF(T30=0,0,X30/T30)</f>
        <v>6.0542797494773199E-4</v>
      </c>
    </row>
    <row r="31" spans="1:26" ht="15" thickTop="1" x14ac:dyDescent="0.3">
      <c r="A31" s="9"/>
      <c r="B31" s="9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ht="15" thickBot="1" x14ac:dyDescent="0.35">
      <c r="A33" s="10"/>
      <c r="B33" s="26" t="s">
        <v>294</v>
      </c>
      <c r="C33" s="26"/>
      <c r="D33" s="35">
        <f>SUM(D30:D32)</f>
        <v>-479.29</v>
      </c>
      <c r="E33" s="13"/>
      <c r="F33" s="32">
        <f>IF(D$12=0,0,D33/D$12)</f>
        <v>0</v>
      </c>
      <c r="G33" s="13"/>
      <c r="H33" s="35">
        <f>SUM(H30:H32)</f>
        <v>-479</v>
      </c>
      <c r="I33" s="13"/>
      <c r="J33" s="32">
        <f>IF(H$12=0,0,H33/H$12)</f>
        <v>0</v>
      </c>
      <c r="K33" s="15"/>
      <c r="L33" s="35">
        <f>+D33-H33</f>
        <v>-0.29000000000002046</v>
      </c>
      <c r="M33" s="15"/>
      <c r="N33" s="32">
        <f>IF(H33=0,0,L33/H33)</f>
        <v>6.054279749478506E-4</v>
      </c>
      <c r="O33" s="25"/>
      <c r="P33" s="35">
        <f>SUM(P30:P32)</f>
        <v>-2396.4499999999998</v>
      </c>
      <c r="Q33" s="13"/>
      <c r="R33" s="32">
        <f>IF(P$12=0,0,P33/P$12)</f>
        <v>0</v>
      </c>
      <c r="S33" s="13"/>
      <c r="T33" s="35">
        <f>SUM(T30:T32)</f>
        <v>-2395</v>
      </c>
      <c r="U33" s="13"/>
      <c r="V33" s="32">
        <f>IF(T$12=0,0,T33/T$12)</f>
        <v>0</v>
      </c>
      <c r="W33" s="15"/>
      <c r="X33" s="35">
        <f>+P33-T33</f>
        <v>-1.4499999999998181</v>
      </c>
      <c r="Y33" s="15"/>
      <c r="Z33" s="32">
        <f>IF(T33=0,0,X33/T33)</f>
        <v>6.0542797494773199E-4</v>
      </c>
    </row>
    <row r="34" spans="1:26" ht="15" thickTop="1" x14ac:dyDescent="0.3">
      <c r="A34" s="9"/>
      <c r="C34" s="9"/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6" x14ac:dyDescent="0.3">
      <c r="A35" s="9"/>
      <c r="B35" s="60">
        <v>44543.753113078703</v>
      </c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6" x14ac:dyDescent="0.3">
      <c r="A36" s="9"/>
      <c r="B36" s="58" t="s">
        <v>56</v>
      </c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  <row r="37" spans="1:26" x14ac:dyDescent="0.3">
      <c r="A37" s="9"/>
      <c r="B37" s="55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rgb="FF92D050"/>
    <outlinePr summaryBelow="0" summaryRight="0"/>
  </sheetPr>
  <dimension ref="A2:Z4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","425", " - ", "Events Center")</f>
        <v>Department 425 - Events Center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1464.84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1464.84</v>
      </c>
      <c r="M12" s="4"/>
      <c r="N12" s="12">
        <f t="shared" ref="N12:N13" si="1">IF(H12=0,0,L12/H12)</f>
        <v>0</v>
      </c>
      <c r="O12" s="10"/>
      <c r="P12" s="4">
        <f>SUM(OSRRefP13x_0)</f>
        <v>5729.68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5729.68</v>
      </c>
      <c r="Y12" s="4"/>
      <c r="Z12" s="12">
        <f t="shared" ref="Z12:Z13" si="3">IF(T12=0,0,X12/T12)</f>
        <v>0</v>
      </c>
    </row>
    <row r="13" spans="1:26" s="24" customFormat="1" hidden="1" outlineLevel="1" x14ac:dyDescent="0.3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--1464.84</f>
        <v>1464.84</v>
      </c>
      <c r="E13" s="2"/>
      <c r="F13" s="19"/>
      <c r="G13" s="2"/>
      <c r="H13" s="2"/>
      <c r="I13" s="2"/>
      <c r="J13" s="19"/>
      <c r="K13" s="2"/>
      <c r="L13" s="2">
        <f t="shared" si="0"/>
        <v>1464.84</v>
      </c>
      <c r="M13" s="2"/>
      <c r="N13" s="19">
        <f t="shared" si="1"/>
        <v>0</v>
      </c>
      <c r="O13" s="11"/>
      <c r="P13" s="2">
        <f>--5729.68</f>
        <v>5729.68</v>
      </c>
      <c r="Q13" s="2"/>
      <c r="R13" s="19"/>
      <c r="S13" s="2"/>
      <c r="T13" s="2"/>
      <c r="U13" s="2"/>
      <c r="V13" s="19"/>
      <c r="W13" s="2"/>
      <c r="X13" s="2">
        <f t="shared" si="2"/>
        <v>5729.68</v>
      </c>
      <c r="Y13" s="2"/>
      <c r="Z13" s="19">
        <f t="shared" si="3"/>
        <v>0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>
        <f>SUM(OSRRefD16x_0)</f>
        <v>123.48</v>
      </c>
      <c r="E15" s="4"/>
      <c r="F15" s="12">
        <f t="shared" ref="F15:F16" si="4">IF(D$12=0,0,D15/D$12)</f>
        <v>8.4295895797493248E-2</v>
      </c>
      <c r="G15" s="4"/>
      <c r="H15" s="4">
        <f>SUM(OSRRefH16x_0)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123.48</v>
      </c>
      <c r="M15" s="4"/>
      <c r="N15" s="12">
        <f t="shared" ref="N15:N16" si="7">IF(H15=0,0,L15/H15)</f>
        <v>0</v>
      </c>
      <c r="O15" s="10"/>
      <c r="P15" s="4">
        <f>SUM(OSRRefP16x_0)</f>
        <v>6070.77</v>
      </c>
      <c r="Q15" s="4"/>
      <c r="R15" s="12">
        <f t="shared" ref="R15:R16" si="8">IF(P$12=0,0,P15/P$12)</f>
        <v>1.0595303751692939</v>
      </c>
      <c r="S15" s="4"/>
      <c r="T15" s="4">
        <f>SUM(OSRRefT16x_0)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6070.77</v>
      </c>
      <c r="Y15" s="4"/>
      <c r="Z15" s="12">
        <f t="shared" ref="Z15:Z16" si="11">IF(T15=0,0,X15/T15)</f>
        <v>0</v>
      </c>
    </row>
    <row r="16" spans="1:26" s="24" customFormat="1" hidden="1" outlineLevel="1" x14ac:dyDescent="0.3">
      <c r="A16" s="44"/>
      <c r="B16" s="11" t="str">
        <f>CONCATENATE("          ", "5053", " - ", "PURCHASES @ COST-FOOD")</f>
        <v xml:space="preserve">          5053 - PURCHASES @ COST-FOOD</v>
      </c>
      <c r="C16" s="11"/>
      <c r="D16" s="2">
        <v>123.48</v>
      </c>
      <c r="E16" s="2"/>
      <c r="F16" s="19">
        <f t="shared" si="4"/>
        <v>8.4295895797493248E-2</v>
      </c>
      <c r="G16" s="2"/>
      <c r="H16" s="2"/>
      <c r="I16" s="2"/>
      <c r="J16" s="19">
        <f t="shared" si="5"/>
        <v>0</v>
      </c>
      <c r="K16" s="2"/>
      <c r="L16" s="2">
        <f t="shared" si="6"/>
        <v>123.48</v>
      </c>
      <c r="M16" s="2"/>
      <c r="N16" s="19">
        <f t="shared" si="7"/>
        <v>0</v>
      </c>
      <c r="O16" s="11"/>
      <c r="P16" s="2">
        <v>6070.77</v>
      </c>
      <c r="Q16" s="2"/>
      <c r="R16" s="19">
        <f t="shared" si="8"/>
        <v>1.0595303751692939</v>
      </c>
      <c r="S16" s="2"/>
      <c r="T16" s="2"/>
      <c r="U16" s="2"/>
      <c r="V16" s="19">
        <f t="shared" si="9"/>
        <v>0</v>
      </c>
      <c r="W16" s="2"/>
      <c r="X16" s="2">
        <f t="shared" si="10"/>
        <v>6070.77</v>
      </c>
      <c r="Y16" s="2"/>
      <c r="Z16" s="19">
        <f t="shared" si="11"/>
        <v>0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>
        <f>D12-D15</f>
        <v>1341.36</v>
      </c>
      <c r="E18" s="13"/>
      <c r="F18" s="22">
        <f>IF(D$12=0,0,D18/D$12)</f>
        <v>0.9157041042025067</v>
      </c>
      <c r="G18" s="13"/>
      <c r="H18" s="20">
        <f>H12-H15</f>
        <v>0</v>
      </c>
      <c r="I18" s="13"/>
      <c r="J18" s="22">
        <f>IF(H$12=0,0,H18/H$12)</f>
        <v>0</v>
      </c>
      <c r="K18" s="15"/>
      <c r="L18" s="20">
        <f>+D18-H18</f>
        <v>1341.36</v>
      </c>
      <c r="M18" s="15"/>
      <c r="N18" s="22">
        <f>IF(H18=0,0,L18/H18)</f>
        <v>0</v>
      </c>
      <c r="O18" s="25"/>
      <c r="P18" s="20">
        <f>P12-P15</f>
        <v>-341.09000000000015</v>
      </c>
      <c r="Q18" s="13"/>
      <c r="R18" s="22">
        <f>IF(P$12=0,0,P18/P$12)</f>
        <v>-5.9530375169293943E-2</v>
      </c>
      <c r="S18" s="13"/>
      <c r="T18" s="20">
        <f>T12-T15</f>
        <v>0</v>
      </c>
      <c r="U18" s="13"/>
      <c r="V18" s="22">
        <f>IF(T$12=0,0,T18/T$12)</f>
        <v>0</v>
      </c>
      <c r="W18" s="15"/>
      <c r="X18" s="20">
        <f>+P18-T18</f>
        <v>-341.09000000000015</v>
      </c>
      <c r="Y18" s="15"/>
      <c r="Z18" s="22">
        <f>IF(T18=0,0,X18/T18)</f>
        <v>0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>
        <f>SUM(OSRRefD22x_0)</f>
        <v>1401.94</v>
      </c>
      <c r="E20" s="21"/>
      <c r="F20" s="30">
        <f t="shared" ref="F20:F32" si="12">IF(D$12=0,0,D20/D$12)</f>
        <v>0.95706015674066802</v>
      </c>
      <c r="G20" s="21"/>
      <c r="H20" s="21">
        <f>SUM(OSRRefH22x_0)</f>
        <v>1001</v>
      </c>
      <c r="I20" s="21"/>
      <c r="J20" s="30">
        <f t="shared" ref="J20:J32" si="13">IF(H$12=0,0,H20/H$12)</f>
        <v>0</v>
      </c>
      <c r="K20" s="4"/>
      <c r="L20" s="21">
        <f t="shared" ref="L20:L32" si="14">+D20-H20</f>
        <v>400.94000000000005</v>
      </c>
      <c r="M20" s="4"/>
      <c r="N20" s="30">
        <f t="shared" ref="N20:N32" si="15">IF(H20=0,0,L20/H20)</f>
        <v>0.4005394605394606</v>
      </c>
      <c r="O20" s="10"/>
      <c r="P20" s="21">
        <f>SUM(OSRRefP22x_0)</f>
        <v>8407.7900000000009</v>
      </c>
      <c r="Q20" s="21"/>
      <c r="R20" s="30">
        <f t="shared" ref="R20:R32" si="16">IF(P$12=0,0,P20/P$12)</f>
        <v>1.4674100473324863</v>
      </c>
      <c r="S20" s="21"/>
      <c r="T20" s="21">
        <f>SUM(OSRRefT22x_0)</f>
        <v>5005</v>
      </c>
      <c r="U20" s="21"/>
      <c r="V20" s="30">
        <f t="shared" ref="V20:V32" si="17">IF(T$12=0,0,T20/T$12)</f>
        <v>0</v>
      </c>
      <c r="W20" s="4"/>
      <c r="X20" s="21">
        <f t="shared" ref="X20:X32" si="18">+P20-T20</f>
        <v>3402.7900000000009</v>
      </c>
      <c r="Y20" s="4"/>
      <c r="Z20" s="30">
        <f t="shared" ref="Z20:Z32" si="19">IF(T20=0,0,X20/T20)</f>
        <v>0.67987812187812202</v>
      </c>
    </row>
    <row r="21" spans="1:26" s="29" customFormat="1" outlineLevel="1" collapsed="1" x14ac:dyDescent="0.3">
      <c r="A21" s="28"/>
      <c r="B21" s="14" t="str">
        <f>CONCATENATE("     ","Bank/card Fees                                    ")</f>
        <v xml:space="preserve">     Bank/card Fees                                    </v>
      </c>
      <c r="C21" s="14"/>
      <c r="D21" s="1">
        <f>SUM(OSRRefD22_0x_0)</f>
        <v>34.81</v>
      </c>
      <c r="E21" s="1"/>
      <c r="F21" s="5">
        <f t="shared" si="12"/>
        <v>2.3763687501706675E-2</v>
      </c>
      <c r="G21" s="1"/>
      <c r="H21" s="1">
        <f>SUM(OSRRefH22_0x_0)</f>
        <v>0</v>
      </c>
      <c r="I21" s="1"/>
      <c r="J21" s="5">
        <f t="shared" si="13"/>
        <v>0</v>
      </c>
      <c r="K21" s="1"/>
      <c r="L21" s="1">
        <f t="shared" si="14"/>
        <v>34.81</v>
      </c>
      <c r="M21" s="1"/>
      <c r="N21" s="5">
        <f t="shared" si="15"/>
        <v>0</v>
      </c>
      <c r="O21" s="14"/>
      <c r="P21" s="1">
        <f>SUM(OSRRefP22_0x_0)</f>
        <v>99.54</v>
      </c>
      <c r="Q21" s="1"/>
      <c r="R21" s="5">
        <f t="shared" si="16"/>
        <v>1.7372697951718072E-2</v>
      </c>
      <c r="S21" s="1"/>
      <c r="T21" s="1">
        <f>SUM(OSRRefT22_0x_0)</f>
        <v>0</v>
      </c>
      <c r="U21" s="1"/>
      <c r="V21" s="5">
        <f t="shared" si="17"/>
        <v>0</v>
      </c>
      <c r="W21" s="1"/>
      <c r="X21" s="1">
        <f t="shared" si="18"/>
        <v>99.54</v>
      </c>
      <c r="Y21" s="1"/>
      <c r="Z21" s="5">
        <f t="shared" si="19"/>
        <v>0</v>
      </c>
    </row>
    <row r="22" spans="1:26" s="24" customFormat="1" hidden="1" outlineLevel="2" x14ac:dyDescent="0.3">
      <c r="A22" s="27"/>
      <c r="B22" s="11" t="str">
        <f>CONCATENATE("          ", "6381", " - ", "BANK/CREDIT CARD FEES")</f>
        <v xml:space="preserve">          6381 - BANK/CREDIT CARD FEES</v>
      </c>
      <c r="C22" s="11"/>
      <c r="D22" s="6">
        <v>34.81</v>
      </c>
      <c r="E22" s="2"/>
      <c r="F22" s="7">
        <f t="shared" si="12"/>
        <v>2.3763687501706675E-2</v>
      </c>
      <c r="G22" s="2"/>
      <c r="H22" s="6"/>
      <c r="I22" s="2"/>
      <c r="J22" s="7">
        <f t="shared" si="13"/>
        <v>0</v>
      </c>
      <c r="K22" s="2"/>
      <c r="L22" s="6">
        <f t="shared" si="14"/>
        <v>34.81</v>
      </c>
      <c r="M22" s="2"/>
      <c r="N22" s="7">
        <f t="shared" si="15"/>
        <v>0</v>
      </c>
      <c r="O22" s="11"/>
      <c r="P22" s="6">
        <v>99.54</v>
      </c>
      <c r="Q22" s="2"/>
      <c r="R22" s="7">
        <f t="shared" si="16"/>
        <v>1.7372697951718072E-2</v>
      </c>
      <c r="S22" s="2"/>
      <c r="T22" s="6"/>
      <c r="U22" s="2"/>
      <c r="V22" s="7">
        <f t="shared" si="17"/>
        <v>0</v>
      </c>
      <c r="W22" s="2"/>
      <c r="X22" s="6">
        <f t="shared" si="18"/>
        <v>99.54</v>
      </c>
      <c r="Y22" s="2"/>
      <c r="Z22" s="7">
        <f t="shared" si="19"/>
        <v>0</v>
      </c>
    </row>
    <row r="23" spans="1:26" s="29" customFormat="1" outlineLevel="1" collapsed="1" x14ac:dyDescent="0.3">
      <c r="A23" s="28"/>
      <c r="B23" s="14" t="str">
        <f>CONCATENATE("     ","Depreciation                                      ")</f>
        <v xml:space="preserve">     Depreciation                                      </v>
      </c>
      <c r="C23" s="14"/>
      <c r="D23" s="1">
        <f>SUM(OSRRefD22_1x_0)</f>
        <v>1000.91</v>
      </c>
      <c r="E23" s="1"/>
      <c r="F23" s="5">
        <f t="shared" si="12"/>
        <v>0.68328964255481828</v>
      </c>
      <c r="G23" s="1"/>
      <c r="H23" s="1">
        <f>SUM(OSRRefH22_1x_0)</f>
        <v>1001</v>
      </c>
      <c r="I23" s="1"/>
      <c r="J23" s="5">
        <f t="shared" si="13"/>
        <v>0</v>
      </c>
      <c r="K23" s="1"/>
      <c r="L23" s="1">
        <f t="shared" si="14"/>
        <v>-9.0000000000031832E-2</v>
      </c>
      <c r="M23" s="1"/>
      <c r="N23" s="5">
        <f t="shared" si="15"/>
        <v>-8.9910089910121704E-5</v>
      </c>
      <c r="O23" s="14"/>
      <c r="P23" s="1">
        <f>SUM(OSRRefP22_1x_0)</f>
        <v>5004.55</v>
      </c>
      <c r="Q23" s="1"/>
      <c r="R23" s="5">
        <f t="shared" si="16"/>
        <v>0.87344319403526893</v>
      </c>
      <c r="S23" s="1"/>
      <c r="T23" s="1">
        <f>SUM(OSRRefT22_1x_0)</f>
        <v>5005</v>
      </c>
      <c r="U23" s="1"/>
      <c r="V23" s="5">
        <f t="shared" si="17"/>
        <v>0</v>
      </c>
      <c r="W23" s="1"/>
      <c r="X23" s="1">
        <f t="shared" si="18"/>
        <v>-0.4499999999998181</v>
      </c>
      <c r="Y23" s="1"/>
      <c r="Z23" s="5">
        <f t="shared" si="19"/>
        <v>-8.9910089910053562E-5</v>
      </c>
    </row>
    <row r="24" spans="1:26" s="24" customFormat="1" hidden="1" outlineLevel="2" x14ac:dyDescent="0.3">
      <c r="A24" s="27"/>
      <c r="B24" s="11" t="str">
        <f>CONCATENATE("          ", "6322", " - ", "EQUIPMENT DEPRECIATION EXPENSE")</f>
        <v xml:space="preserve">          6322 - EQUIPMENT DEPRECIATION EXPENSE</v>
      </c>
      <c r="C24" s="11"/>
      <c r="D24" s="6">
        <v>1000.91</v>
      </c>
      <c r="E24" s="2"/>
      <c r="F24" s="7">
        <f t="shared" si="12"/>
        <v>0.68328964255481828</v>
      </c>
      <c r="G24" s="2"/>
      <c r="H24" s="6">
        <v>1001</v>
      </c>
      <c r="I24" s="2"/>
      <c r="J24" s="7">
        <f t="shared" si="13"/>
        <v>0</v>
      </c>
      <c r="K24" s="2"/>
      <c r="L24" s="6">
        <f t="shared" si="14"/>
        <v>-9.0000000000031832E-2</v>
      </c>
      <c r="M24" s="2"/>
      <c r="N24" s="7">
        <f t="shared" si="15"/>
        <v>-8.9910089910121704E-5</v>
      </c>
      <c r="O24" s="11"/>
      <c r="P24" s="6">
        <v>5004.55</v>
      </c>
      <c r="Q24" s="2"/>
      <c r="R24" s="7">
        <f t="shared" si="16"/>
        <v>0.87344319403526893</v>
      </c>
      <c r="S24" s="2"/>
      <c r="T24" s="6">
        <v>5005</v>
      </c>
      <c r="U24" s="2"/>
      <c r="V24" s="7">
        <f t="shared" si="17"/>
        <v>0</v>
      </c>
      <c r="W24" s="2"/>
      <c r="X24" s="6">
        <f t="shared" si="18"/>
        <v>-0.4499999999998181</v>
      </c>
      <c r="Y24" s="2"/>
      <c r="Z24" s="7">
        <f t="shared" si="19"/>
        <v>-8.9910089910053562E-5</v>
      </c>
    </row>
    <row r="25" spans="1:26" s="29" customFormat="1" outlineLevel="1" collapsed="1" x14ac:dyDescent="0.3">
      <c r="A25" s="28"/>
      <c r="B25" s="14" t="str">
        <f>CONCATENATE("     ","General                                           ")</f>
        <v xml:space="preserve">     General                                           </v>
      </c>
      <c r="C25" s="14"/>
      <c r="D25" s="1">
        <f>SUM(OSRRefD22_2x_0)</f>
        <v>0</v>
      </c>
      <c r="E25" s="1"/>
      <c r="F25" s="5">
        <f t="shared" si="12"/>
        <v>0</v>
      </c>
      <c r="G25" s="1"/>
      <c r="H25" s="1">
        <f>SUM(OSRRefH22_2x_0)</f>
        <v>0</v>
      </c>
      <c r="I25" s="1"/>
      <c r="J25" s="5">
        <f t="shared" si="13"/>
        <v>0</v>
      </c>
      <c r="K25" s="1"/>
      <c r="L25" s="1">
        <f t="shared" si="14"/>
        <v>0</v>
      </c>
      <c r="M25" s="1"/>
      <c r="N25" s="5">
        <f t="shared" si="15"/>
        <v>0</v>
      </c>
      <c r="O25" s="14"/>
      <c r="P25" s="1">
        <f>SUM(OSRRefP22_2x_0)</f>
        <v>1755</v>
      </c>
      <c r="Q25" s="1"/>
      <c r="R25" s="5">
        <f t="shared" si="16"/>
        <v>0.30629982826266039</v>
      </c>
      <c r="S25" s="1"/>
      <c r="T25" s="1">
        <f>SUM(OSRRefT22_2x_0)</f>
        <v>0</v>
      </c>
      <c r="U25" s="1"/>
      <c r="V25" s="5">
        <f t="shared" si="17"/>
        <v>0</v>
      </c>
      <c r="W25" s="1"/>
      <c r="X25" s="1">
        <f t="shared" si="18"/>
        <v>1755</v>
      </c>
      <c r="Y25" s="1"/>
      <c r="Z25" s="5">
        <f t="shared" si="19"/>
        <v>0</v>
      </c>
    </row>
    <row r="26" spans="1:26" s="24" customFormat="1" hidden="1" outlineLevel="2" x14ac:dyDescent="0.3">
      <c r="A26" s="27"/>
      <c r="B26" s="11" t="str">
        <f>CONCATENATE("          ", "6279", " - ", "GENERAL EXPENSE")</f>
        <v xml:space="preserve">          6279 - GENERAL EXPENSE</v>
      </c>
      <c r="C26" s="11"/>
      <c r="D26" s="6"/>
      <c r="E26" s="2"/>
      <c r="F26" s="7">
        <f t="shared" si="12"/>
        <v>0</v>
      </c>
      <c r="G26" s="2"/>
      <c r="H26" s="6"/>
      <c r="I26" s="2"/>
      <c r="J26" s="7">
        <f t="shared" si="13"/>
        <v>0</v>
      </c>
      <c r="K26" s="2"/>
      <c r="L26" s="6">
        <f t="shared" si="14"/>
        <v>0</v>
      </c>
      <c r="M26" s="2"/>
      <c r="N26" s="7">
        <f t="shared" si="15"/>
        <v>0</v>
      </c>
      <c r="O26" s="11"/>
      <c r="P26" s="6">
        <v>1755</v>
      </c>
      <c r="Q26" s="2"/>
      <c r="R26" s="7">
        <f t="shared" si="16"/>
        <v>0.30629982826266039</v>
      </c>
      <c r="S26" s="2"/>
      <c r="T26" s="6"/>
      <c r="U26" s="2"/>
      <c r="V26" s="7">
        <f t="shared" si="17"/>
        <v>0</v>
      </c>
      <c r="W26" s="2"/>
      <c r="X26" s="6">
        <f t="shared" si="18"/>
        <v>1755</v>
      </c>
      <c r="Y26" s="2"/>
      <c r="Z26" s="7">
        <f t="shared" si="19"/>
        <v>0</v>
      </c>
    </row>
    <row r="27" spans="1:26" s="29" customFormat="1" outlineLevel="1" collapsed="1" x14ac:dyDescent="0.3">
      <c r="A27" s="28"/>
      <c r="B27" s="14" t="str">
        <f>CONCATENATE("     ","Royalty &amp; Commissions                             ")</f>
        <v xml:space="preserve">     Royalty &amp; Commissions                             </v>
      </c>
      <c r="C27" s="14"/>
      <c r="D27" s="1">
        <f>SUM(OSRRefD22_3x_0)</f>
        <v>366.22</v>
      </c>
      <c r="E27" s="1"/>
      <c r="F27" s="5">
        <f t="shared" si="12"/>
        <v>0.25000682668414304</v>
      </c>
      <c r="G27" s="1"/>
      <c r="H27" s="1">
        <f>SUM(OSRRefH22_3x_0)</f>
        <v>0</v>
      </c>
      <c r="I27" s="1"/>
      <c r="J27" s="5">
        <f t="shared" si="13"/>
        <v>0</v>
      </c>
      <c r="K27" s="1"/>
      <c r="L27" s="1">
        <f t="shared" si="14"/>
        <v>366.22</v>
      </c>
      <c r="M27" s="1"/>
      <c r="N27" s="5">
        <f t="shared" si="15"/>
        <v>0</v>
      </c>
      <c r="O27" s="14"/>
      <c r="P27" s="1">
        <f>SUM(OSRRefP22_3x_0)</f>
        <v>1432.44</v>
      </c>
      <c r="Q27" s="1"/>
      <c r="R27" s="5">
        <f t="shared" si="16"/>
        <v>0.25000349059633348</v>
      </c>
      <c r="S27" s="1"/>
      <c r="T27" s="1">
        <f>SUM(OSRRefT22_3x_0)</f>
        <v>0</v>
      </c>
      <c r="U27" s="1"/>
      <c r="V27" s="5">
        <f t="shared" si="17"/>
        <v>0</v>
      </c>
      <c r="W27" s="1"/>
      <c r="X27" s="1">
        <f t="shared" si="18"/>
        <v>1432.44</v>
      </c>
      <c r="Y27" s="1"/>
      <c r="Z27" s="5">
        <f t="shared" si="19"/>
        <v>0</v>
      </c>
    </row>
    <row r="28" spans="1:26" s="24" customFormat="1" hidden="1" outlineLevel="2" x14ac:dyDescent="0.3">
      <c r="A28" s="27"/>
      <c r="B28" s="11" t="str">
        <f>CONCATENATE("          ", "6254", " - ", "ROYALTY &amp; COMMISSIONS")</f>
        <v xml:space="preserve">          6254 - ROYALTY &amp; COMMISSIONS</v>
      </c>
      <c r="C28" s="11"/>
      <c r="D28" s="6">
        <v>366.22</v>
      </c>
      <c r="E28" s="2"/>
      <c r="F28" s="7">
        <f t="shared" si="12"/>
        <v>0.25000682668414304</v>
      </c>
      <c r="G28" s="2"/>
      <c r="H28" s="6"/>
      <c r="I28" s="2"/>
      <c r="J28" s="7">
        <f t="shared" si="13"/>
        <v>0</v>
      </c>
      <c r="K28" s="2"/>
      <c r="L28" s="6">
        <f t="shared" si="14"/>
        <v>366.22</v>
      </c>
      <c r="M28" s="2"/>
      <c r="N28" s="7">
        <f t="shared" si="15"/>
        <v>0</v>
      </c>
      <c r="O28" s="11"/>
      <c r="P28" s="6">
        <v>1432.44</v>
      </c>
      <c r="Q28" s="2"/>
      <c r="R28" s="7">
        <f t="shared" si="16"/>
        <v>0.25000349059633348</v>
      </c>
      <c r="S28" s="2"/>
      <c r="T28" s="6"/>
      <c r="U28" s="2"/>
      <c r="V28" s="7">
        <f t="shared" si="17"/>
        <v>0</v>
      </c>
      <c r="W28" s="2"/>
      <c r="X28" s="6">
        <f t="shared" si="18"/>
        <v>1432.44</v>
      </c>
      <c r="Y28" s="2"/>
      <c r="Z28" s="7">
        <f t="shared" si="19"/>
        <v>0</v>
      </c>
    </row>
    <row r="29" spans="1:26" s="29" customFormat="1" outlineLevel="1" collapsed="1" x14ac:dyDescent="0.3">
      <c r="A29" s="28"/>
      <c r="B29" s="14" t="str">
        <f>CONCATENATE("     ","Services                                          ")</f>
        <v xml:space="preserve">     Services                                          </v>
      </c>
      <c r="C29" s="14"/>
      <c r="D29" s="1">
        <f>SUM(OSRRefD22_4x_0)</f>
        <v>0</v>
      </c>
      <c r="E29" s="1"/>
      <c r="F29" s="5">
        <f t="shared" si="12"/>
        <v>0</v>
      </c>
      <c r="G29" s="1"/>
      <c r="H29" s="1">
        <f>SUM(OSRRefH22_4x_0)</f>
        <v>0</v>
      </c>
      <c r="I29" s="1"/>
      <c r="J29" s="5">
        <f t="shared" si="13"/>
        <v>0</v>
      </c>
      <c r="K29" s="1"/>
      <c r="L29" s="1">
        <f t="shared" si="14"/>
        <v>0</v>
      </c>
      <c r="M29" s="1"/>
      <c r="N29" s="5">
        <f t="shared" si="15"/>
        <v>0</v>
      </c>
      <c r="O29" s="14"/>
      <c r="P29" s="1">
        <f>SUM(OSRRefP22_4x_0)</f>
        <v>0</v>
      </c>
      <c r="Q29" s="1"/>
      <c r="R29" s="5">
        <f t="shared" si="16"/>
        <v>0</v>
      </c>
      <c r="S29" s="1"/>
      <c r="T29" s="1">
        <f>SUM(OSRRefT22_4x_0)</f>
        <v>0</v>
      </c>
      <c r="U29" s="1"/>
      <c r="V29" s="5">
        <f t="shared" si="17"/>
        <v>0</v>
      </c>
      <c r="W29" s="1"/>
      <c r="X29" s="1">
        <f t="shared" si="18"/>
        <v>0</v>
      </c>
      <c r="Y29" s="1"/>
      <c r="Z29" s="5">
        <f t="shared" si="19"/>
        <v>0</v>
      </c>
    </row>
    <row r="30" spans="1:26" s="24" customFormat="1" hidden="1" outlineLevel="2" x14ac:dyDescent="0.3">
      <c r="A30" s="27"/>
      <c r="B30" s="11" t="str">
        <f>CONCATENATE("          ", "6284", " - ", "TRASH REMOVAL EXPENSE")</f>
        <v xml:space="preserve">          6284 - TRASH REMOVAL EXPENSE</v>
      </c>
      <c r="C30" s="11"/>
      <c r="D30" s="6"/>
      <c r="E30" s="2"/>
      <c r="F30" s="7">
        <f t="shared" si="12"/>
        <v>0</v>
      </c>
      <c r="G30" s="2"/>
      <c r="H30" s="6"/>
      <c r="I30" s="2"/>
      <c r="J30" s="7">
        <f t="shared" si="13"/>
        <v>0</v>
      </c>
      <c r="K30" s="2"/>
      <c r="L30" s="6">
        <f t="shared" si="14"/>
        <v>0</v>
      </c>
      <c r="M30" s="2"/>
      <c r="N30" s="7">
        <f t="shared" si="15"/>
        <v>0</v>
      </c>
      <c r="O30" s="11"/>
      <c r="P30" s="6"/>
      <c r="Q30" s="2"/>
      <c r="R30" s="7">
        <f t="shared" si="16"/>
        <v>0</v>
      </c>
      <c r="S30" s="2"/>
      <c r="T30" s="6">
        <v>0</v>
      </c>
      <c r="U30" s="2"/>
      <c r="V30" s="7">
        <f t="shared" si="17"/>
        <v>0</v>
      </c>
      <c r="W30" s="2"/>
      <c r="X30" s="6">
        <f t="shared" si="18"/>
        <v>0</v>
      </c>
      <c r="Y30" s="2"/>
      <c r="Z30" s="7">
        <f t="shared" si="19"/>
        <v>0</v>
      </c>
    </row>
    <row r="31" spans="1:26" s="29" customFormat="1" outlineLevel="1" collapsed="1" x14ac:dyDescent="0.3">
      <c r="A31" s="28"/>
      <c r="B31" s="14" t="str">
        <f>CONCATENATE("     ","Supplies                                          ")</f>
        <v xml:space="preserve">     Supplies                                          </v>
      </c>
      <c r="C31" s="14"/>
      <c r="D31" s="1">
        <f>SUM(OSRRefD22_5x_0)</f>
        <v>0</v>
      </c>
      <c r="E31" s="1"/>
      <c r="F31" s="5">
        <f t="shared" si="12"/>
        <v>0</v>
      </c>
      <c r="G31" s="1"/>
      <c r="H31" s="1">
        <f>SUM(OSRRefH22_5x_0)</f>
        <v>0</v>
      </c>
      <c r="I31" s="1"/>
      <c r="J31" s="5">
        <f t="shared" si="13"/>
        <v>0</v>
      </c>
      <c r="K31" s="1"/>
      <c r="L31" s="1">
        <f t="shared" si="14"/>
        <v>0</v>
      </c>
      <c r="M31" s="1"/>
      <c r="N31" s="5">
        <f t="shared" si="15"/>
        <v>0</v>
      </c>
      <c r="O31" s="14"/>
      <c r="P31" s="1">
        <f>SUM(OSRRefP22_5x_0)</f>
        <v>116.26</v>
      </c>
      <c r="Q31" s="1"/>
      <c r="R31" s="5">
        <f t="shared" si="16"/>
        <v>2.0290836486505353E-2</v>
      </c>
      <c r="S31" s="1"/>
      <c r="T31" s="1">
        <f>SUM(OSRRefT22_5x_0)</f>
        <v>0</v>
      </c>
      <c r="U31" s="1"/>
      <c r="V31" s="5">
        <f t="shared" si="17"/>
        <v>0</v>
      </c>
      <c r="W31" s="1"/>
      <c r="X31" s="1">
        <f t="shared" si="18"/>
        <v>116.26</v>
      </c>
      <c r="Y31" s="1"/>
      <c r="Z31" s="5">
        <f t="shared" si="19"/>
        <v>0</v>
      </c>
    </row>
    <row r="32" spans="1:26" s="24" customFormat="1" hidden="1" outlineLevel="2" x14ac:dyDescent="0.3">
      <c r="A32" s="27"/>
      <c r="B32" s="11" t="str">
        <f>CONCATENATE("          ", "6243", " - ", "PAPER SUPPLIES")</f>
        <v xml:space="preserve">          6243 - PAPER SUPPLIES</v>
      </c>
      <c r="C32" s="11"/>
      <c r="D32" s="6"/>
      <c r="E32" s="2"/>
      <c r="F32" s="7">
        <f t="shared" si="12"/>
        <v>0</v>
      </c>
      <c r="G32" s="2"/>
      <c r="H32" s="6"/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>
        <v>116.26</v>
      </c>
      <c r="Q32" s="2"/>
      <c r="R32" s="7">
        <f t="shared" si="16"/>
        <v>2.0290836486505353E-2</v>
      </c>
      <c r="S32" s="2"/>
      <c r="T32" s="6"/>
      <c r="U32" s="2"/>
      <c r="V32" s="7">
        <f t="shared" si="17"/>
        <v>0</v>
      </c>
      <c r="W32" s="2"/>
      <c r="X32" s="6">
        <f t="shared" si="18"/>
        <v>116.26</v>
      </c>
      <c r="Y32" s="2"/>
      <c r="Z32" s="7">
        <f t="shared" si="19"/>
        <v>0</v>
      </c>
    </row>
    <row r="33" spans="1:26" s="63" customFormat="1" x14ac:dyDescent="0.3">
      <c r="A33" s="36"/>
      <c r="B33" s="36"/>
      <c r="C33" s="36"/>
      <c r="D33" s="1"/>
      <c r="E33" s="1"/>
      <c r="F33" s="5"/>
      <c r="G33" s="1"/>
      <c r="H33" s="1"/>
      <c r="I33" s="1"/>
      <c r="J33" s="5"/>
      <c r="K33" s="1"/>
      <c r="L33" s="1"/>
      <c r="M33" s="1"/>
      <c r="N33" s="5"/>
      <c r="O33" s="36"/>
      <c r="P33" s="1"/>
      <c r="Q33" s="1"/>
      <c r="R33" s="5"/>
      <c r="S33" s="1"/>
      <c r="T33" s="1"/>
      <c r="U33" s="1"/>
      <c r="V33" s="5"/>
      <c r="W33" s="1"/>
      <c r="X33" s="1"/>
      <c r="Y33" s="1"/>
      <c r="Z33" s="5"/>
    </row>
    <row r="34" spans="1:26" s="23" customFormat="1" x14ac:dyDescent="0.3">
      <c r="A34" s="10"/>
      <c r="B34" s="25" t="s">
        <v>293</v>
      </c>
      <c r="C34" s="10"/>
      <c r="D34" s="4">
        <f>SUM(0)</f>
        <v>0</v>
      </c>
      <c r="E34" s="4"/>
      <c r="F34" s="12">
        <f>IF(D$12=0,0,D34/D$12)</f>
        <v>0</v>
      </c>
      <c r="G34" s="4"/>
      <c r="H34" s="4">
        <f>SUM(0)</f>
        <v>0</v>
      </c>
      <c r="I34" s="4"/>
      <c r="J34" s="12">
        <f>IF(H$12=0,0,H34/H$12)</f>
        <v>0</v>
      </c>
      <c r="K34" s="4"/>
      <c r="L34" s="4">
        <f>+D34-H34</f>
        <v>0</v>
      </c>
      <c r="M34" s="4"/>
      <c r="N34" s="12">
        <f>IF(H34=0,0,L34/H34)</f>
        <v>0</v>
      </c>
      <c r="O34" s="10"/>
      <c r="P34" s="4">
        <f>SUM(0)</f>
        <v>0</v>
      </c>
      <c r="Q34" s="4"/>
      <c r="R34" s="12">
        <f>IF(P$12=0,0,P34/P$12)</f>
        <v>0</v>
      </c>
      <c r="S34" s="4"/>
      <c r="T34" s="4">
        <f>SUM(0)</f>
        <v>0</v>
      </c>
      <c r="U34" s="4"/>
      <c r="V34" s="12">
        <f>IF(T$12=0,0,T34/T$12)</f>
        <v>0</v>
      </c>
      <c r="W34" s="4"/>
      <c r="X34" s="4">
        <f>+P34-T34</f>
        <v>0</v>
      </c>
      <c r="Y34" s="4"/>
      <c r="Z34" s="12">
        <f>IF(T34=0,0,X34/T34)</f>
        <v>0</v>
      </c>
    </row>
    <row r="35" spans="1:26" x14ac:dyDescent="0.3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x14ac:dyDescent="0.3">
      <c r="A36" s="10"/>
      <c r="B36" s="26" t="s">
        <v>277</v>
      </c>
      <c r="C36" s="26"/>
      <c r="D36" s="20">
        <f>+D18-D20+D34</f>
        <v>-60.580000000000155</v>
      </c>
      <c r="E36" s="13"/>
      <c r="F36" s="22">
        <f>IF(D$12=0,0,D36/D$12)</f>
        <v>-4.135605253816127E-2</v>
      </c>
      <c r="G36" s="13"/>
      <c r="H36" s="20">
        <f>+H18-H20+H34</f>
        <v>-1001</v>
      </c>
      <c r="I36" s="13"/>
      <c r="J36" s="22">
        <f>IF(H$12=0,0,H36/H$12)</f>
        <v>0</v>
      </c>
      <c r="K36" s="15"/>
      <c r="L36" s="20">
        <f>+D36-H36</f>
        <v>940.41999999999985</v>
      </c>
      <c r="M36" s="15"/>
      <c r="N36" s="22">
        <f>IF(H36=0,0,L36/H36)</f>
        <v>-0.93948051948051936</v>
      </c>
      <c r="O36" s="25"/>
      <c r="P36" s="20">
        <f>+P18-P20+P34</f>
        <v>-8748.880000000001</v>
      </c>
      <c r="Q36" s="13"/>
      <c r="R36" s="22">
        <f>IF(P$12=0,0,P36/P$12)</f>
        <v>-1.5269404225017804</v>
      </c>
      <c r="S36" s="13"/>
      <c r="T36" s="20">
        <f>+T18-T20+T34</f>
        <v>-5005</v>
      </c>
      <c r="U36" s="13"/>
      <c r="V36" s="22">
        <f>IF(T$12=0,0,T36/T$12)</f>
        <v>0</v>
      </c>
      <c r="W36" s="15"/>
      <c r="X36" s="20">
        <f>+P36-T36</f>
        <v>-3743.880000000001</v>
      </c>
      <c r="Y36" s="15"/>
      <c r="Z36" s="22">
        <f>IF(T36=0,0,X36/T36)</f>
        <v>0.74802797202797222</v>
      </c>
    </row>
    <row r="37" spans="1:26" x14ac:dyDescent="0.3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x14ac:dyDescent="0.3">
      <c r="A38" s="52"/>
      <c r="B38" s="10" t="s">
        <v>128</v>
      </c>
      <c r="C38" s="10"/>
      <c r="D38" s="4">
        <v>189.49</v>
      </c>
      <c r="E38" s="4"/>
      <c r="F38" s="12">
        <f>IF(D$12=0,0,D38/D$12)</f>
        <v>0.12935883782529151</v>
      </c>
      <c r="G38" s="4"/>
      <c r="H38" s="4"/>
      <c r="I38" s="4"/>
      <c r="J38" s="12">
        <f>IF(H$12=0,0,H38/H$12)</f>
        <v>0</v>
      </c>
      <c r="K38" s="4"/>
      <c r="L38" s="4">
        <f>+D38-H38</f>
        <v>189.49</v>
      </c>
      <c r="M38" s="4"/>
      <c r="N38" s="12">
        <f>IF(H38=0,0,L38/H38)</f>
        <v>0</v>
      </c>
      <c r="O38" s="10"/>
      <c r="P38" s="4">
        <v>682.47</v>
      </c>
      <c r="Q38" s="4"/>
      <c r="R38" s="12">
        <f>IF(P$12=0,0,P38/P$12)</f>
        <v>0.11911136398542327</v>
      </c>
      <c r="S38" s="4"/>
      <c r="T38" s="4"/>
      <c r="U38" s="4"/>
      <c r="V38" s="12">
        <f>IF(T$12=0,0,T38/T$12)</f>
        <v>0</v>
      </c>
      <c r="W38" s="4"/>
      <c r="X38" s="4">
        <f>+P38-T38</f>
        <v>682.47</v>
      </c>
      <c r="Y38" s="4"/>
      <c r="Z38" s="12">
        <f>IF(T38=0,0,X38/T38)</f>
        <v>0</v>
      </c>
    </row>
    <row r="39" spans="1:26" x14ac:dyDescent="0.3">
      <c r="A39" s="9"/>
      <c r="B39" s="10"/>
      <c r="C39" s="10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O39" s="10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ht="15" thickBot="1" x14ac:dyDescent="0.35">
      <c r="A40" s="10"/>
      <c r="B40" s="26" t="s">
        <v>126</v>
      </c>
      <c r="C40" s="26"/>
      <c r="D40" s="33">
        <f>+D36-D38</f>
        <v>-250.07000000000016</v>
      </c>
      <c r="E40" s="13"/>
      <c r="F40" s="34">
        <f>IF(D$12=0,0,D40/D$12)</f>
        <v>-0.17071489036345278</v>
      </c>
      <c r="G40" s="13"/>
      <c r="H40" s="33">
        <f>+H36-H38</f>
        <v>-1001</v>
      </c>
      <c r="I40" s="13"/>
      <c r="J40" s="34">
        <f>IF(H$12=0,0,H40/H$12)</f>
        <v>0</v>
      </c>
      <c r="K40" s="15"/>
      <c r="L40" s="33">
        <f>D40-H40</f>
        <v>750.92999999999984</v>
      </c>
      <c r="M40" s="15"/>
      <c r="N40" s="34">
        <f>IF(H40=0,0,L40/H40)</f>
        <v>-0.75017982017981999</v>
      </c>
      <c r="O40" s="25"/>
      <c r="P40" s="33">
        <f>+P36-P38</f>
        <v>-9431.35</v>
      </c>
      <c r="Q40" s="13"/>
      <c r="R40" s="34">
        <f>IF(P$12=0,0,P40/P$12)</f>
        <v>-1.6460517864872035</v>
      </c>
      <c r="S40" s="13"/>
      <c r="T40" s="33">
        <f>+T36-T38</f>
        <v>-5005</v>
      </c>
      <c r="U40" s="13"/>
      <c r="V40" s="34">
        <f>IF(T$12=0,0,T40/T$12)</f>
        <v>0</v>
      </c>
      <c r="W40" s="15"/>
      <c r="X40" s="33">
        <f>P40-T40</f>
        <v>-4426.3500000000004</v>
      </c>
      <c r="Y40" s="15"/>
      <c r="Z40" s="34">
        <f>IF(T40=0,0,X40/T40)</f>
        <v>0.88438561438561447</v>
      </c>
    </row>
    <row r="41" spans="1:26" ht="15" thickTop="1" x14ac:dyDescent="0.3">
      <c r="A41" s="9"/>
      <c r="B41" s="9"/>
      <c r="C41" s="9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x14ac:dyDescent="0.3">
      <c r="A42" s="9"/>
      <c r="B42" s="9"/>
      <c r="C42" s="9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3" customFormat="1" ht="15" thickBot="1" x14ac:dyDescent="0.35">
      <c r="A43" s="10"/>
      <c r="B43" s="26" t="s">
        <v>294</v>
      </c>
      <c r="C43" s="26"/>
      <c r="D43" s="35">
        <f>SUM(D40:D42)</f>
        <v>-250.07000000000016</v>
      </c>
      <c r="E43" s="13"/>
      <c r="F43" s="32">
        <f>IF(D$12=0,0,D43/D$12)</f>
        <v>-0.17071489036345278</v>
      </c>
      <c r="G43" s="13"/>
      <c r="H43" s="35">
        <f>SUM(H40:H42)</f>
        <v>-1001</v>
      </c>
      <c r="I43" s="13"/>
      <c r="J43" s="32">
        <f>IF(H$12=0,0,H43/H$12)</f>
        <v>0</v>
      </c>
      <c r="K43" s="15"/>
      <c r="L43" s="35">
        <f>+D43-H43</f>
        <v>750.92999999999984</v>
      </c>
      <c r="M43" s="15"/>
      <c r="N43" s="32">
        <f>IF(H43=0,0,L43/H43)</f>
        <v>-0.75017982017981999</v>
      </c>
      <c r="O43" s="25"/>
      <c r="P43" s="35">
        <f>SUM(P40:P42)</f>
        <v>-9431.35</v>
      </c>
      <c r="Q43" s="13"/>
      <c r="R43" s="32">
        <f>IF(P$12=0,0,P43/P$12)</f>
        <v>-1.6460517864872035</v>
      </c>
      <c r="S43" s="13"/>
      <c r="T43" s="35">
        <f>SUM(T40:T42)</f>
        <v>-5005</v>
      </c>
      <c r="U43" s="13"/>
      <c r="V43" s="32">
        <f>IF(T$12=0,0,T43/T$12)</f>
        <v>0</v>
      </c>
      <c r="W43" s="15"/>
      <c r="X43" s="35">
        <f>+P43-T43</f>
        <v>-4426.3500000000004</v>
      </c>
      <c r="Y43" s="15"/>
      <c r="Z43" s="32">
        <f>IF(T43=0,0,X43/T43)</f>
        <v>0.88438561438561447</v>
      </c>
    </row>
    <row r="44" spans="1:26" ht="15" thickTop="1" x14ac:dyDescent="0.3">
      <c r="A44" s="9"/>
      <c r="C44" s="9"/>
      <c r="D44" s="17"/>
      <c r="E44" s="17"/>
      <c r="G44" s="17"/>
      <c r="H44" s="17"/>
      <c r="I44" s="17"/>
      <c r="J44" s="42"/>
      <c r="K44" s="17"/>
      <c r="L44" s="17"/>
      <c r="M44" s="17"/>
      <c r="P44" s="17"/>
      <c r="Q44" s="17"/>
      <c r="R44" s="42"/>
      <c r="S44" s="17"/>
      <c r="T44" s="17"/>
      <c r="U44" s="17"/>
      <c r="V44" s="42"/>
      <c r="W44" s="17"/>
      <c r="X44" s="17"/>
    </row>
    <row r="45" spans="1:26" x14ac:dyDescent="0.3">
      <c r="A45" s="9"/>
      <c r="B45" s="60">
        <v>44543.753113078703</v>
      </c>
      <c r="D45" s="17"/>
      <c r="E45" s="17"/>
      <c r="G45" s="17"/>
      <c r="H45" s="17"/>
      <c r="I45" s="17"/>
      <c r="J45" s="42"/>
      <c r="K45" s="17"/>
      <c r="L45" s="17"/>
      <c r="M45" s="17"/>
      <c r="P45" s="17"/>
      <c r="Q45" s="17"/>
      <c r="R45" s="42"/>
      <c r="S45" s="17"/>
      <c r="T45" s="17"/>
      <c r="U45" s="17"/>
      <c r="V45" s="42"/>
      <c r="W45" s="17"/>
      <c r="X45" s="17"/>
    </row>
    <row r="46" spans="1:26" x14ac:dyDescent="0.3">
      <c r="A46" s="9"/>
      <c r="B46" s="58" t="s">
        <v>56</v>
      </c>
      <c r="D46" s="17"/>
      <c r="E46" s="17"/>
      <c r="G46" s="17"/>
      <c r="H46" s="17"/>
      <c r="I46" s="17"/>
      <c r="J46" s="42"/>
      <c r="K46" s="17"/>
      <c r="L46" s="17"/>
      <c r="M46" s="17"/>
      <c r="P46" s="17"/>
      <c r="Q46" s="17"/>
      <c r="R46" s="42"/>
      <c r="S46" s="17"/>
      <c r="T46" s="17"/>
      <c r="U46" s="17"/>
      <c r="V46" s="42"/>
      <c r="W46" s="17"/>
      <c r="X46" s="17"/>
    </row>
    <row r="47" spans="1:26" x14ac:dyDescent="0.3">
      <c r="A47" s="9"/>
      <c r="B47" s="55"/>
      <c r="D47" s="17"/>
      <c r="E47" s="17"/>
      <c r="G47" s="17"/>
      <c r="H47" s="17"/>
      <c r="I47" s="17"/>
      <c r="J47" s="42"/>
      <c r="K47" s="17"/>
      <c r="L47" s="17"/>
      <c r="M47" s="17"/>
      <c r="P47" s="17"/>
      <c r="Q47" s="17"/>
      <c r="R47" s="42"/>
      <c r="S47" s="17"/>
      <c r="T47" s="17"/>
      <c r="U47" s="17"/>
      <c r="V47" s="42"/>
      <c r="W47" s="17"/>
      <c r="X47" s="17"/>
    </row>
    <row r="48" spans="1:26" x14ac:dyDescent="0.3">
      <c r="D48" s="17"/>
      <c r="E48" s="17"/>
      <c r="G48" s="17"/>
      <c r="H48" s="17"/>
      <c r="I48" s="17"/>
      <c r="J48" s="42"/>
      <c r="K48" s="17"/>
      <c r="L48" s="17"/>
      <c r="M48" s="17"/>
      <c r="P48" s="17"/>
      <c r="Q48" s="17"/>
      <c r="R48" s="42"/>
      <c r="S48" s="17"/>
      <c r="T48" s="17"/>
      <c r="U48" s="17"/>
      <c r="V48" s="42"/>
      <c r="W48" s="17"/>
      <c r="X48" s="17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  <outlinePr summaryBelow="0" summaryRight="0"/>
  </sheetPr>
  <dimension ref="A2:Z11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183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1285214.1499999999</v>
      </c>
      <c r="E12" s="4"/>
      <c r="F12" s="12"/>
      <c r="G12" s="4"/>
      <c r="H12" s="4">
        <f>SUM(OSRRefH13x_0)</f>
        <v>806400</v>
      </c>
      <c r="I12" s="4"/>
      <c r="J12" s="12"/>
      <c r="K12" s="4"/>
      <c r="L12" s="4">
        <f t="shared" ref="L12:L16" si="0">+D12-H12</f>
        <v>478814.14999999991</v>
      </c>
      <c r="M12" s="4"/>
      <c r="N12" s="12">
        <f t="shared" ref="N12:N16" si="1">IF(H12=0,0,L12/H12)</f>
        <v>0.59376754712301572</v>
      </c>
      <c r="O12" s="10"/>
      <c r="P12" s="4">
        <f>SUM(OSRRefP13x_0)</f>
        <v>4828118.2700000005</v>
      </c>
      <c r="Q12" s="4"/>
      <c r="R12" s="12"/>
      <c r="S12" s="4"/>
      <c r="T12" s="4">
        <f>SUM(OSRRefT13x_0)</f>
        <v>3628800</v>
      </c>
      <c r="U12" s="4"/>
      <c r="V12" s="12"/>
      <c r="W12" s="4"/>
      <c r="X12" s="4">
        <f t="shared" ref="X12:X16" si="2">+P12-T12</f>
        <v>1199318.2700000005</v>
      </c>
      <c r="Y12" s="4"/>
      <c r="Z12" s="12">
        <f t="shared" ref="Z12:Z16" si="3">IF(T12=0,0,X12/T12)</f>
        <v>0.33049996417548516</v>
      </c>
    </row>
    <row r="13" spans="1:26" s="24" customFormat="1" hidden="1" outlineLevel="1" x14ac:dyDescent="0.3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--488.67</f>
        <v>488.67</v>
      </c>
      <c r="E13" s="2"/>
      <c r="F13" s="19"/>
      <c r="G13" s="2"/>
      <c r="H13" s="2"/>
      <c r="I13" s="2"/>
      <c r="J13" s="19"/>
      <c r="K13" s="2"/>
      <c r="L13" s="2">
        <f t="shared" si="0"/>
        <v>488.67</v>
      </c>
      <c r="M13" s="2"/>
      <c r="N13" s="19">
        <f t="shared" si="1"/>
        <v>0</v>
      </c>
      <c r="O13" s="11"/>
      <c r="P13" s="2">
        <f>--2269.33</f>
        <v>2269.33</v>
      </c>
      <c r="Q13" s="2"/>
      <c r="R13" s="19"/>
      <c r="S13" s="2"/>
      <c r="T13" s="2"/>
      <c r="U13" s="2"/>
      <c r="V13" s="19"/>
      <c r="W13" s="2"/>
      <c r="X13" s="2">
        <f t="shared" si="2"/>
        <v>2269.33</v>
      </c>
      <c r="Y13" s="2"/>
      <c r="Z13" s="19">
        <f t="shared" si="3"/>
        <v>0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806400</v>
      </c>
      <c r="I14" s="2"/>
      <c r="J14" s="19"/>
      <c r="K14" s="2"/>
      <c r="L14" s="2">
        <f t="shared" si="0"/>
        <v>-806400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3628800</v>
      </c>
      <c r="U14" s="2"/>
      <c r="V14" s="19"/>
      <c r="W14" s="2"/>
      <c r="X14" s="2">
        <f t="shared" si="2"/>
        <v>-3628800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--1278360.35</f>
        <v>1278360.3500000001</v>
      </c>
      <c r="E15" s="2"/>
      <c r="F15" s="19"/>
      <c r="G15" s="2"/>
      <c r="H15" s="2"/>
      <c r="I15" s="2"/>
      <c r="J15" s="19"/>
      <c r="K15" s="2"/>
      <c r="L15" s="2">
        <f t="shared" si="0"/>
        <v>1278360.3500000001</v>
      </c>
      <c r="M15" s="2"/>
      <c r="N15" s="19">
        <f t="shared" si="1"/>
        <v>0</v>
      </c>
      <c r="O15" s="11"/>
      <c r="P15" s="2">
        <f>--4775079.11</f>
        <v>4775079.1100000003</v>
      </c>
      <c r="Q15" s="2"/>
      <c r="R15" s="19"/>
      <c r="S15" s="2"/>
      <c r="T15" s="2"/>
      <c r="U15" s="2"/>
      <c r="V15" s="19"/>
      <c r="W15" s="2"/>
      <c r="X15" s="2">
        <f t="shared" si="2"/>
        <v>4775079.1100000003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--6365.13</f>
        <v>6365.13</v>
      </c>
      <c r="E16" s="2"/>
      <c r="F16" s="19"/>
      <c r="G16" s="2"/>
      <c r="H16" s="2"/>
      <c r="I16" s="2"/>
      <c r="J16" s="19"/>
      <c r="K16" s="2"/>
      <c r="L16" s="2">
        <f t="shared" si="0"/>
        <v>6365.13</v>
      </c>
      <c r="M16" s="2"/>
      <c r="N16" s="19">
        <f t="shared" si="1"/>
        <v>0</v>
      </c>
      <c r="O16" s="11"/>
      <c r="P16" s="2">
        <f>--50769.83</f>
        <v>50769.83</v>
      </c>
      <c r="Q16" s="2"/>
      <c r="R16" s="19"/>
      <c r="S16" s="2"/>
      <c r="T16" s="2"/>
      <c r="U16" s="2"/>
      <c r="V16" s="19"/>
      <c r="W16" s="2"/>
      <c r="X16" s="2">
        <f t="shared" si="2"/>
        <v>50769.83</v>
      </c>
      <c r="Y16" s="2"/>
      <c r="Z16" s="19">
        <f t="shared" si="3"/>
        <v>0</v>
      </c>
    </row>
    <row r="17" spans="1:26" x14ac:dyDescent="0.3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">
      <c r="A18" s="10"/>
      <c r="B18" s="25" t="s">
        <v>257</v>
      </c>
      <c r="C18" s="10"/>
      <c r="D18" s="4">
        <f>SUM(OSRRefD16x_0)</f>
        <v>282361.28000000003</v>
      </c>
      <c r="E18" s="4"/>
      <c r="F18" s="12">
        <f t="shared" ref="F18:F21" si="4">IF(D$12=0,0,D18/D$12)</f>
        <v>0.21969979088698957</v>
      </c>
      <c r="G18" s="4"/>
      <c r="H18" s="4">
        <f>SUM(OSRRefH16x_0)</f>
        <v>214416</v>
      </c>
      <c r="I18" s="4"/>
      <c r="J18" s="12">
        <f t="shared" ref="J18:J21" si="5">IF(H$12=0,0,H18/H$12)</f>
        <v>0.26589285714285715</v>
      </c>
      <c r="K18" s="4"/>
      <c r="L18" s="4">
        <f t="shared" ref="L18:L21" si="6">+D18-H18</f>
        <v>67945.280000000028</v>
      </c>
      <c r="M18" s="4"/>
      <c r="N18" s="12">
        <f t="shared" ref="N18:N21" si="7">IF(H18=0,0,L18/H18)</f>
        <v>0.31688530706663692</v>
      </c>
      <c r="O18" s="10"/>
      <c r="P18" s="4">
        <f>SUM(OSRRefP16x_0)</f>
        <v>1278569.42</v>
      </c>
      <c r="Q18" s="4"/>
      <c r="R18" s="12">
        <f t="shared" ref="R18:R21" si="8">IF(P$12=0,0,P18/P$12)</f>
        <v>0.26481733638227545</v>
      </c>
      <c r="S18" s="4"/>
      <c r="T18" s="4">
        <f>SUM(OSRRefT16x_0)</f>
        <v>1033720</v>
      </c>
      <c r="U18" s="4"/>
      <c r="V18" s="12">
        <f t="shared" ref="V18:V21" si="9">IF(T$12=0,0,T18/T$12)</f>
        <v>0.28486552028218692</v>
      </c>
      <c r="W18" s="4"/>
      <c r="X18" s="4">
        <f t="shared" ref="X18:X21" si="10">+P18-T18</f>
        <v>244849.41999999993</v>
      </c>
      <c r="Y18" s="4"/>
      <c r="Z18" s="12">
        <f t="shared" ref="Z18:Z21" si="11">IF(T18=0,0,X18/T18)</f>
        <v>0.23686241922377427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214416</v>
      </c>
      <c r="I19" s="2"/>
      <c r="J19" s="19">
        <f t="shared" si="5"/>
        <v>0.26589285714285715</v>
      </c>
      <c r="K19" s="2"/>
      <c r="L19" s="2">
        <f t="shared" si="6"/>
        <v>-214416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1033720</v>
      </c>
      <c r="U19" s="2"/>
      <c r="V19" s="19">
        <f t="shared" si="9"/>
        <v>0.28486552028218692</v>
      </c>
      <c r="W19" s="2"/>
      <c r="X19" s="2">
        <f t="shared" si="10"/>
        <v>-1033720</v>
      </c>
      <c r="Y19" s="2"/>
      <c r="Z19" s="19">
        <f t="shared" si="11"/>
        <v>-1</v>
      </c>
    </row>
    <row r="20" spans="1:26" s="24" customFormat="1" hidden="1" outlineLevel="1" x14ac:dyDescent="0.3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278066.28000000003</v>
      </c>
      <c r="E20" s="2"/>
      <c r="F20" s="19">
        <f t="shared" si="4"/>
        <v>0.21635793536820308</v>
      </c>
      <c r="G20" s="2"/>
      <c r="H20" s="2"/>
      <c r="I20" s="2"/>
      <c r="J20" s="19">
        <f t="shared" si="5"/>
        <v>0</v>
      </c>
      <c r="K20" s="2"/>
      <c r="L20" s="2">
        <f t="shared" si="6"/>
        <v>278066.28000000003</v>
      </c>
      <c r="M20" s="2"/>
      <c r="N20" s="19">
        <f t="shared" si="7"/>
        <v>0</v>
      </c>
      <c r="O20" s="11"/>
      <c r="P20" s="2">
        <v>1330799.48</v>
      </c>
      <c r="Q20" s="2"/>
      <c r="R20" s="19">
        <f t="shared" si="8"/>
        <v>0.27563522796636047</v>
      </c>
      <c r="S20" s="2"/>
      <c r="T20" s="2"/>
      <c r="U20" s="2"/>
      <c r="V20" s="19">
        <f t="shared" si="9"/>
        <v>0</v>
      </c>
      <c r="W20" s="2"/>
      <c r="X20" s="2">
        <f t="shared" si="10"/>
        <v>1330799.48</v>
      </c>
      <c r="Y20" s="2"/>
      <c r="Z20" s="19">
        <f t="shared" si="11"/>
        <v>0</v>
      </c>
    </row>
    <row r="21" spans="1:26" s="24" customFormat="1" hidden="1" outlineLevel="1" x14ac:dyDescent="0.3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4295</v>
      </c>
      <c r="E21" s="2"/>
      <c r="F21" s="19">
        <f t="shared" si="4"/>
        <v>3.3418555187864998E-3</v>
      </c>
      <c r="G21" s="2"/>
      <c r="H21" s="2"/>
      <c r="I21" s="2"/>
      <c r="J21" s="19">
        <f t="shared" si="5"/>
        <v>0</v>
      </c>
      <c r="K21" s="2"/>
      <c r="L21" s="2">
        <f t="shared" si="6"/>
        <v>4295</v>
      </c>
      <c r="M21" s="2"/>
      <c r="N21" s="19">
        <f t="shared" si="7"/>
        <v>0</v>
      </c>
      <c r="O21" s="11"/>
      <c r="P21" s="2">
        <v>-52230.06</v>
      </c>
      <c r="Q21" s="2"/>
      <c r="R21" s="19">
        <f t="shared" si="8"/>
        <v>-1.0817891584084992E-2</v>
      </c>
      <c r="S21" s="2"/>
      <c r="T21" s="2"/>
      <c r="U21" s="2"/>
      <c r="V21" s="19">
        <f t="shared" si="9"/>
        <v>0</v>
      </c>
      <c r="W21" s="2"/>
      <c r="X21" s="2">
        <f t="shared" si="10"/>
        <v>-52230.06</v>
      </c>
      <c r="Y21" s="2"/>
      <c r="Z21" s="19">
        <f t="shared" si="11"/>
        <v>0</v>
      </c>
    </row>
    <row r="22" spans="1:26" x14ac:dyDescent="0.3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3">
      <c r="A23" s="10"/>
      <c r="B23" s="26" t="s">
        <v>108</v>
      </c>
      <c r="C23" s="26"/>
      <c r="D23" s="20">
        <f>D12-D18</f>
        <v>1002852.8699999999</v>
      </c>
      <c r="E23" s="13"/>
      <c r="F23" s="22">
        <f>IF(D$12=0,0,D23/D$12)</f>
        <v>0.78030020911301046</v>
      </c>
      <c r="G23" s="13"/>
      <c r="H23" s="20">
        <f>H12-H18</f>
        <v>591984</v>
      </c>
      <c r="I23" s="13"/>
      <c r="J23" s="22">
        <f>IF(H$12=0,0,H23/H$12)</f>
        <v>0.73410714285714285</v>
      </c>
      <c r="K23" s="15"/>
      <c r="L23" s="20">
        <f>+D23-H23</f>
        <v>410868.86999999988</v>
      </c>
      <c r="M23" s="15"/>
      <c r="N23" s="22">
        <f>IF(H23=0,0,L23/H23)</f>
        <v>0.69405401159490776</v>
      </c>
      <c r="O23" s="25"/>
      <c r="P23" s="20">
        <f>P12-P18</f>
        <v>3549548.8500000006</v>
      </c>
      <c r="Q23" s="13"/>
      <c r="R23" s="22">
        <f>IF(P$12=0,0,P23/P$12)</f>
        <v>0.73518266361772455</v>
      </c>
      <c r="S23" s="13"/>
      <c r="T23" s="20">
        <f>T12-T18</f>
        <v>2595080</v>
      </c>
      <c r="U23" s="13"/>
      <c r="V23" s="22">
        <f>IF(T$12=0,0,T23/T$12)</f>
        <v>0.71513447971781308</v>
      </c>
      <c r="W23" s="15"/>
      <c r="X23" s="20">
        <f>+P23-T23</f>
        <v>954468.85000000056</v>
      </c>
      <c r="Y23" s="15"/>
      <c r="Z23" s="22">
        <f>IF(T23=0,0,X23/T23)</f>
        <v>0.36779939346763896</v>
      </c>
    </row>
    <row r="24" spans="1:26" x14ac:dyDescent="0.3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">
      <c r="A25" s="10"/>
      <c r="B25" s="25" t="s">
        <v>295</v>
      </c>
      <c r="C25" s="10"/>
      <c r="D25" s="21">
        <f>SUM(OSRRefD22x_0)</f>
        <v>483116.44999999995</v>
      </c>
      <c r="E25" s="21"/>
      <c r="F25" s="30">
        <f t="shared" ref="F25:F36" si="12">IF(D$12=0,0,D25/D$12)</f>
        <v>0.37590346324773966</v>
      </c>
      <c r="G25" s="21"/>
      <c r="H25" s="21">
        <f>SUM(OSRRefH22x_0)</f>
        <v>512180.19232506602</v>
      </c>
      <c r="I25" s="21"/>
      <c r="J25" s="30">
        <f t="shared" ref="J25:J36" si="13">IF(H$12=0,0,H25/H$12)</f>
        <v>0.63514408770469499</v>
      </c>
      <c r="K25" s="4"/>
      <c r="L25" s="21">
        <f t="shared" ref="L25:L36" si="14">+D25-H25</f>
        <v>-29063.742325066065</v>
      </c>
      <c r="M25" s="4"/>
      <c r="N25" s="30">
        <f t="shared" ref="N25:N36" si="15">IF(H25=0,0,L25/H25)</f>
        <v>-5.6745150946056394E-2</v>
      </c>
      <c r="O25" s="10"/>
      <c r="P25" s="21">
        <f>SUM(OSRRefP22x_0)</f>
        <v>2242493.1099999994</v>
      </c>
      <c r="Q25" s="21"/>
      <c r="R25" s="30">
        <f t="shared" ref="R25:R36" si="16">IF(P$12=0,0,P25/P$12)</f>
        <v>0.46446523978792242</v>
      </c>
      <c r="S25" s="21"/>
      <c r="T25" s="21">
        <f>SUM(OSRRefT22x_0)</f>
        <v>2488118.2622878645</v>
      </c>
      <c r="U25" s="21"/>
      <c r="V25" s="30">
        <f t="shared" ref="V25:V36" si="17">IF(T$12=0,0,T25/T$12)</f>
        <v>0.68565869220895737</v>
      </c>
      <c r="W25" s="4"/>
      <c r="X25" s="21">
        <f t="shared" ref="X25:X36" si="18">+P25-T25</f>
        <v>-245625.15228786506</v>
      </c>
      <c r="Y25" s="4"/>
      <c r="Z25" s="30">
        <f t="shared" ref="Z25:Z36" si="19">IF(T25=0,0,X25/T25)</f>
        <v>-9.8719243377928839E-2</v>
      </c>
    </row>
    <row r="26" spans="1:26" s="29" customFormat="1" outlineLevel="1" collapsed="1" x14ac:dyDescent="0.3">
      <c r="A26" s="28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88817.62000000001</v>
      </c>
      <c r="E26" s="1"/>
      <c r="F26" s="5">
        <f t="shared" si="12"/>
        <v>6.9107253448773512E-2</v>
      </c>
      <c r="G26" s="1"/>
      <c r="H26" s="1">
        <f>SUM(OSRRefH22_0x_0)</f>
        <v>107039.99537121993</v>
      </c>
      <c r="I26" s="1"/>
      <c r="J26" s="5">
        <f t="shared" si="13"/>
        <v>0.13273808949804058</v>
      </c>
      <c r="K26" s="1"/>
      <c r="L26" s="1">
        <f t="shared" si="14"/>
        <v>-18222.375371219925</v>
      </c>
      <c r="M26" s="1"/>
      <c r="N26" s="5">
        <f t="shared" si="15"/>
        <v>-0.17023894020196692</v>
      </c>
      <c r="O26" s="14"/>
      <c r="P26" s="1">
        <f>SUM(OSRRefP22_0x_0)</f>
        <v>426253.00999999995</v>
      </c>
      <c r="Q26" s="1"/>
      <c r="R26" s="5">
        <f t="shared" si="16"/>
        <v>8.8285536137042459E-2</v>
      </c>
      <c r="S26" s="1"/>
      <c r="T26" s="1">
        <f>SUM(OSRRefT22_0x_0)</f>
        <v>566576.93154171028</v>
      </c>
      <c r="U26" s="1"/>
      <c r="V26" s="5">
        <f t="shared" si="17"/>
        <v>0.15613341367441311</v>
      </c>
      <c r="W26" s="1"/>
      <c r="X26" s="1">
        <f t="shared" si="18"/>
        <v>-140323.92154171033</v>
      </c>
      <c r="Y26" s="1"/>
      <c r="Z26" s="5">
        <f t="shared" si="19"/>
        <v>-0.24766966978319335</v>
      </c>
    </row>
    <row r="27" spans="1:26" s="24" customFormat="1" hidden="1" outlineLevel="2" x14ac:dyDescent="0.3">
      <c r="A27" s="27"/>
      <c r="B27" s="11" t="str">
        <f>CONCATENATE("          ", "6111", " - ", "F.I.C.A.")</f>
        <v xml:space="preserve">          6111 - F.I.C.A.</v>
      </c>
      <c r="C27" s="11"/>
      <c r="D27" s="6">
        <v>12270.83</v>
      </c>
      <c r="E27" s="2"/>
      <c r="F27" s="7">
        <f t="shared" si="12"/>
        <v>9.5476928883797309E-3</v>
      </c>
      <c r="G27" s="2"/>
      <c r="H27" s="6">
        <v>11608.6223696815</v>
      </c>
      <c r="I27" s="2"/>
      <c r="J27" s="7">
        <f t="shared" si="13"/>
        <v>1.4395613057640748E-2</v>
      </c>
      <c r="K27" s="2"/>
      <c r="L27" s="6">
        <f t="shared" si="14"/>
        <v>662.20763031850038</v>
      </c>
      <c r="M27" s="2"/>
      <c r="N27" s="7">
        <f t="shared" si="15"/>
        <v>5.7044463092192833E-2</v>
      </c>
      <c r="O27" s="11"/>
      <c r="P27" s="6">
        <v>61830.17</v>
      </c>
      <c r="Q27" s="2"/>
      <c r="R27" s="7">
        <f t="shared" si="16"/>
        <v>1.2806266653447159E-2</v>
      </c>
      <c r="S27" s="2"/>
      <c r="T27" s="6">
        <v>65274.707533248496</v>
      </c>
      <c r="U27" s="2"/>
      <c r="V27" s="7">
        <f t="shared" si="17"/>
        <v>1.7987959527460455E-2</v>
      </c>
      <c r="W27" s="2"/>
      <c r="X27" s="6">
        <f t="shared" si="18"/>
        <v>-3444.5375332484982</v>
      </c>
      <c r="Y27" s="2"/>
      <c r="Z27" s="7">
        <f t="shared" si="19"/>
        <v>-5.2769865441281059E-2</v>
      </c>
    </row>
    <row r="28" spans="1:26" s="24" customFormat="1" hidden="1" outlineLevel="2" x14ac:dyDescent="0.3">
      <c r="A28" s="27"/>
      <c r="B28" s="11" t="str">
        <f>CONCATENATE("          ", "6112", " - ", "COMPENSATION INSURANCE")</f>
        <v xml:space="preserve">          6112 - COMPENSATION INSURANCE</v>
      </c>
      <c r="C28" s="11"/>
      <c r="D28" s="6">
        <v>8701.2900000000009</v>
      </c>
      <c r="E28" s="2"/>
      <c r="F28" s="7">
        <f t="shared" si="12"/>
        <v>6.7703036104916842E-3</v>
      </c>
      <c r="G28" s="2"/>
      <c r="H28" s="6">
        <v>10534.483602292299</v>
      </c>
      <c r="I28" s="2"/>
      <c r="J28" s="7">
        <f t="shared" si="13"/>
        <v>1.3063595736969616E-2</v>
      </c>
      <c r="K28" s="2"/>
      <c r="L28" s="6">
        <f t="shared" si="14"/>
        <v>-1833.1936022922982</v>
      </c>
      <c r="M28" s="2"/>
      <c r="N28" s="7">
        <f t="shared" si="15"/>
        <v>-0.17401836402245632</v>
      </c>
      <c r="O28" s="11"/>
      <c r="P28" s="6">
        <v>36725.589999999997</v>
      </c>
      <c r="Q28" s="2"/>
      <c r="R28" s="7">
        <f t="shared" si="16"/>
        <v>7.6066052955243765E-3</v>
      </c>
      <c r="S28" s="2"/>
      <c r="T28" s="6">
        <v>50079.834637607702</v>
      </c>
      <c r="U28" s="2"/>
      <c r="V28" s="7">
        <f t="shared" si="17"/>
        <v>1.3800659897929812E-2</v>
      </c>
      <c r="W28" s="2"/>
      <c r="X28" s="6">
        <f t="shared" si="18"/>
        <v>-13354.244637607706</v>
      </c>
      <c r="Y28" s="2"/>
      <c r="Z28" s="7">
        <f t="shared" si="19"/>
        <v>-0.26665912006784603</v>
      </c>
    </row>
    <row r="29" spans="1:26" s="24" customFormat="1" hidden="1" outlineLevel="2" x14ac:dyDescent="0.3">
      <c r="A29" s="27"/>
      <c r="B29" s="11" t="str">
        <f>CONCATENATE("          ", "6113", " - ", "GROUP INSURANCE")</f>
        <v xml:space="preserve">          6113 - GROUP INSURANCE</v>
      </c>
      <c r="C29" s="11"/>
      <c r="D29" s="6">
        <v>44984.33</v>
      </c>
      <c r="E29" s="2"/>
      <c r="F29" s="7">
        <f t="shared" si="12"/>
        <v>3.5001427583099674E-2</v>
      </c>
      <c r="G29" s="2"/>
      <c r="H29" s="6">
        <v>61886.692307692298</v>
      </c>
      <c r="I29" s="2"/>
      <c r="J29" s="7">
        <f t="shared" si="13"/>
        <v>7.6744410103785091E-2</v>
      </c>
      <c r="K29" s="2"/>
      <c r="L29" s="6">
        <f t="shared" si="14"/>
        <v>-16902.362307692296</v>
      </c>
      <c r="M29" s="2"/>
      <c r="N29" s="7">
        <f t="shared" si="15"/>
        <v>-0.27311788168700352</v>
      </c>
      <c r="O29" s="11"/>
      <c r="P29" s="6">
        <v>214765.1</v>
      </c>
      <c r="Q29" s="2"/>
      <c r="R29" s="7">
        <f t="shared" si="16"/>
        <v>4.4482153913764831E-2</v>
      </c>
      <c r="S29" s="2"/>
      <c r="T29" s="6">
        <v>333423.30769230798</v>
      </c>
      <c r="U29" s="2"/>
      <c r="V29" s="7">
        <f t="shared" si="17"/>
        <v>9.1882525267942008E-2</v>
      </c>
      <c r="W29" s="2"/>
      <c r="X29" s="6">
        <f t="shared" si="18"/>
        <v>-118658.20769230797</v>
      </c>
      <c r="Y29" s="2"/>
      <c r="Z29" s="7">
        <f t="shared" si="19"/>
        <v>-0.3558785632401229</v>
      </c>
    </row>
    <row r="30" spans="1:26" s="24" customFormat="1" hidden="1" outlineLevel="2" x14ac:dyDescent="0.3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628.42999999999995</v>
      </c>
      <c r="E30" s="2"/>
      <c r="F30" s="7">
        <f t="shared" si="12"/>
        <v>4.8896909515040742E-4</v>
      </c>
      <c r="G30" s="2"/>
      <c r="H30" s="6">
        <v>583.70489616923101</v>
      </c>
      <c r="I30" s="2"/>
      <c r="J30" s="7">
        <f t="shared" si="13"/>
        <v>7.2384039703525668E-4</v>
      </c>
      <c r="K30" s="2"/>
      <c r="L30" s="6">
        <f t="shared" si="14"/>
        <v>44.725103830768944</v>
      </c>
      <c r="M30" s="2"/>
      <c r="N30" s="7">
        <f t="shared" si="15"/>
        <v>7.6622800535498664E-2</v>
      </c>
      <c r="O30" s="11"/>
      <c r="P30" s="6">
        <v>2652.4</v>
      </c>
      <c r="Q30" s="2"/>
      <c r="R30" s="7">
        <f t="shared" si="16"/>
        <v>5.4936516706331632E-4</v>
      </c>
      <c r="S30" s="2"/>
      <c r="T30" s="6">
        <v>2774.8721039307702</v>
      </c>
      <c r="U30" s="2"/>
      <c r="V30" s="7">
        <f t="shared" si="17"/>
        <v>7.6468036373753586E-4</v>
      </c>
      <c r="W30" s="2"/>
      <c r="X30" s="6">
        <f t="shared" si="18"/>
        <v>-122.47210393077012</v>
      </c>
      <c r="Y30" s="2"/>
      <c r="Z30" s="7">
        <f t="shared" si="19"/>
        <v>-4.4136125682074194E-2</v>
      </c>
    </row>
    <row r="31" spans="1:26" s="24" customFormat="1" hidden="1" outlineLevel="2" x14ac:dyDescent="0.3">
      <c r="A31" s="27"/>
      <c r="B31" s="11" t="str">
        <f>CONCATENATE("          ", "6115", " - ", "P.E.R.S.")</f>
        <v xml:space="preserve">          6115 - P.E.R.S.</v>
      </c>
      <c r="C31" s="11"/>
      <c r="D31" s="6">
        <v>4016.61</v>
      </c>
      <c r="E31" s="2"/>
      <c r="F31" s="7">
        <f t="shared" si="12"/>
        <v>3.1252457032160752E-3</v>
      </c>
      <c r="G31" s="2"/>
      <c r="H31" s="6">
        <v>3831.97668769231</v>
      </c>
      <c r="I31" s="2"/>
      <c r="J31" s="7">
        <f t="shared" si="13"/>
        <v>4.751955217872408E-3</v>
      </c>
      <c r="K31" s="2"/>
      <c r="L31" s="6">
        <f t="shared" si="14"/>
        <v>184.63331230769018</v>
      </c>
      <c r="M31" s="2"/>
      <c r="N31" s="7">
        <f t="shared" si="15"/>
        <v>4.8182263973761255E-2</v>
      </c>
      <c r="O31" s="11"/>
      <c r="P31" s="6">
        <v>21322.42</v>
      </c>
      <c r="Q31" s="2"/>
      <c r="R31" s="7">
        <f t="shared" si="16"/>
        <v>4.4163002659833341E-3</v>
      </c>
      <c r="S31" s="2"/>
      <c r="T31" s="6">
        <v>21075.871782307699</v>
      </c>
      <c r="U31" s="2"/>
      <c r="V31" s="7">
        <f t="shared" si="17"/>
        <v>5.8079452662884975E-3</v>
      </c>
      <c r="W31" s="2"/>
      <c r="X31" s="6">
        <f t="shared" si="18"/>
        <v>246.54821769229966</v>
      </c>
      <c r="Y31" s="2"/>
      <c r="Z31" s="7">
        <f t="shared" si="19"/>
        <v>1.1698126665358936E-2</v>
      </c>
    </row>
    <row r="32" spans="1:26" s="24" customFormat="1" hidden="1" outlineLevel="2" x14ac:dyDescent="0.3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3">
      <c r="A33" s="27"/>
      <c r="B33" s="11" t="str">
        <f>CONCATENATE("          ", "6117", " - ", "RETIREMENT STAFF HOURLY")</f>
        <v xml:space="preserve">          6117 - RETIREMENT STAFF HOURLY</v>
      </c>
      <c r="C33" s="11"/>
      <c r="D33" s="6">
        <v>1804.57</v>
      </c>
      <c r="E33" s="2"/>
      <c r="F33" s="7">
        <f t="shared" si="12"/>
        <v>1.4041006317896516E-3</v>
      </c>
      <c r="G33" s="2"/>
      <c r="H33" s="6"/>
      <c r="I33" s="2"/>
      <c r="J33" s="7">
        <f t="shared" si="13"/>
        <v>0</v>
      </c>
      <c r="K33" s="2"/>
      <c r="L33" s="6">
        <f t="shared" si="14"/>
        <v>1804.57</v>
      </c>
      <c r="M33" s="2"/>
      <c r="N33" s="7">
        <f t="shared" si="15"/>
        <v>0</v>
      </c>
      <c r="O33" s="11"/>
      <c r="P33" s="6">
        <v>8289.98</v>
      </c>
      <c r="Q33" s="2"/>
      <c r="R33" s="7">
        <f t="shared" si="16"/>
        <v>1.7170209047095274E-3</v>
      </c>
      <c r="S33" s="2"/>
      <c r="T33" s="6"/>
      <c r="U33" s="2"/>
      <c r="V33" s="7">
        <f t="shared" si="17"/>
        <v>0</v>
      </c>
      <c r="W33" s="2"/>
      <c r="X33" s="6">
        <f t="shared" si="18"/>
        <v>8289.98</v>
      </c>
      <c r="Y33" s="2"/>
      <c r="Z33" s="7">
        <f t="shared" si="19"/>
        <v>0</v>
      </c>
    </row>
    <row r="34" spans="1:26" s="24" customFormat="1" hidden="1" outlineLevel="2" x14ac:dyDescent="0.3">
      <c r="A34" s="27"/>
      <c r="B34" s="11" t="str">
        <f>CONCATENATE("          ", "6118", " - ", "VACATION")</f>
        <v xml:space="preserve">          6118 - VACATION</v>
      </c>
      <c r="C34" s="11"/>
      <c r="D34" s="6">
        <v>6734.06</v>
      </c>
      <c r="E34" s="2"/>
      <c r="F34" s="7">
        <f t="shared" si="12"/>
        <v>5.2396404132338571E-3</v>
      </c>
      <c r="G34" s="2"/>
      <c r="H34" s="6">
        <v>5673.2032538461499</v>
      </c>
      <c r="I34" s="2"/>
      <c r="J34" s="7">
        <f t="shared" si="13"/>
        <v>7.0352222889957213E-3</v>
      </c>
      <c r="K34" s="2"/>
      <c r="L34" s="6">
        <f t="shared" si="14"/>
        <v>1060.8567461538505</v>
      </c>
      <c r="M34" s="2"/>
      <c r="N34" s="7">
        <f t="shared" si="15"/>
        <v>0.18699431321002688</v>
      </c>
      <c r="O34" s="11"/>
      <c r="P34" s="6">
        <v>36723.67</v>
      </c>
      <c r="Q34" s="2"/>
      <c r="R34" s="7">
        <f t="shared" si="16"/>
        <v>7.606207625067145E-3</v>
      </c>
      <c r="S34" s="2"/>
      <c r="T34" s="6">
        <v>31202.617896153799</v>
      </c>
      <c r="U34" s="2"/>
      <c r="V34" s="7">
        <f t="shared" si="17"/>
        <v>8.5986050198836525E-3</v>
      </c>
      <c r="W34" s="2"/>
      <c r="X34" s="6">
        <f t="shared" si="18"/>
        <v>5521.0521038461993</v>
      </c>
      <c r="Y34" s="2"/>
      <c r="Z34" s="7">
        <f t="shared" si="19"/>
        <v>0.17694195154460912</v>
      </c>
    </row>
    <row r="35" spans="1:26" s="24" customFormat="1" hidden="1" outlineLevel="2" x14ac:dyDescent="0.3">
      <c r="A35" s="27"/>
      <c r="B35" s="11" t="str">
        <f>CONCATENATE("          ", "6119", " - ", "SICK LEAVE")</f>
        <v xml:space="preserve">          6119 - SICK LEAVE</v>
      </c>
      <c r="C35" s="11"/>
      <c r="D35" s="6">
        <v>5405.14</v>
      </c>
      <c r="E35" s="2"/>
      <c r="F35" s="7">
        <f t="shared" si="12"/>
        <v>4.2056337459403176E-3</v>
      </c>
      <c r="G35" s="2"/>
      <c r="H35" s="6">
        <v>8721.3122538461503</v>
      </c>
      <c r="I35" s="2"/>
      <c r="J35" s="7">
        <f t="shared" si="13"/>
        <v>1.0815119362408421E-2</v>
      </c>
      <c r="K35" s="2"/>
      <c r="L35" s="6">
        <f t="shared" si="14"/>
        <v>-3316.1722538461499</v>
      </c>
      <c r="M35" s="2"/>
      <c r="N35" s="7">
        <f t="shared" si="15"/>
        <v>-0.38023776208490856</v>
      </c>
      <c r="O35" s="11"/>
      <c r="P35" s="6">
        <v>26659.18</v>
      </c>
      <c r="Q35" s="2"/>
      <c r="R35" s="7">
        <f t="shared" si="16"/>
        <v>5.5216501562626377E-3</v>
      </c>
      <c r="S35" s="2"/>
      <c r="T35" s="6">
        <v>41745.719896153802</v>
      </c>
      <c r="U35" s="2"/>
      <c r="V35" s="7">
        <f t="shared" si="17"/>
        <v>1.1504001294134094E-2</v>
      </c>
      <c r="W35" s="2"/>
      <c r="X35" s="6">
        <f t="shared" si="18"/>
        <v>-15086.539896153801</v>
      </c>
      <c r="Y35" s="2"/>
      <c r="Z35" s="7">
        <f t="shared" si="19"/>
        <v>-0.36139129792665964</v>
      </c>
    </row>
    <row r="36" spans="1:26" s="24" customFormat="1" hidden="1" outlineLevel="2" x14ac:dyDescent="0.3">
      <c r="A36" s="27"/>
      <c r="B36" s="11" t="str">
        <f>CONCATENATE("          ", "6156", " - ", "EMPLOYEE MEALS")</f>
        <v xml:space="preserve">          6156 - EMPLOYEE MEALS</v>
      </c>
      <c r="C36" s="11"/>
      <c r="D36" s="6">
        <v>4272.3599999999997</v>
      </c>
      <c r="E36" s="2"/>
      <c r="F36" s="7">
        <f t="shared" si="12"/>
        <v>3.3242397774721046E-3</v>
      </c>
      <c r="G36" s="2"/>
      <c r="H36" s="6">
        <v>4200</v>
      </c>
      <c r="I36" s="2"/>
      <c r="J36" s="7">
        <f t="shared" si="13"/>
        <v>5.208333333333333E-3</v>
      </c>
      <c r="K36" s="2"/>
      <c r="L36" s="6">
        <f t="shared" si="14"/>
        <v>72.359999999999673</v>
      </c>
      <c r="M36" s="2"/>
      <c r="N36" s="7">
        <f t="shared" si="15"/>
        <v>1.722857142857135E-2</v>
      </c>
      <c r="O36" s="11"/>
      <c r="P36" s="6">
        <v>17284.5</v>
      </c>
      <c r="Q36" s="2"/>
      <c r="R36" s="7">
        <f t="shared" si="16"/>
        <v>3.5799661552201366E-3</v>
      </c>
      <c r="S36" s="2"/>
      <c r="T36" s="6">
        <v>21000</v>
      </c>
      <c r="U36" s="2"/>
      <c r="V36" s="7">
        <f t="shared" si="17"/>
        <v>5.7870370370370367E-3</v>
      </c>
      <c r="W36" s="2"/>
      <c r="X36" s="6">
        <f t="shared" si="18"/>
        <v>-3715.5</v>
      </c>
      <c r="Y36" s="2"/>
      <c r="Z36" s="7">
        <f t="shared" si="19"/>
        <v>-0.17692857142857144</v>
      </c>
    </row>
    <row r="37" spans="1:26" s="29" customFormat="1" outlineLevel="1" collapsed="1" x14ac:dyDescent="0.3">
      <c r="A37" s="28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237992.63</v>
      </c>
      <c r="E37" s="1"/>
      <c r="F37" s="5">
        <f t="shared" ref="F37:F47" si="20">IF(D$12=0,0,D37/D$12)</f>
        <v>0.18517741187334424</v>
      </c>
      <c r="G37" s="1"/>
      <c r="H37" s="1">
        <f>SUM(OSRRefH22_1x_0)</f>
        <v>264697.19695384608</v>
      </c>
      <c r="I37" s="1"/>
      <c r="J37" s="5">
        <f t="shared" ref="J37:J47" si="21">IF(H$12=0,0,H37/H$12)</f>
        <v>0.32824553193681311</v>
      </c>
      <c r="K37" s="1"/>
      <c r="L37" s="1">
        <f t="shared" ref="L37:L47" si="22">+D37-H37</f>
        <v>-26704.566953846079</v>
      </c>
      <c r="M37" s="1"/>
      <c r="N37" s="5">
        <f t="shared" ref="N37:N47" si="23">IF(H37=0,0,L37/H37)</f>
        <v>-0.10088722986553733</v>
      </c>
      <c r="O37" s="14"/>
      <c r="P37" s="1">
        <f>SUM(OSRRefP22_1x_0)</f>
        <v>1095516.05</v>
      </c>
      <c r="Q37" s="1"/>
      <c r="R37" s="5">
        <f t="shared" ref="R37:R47" si="24">IF(P$12=0,0,P37/P$12)</f>
        <v>0.2269033169313808</v>
      </c>
      <c r="S37" s="1"/>
      <c r="T37" s="1">
        <f>SUM(OSRRefT22_1x_0)</f>
        <v>1253015.3307461538</v>
      </c>
      <c r="U37" s="1"/>
      <c r="V37" s="5">
        <f t="shared" ref="V37:V47" si="25">IF(T$12=0,0,T37/T$12)</f>
        <v>0.34529743461920026</v>
      </c>
      <c r="W37" s="1"/>
      <c r="X37" s="1">
        <f t="shared" ref="X37:X47" si="26">+P37-T37</f>
        <v>-157499.28074615379</v>
      </c>
      <c r="Y37" s="1"/>
      <c r="Z37" s="5">
        <f t="shared" ref="Z37:Z47" si="27">IF(T37=0,0,X37/T37)</f>
        <v>-0.12569621207456821</v>
      </c>
    </row>
    <row r="38" spans="1:26" s="24" customFormat="1" hidden="1" outlineLevel="2" x14ac:dyDescent="0.3">
      <c r="A38" s="27"/>
      <c r="B38" s="11" t="str">
        <f>CONCATENATE("          ", "6001", " - ", "ADMINISTRATIVE SALARIES")</f>
        <v xml:space="preserve">          6001 - ADMINISTRATIVE SALARIES</v>
      </c>
      <c r="C38" s="11"/>
      <c r="D38" s="6">
        <v>7920.23</v>
      </c>
      <c r="E38" s="2"/>
      <c r="F38" s="7">
        <f t="shared" si="20"/>
        <v>6.1625760967539923E-3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7920.23</v>
      </c>
      <c r="M38" s="2"/>
      <c r="N38" s="7">
        <f t="shared" si="23"/>
        <v>0</v>
      </c>
      <c r="O38" s="11"/>
      <c r="P38" s="6">
        <v>46894.18</v>
      </c>
      <c r="Q38" s="2"/>
      <c r="R38" s="7">
        <f t="shared" si="24"/>
        <v>9.7127239594319206E-3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46894.18</v>
      </c>
      <c r="Y38" s="2"/>
      <c r="Z38" s="7">
        <f t="shared" si="27"/>
        <v>0</v>
      </c>
    </row>
    <row r="39" spans="1:26" s="24" customFormat="1" hidden="1" outlineLevel="2" x14ac:dyDescent="0.3">
      <c r="A39" s="27"/>
      <c r="B39" s="11" t="str">
        <f>CONCATENATE("          ", "6002", " - ", "STAFF SALARIES")</f>
        <v xml:space="preserve">          6002 - STAFF SALARIES</v>
      </c>
      <c r="C39" s="11"/>
      <c r="D39" s="6">
        <v>35697.699999999997</v>
      </c>
      <c r="E39" s="2"/>
      <c r="F39" s="7">
        <f t="shared" si="20"/>
        <v>2.777568236390799E-2</v>
      </c>
      <c r="G39" s="2"/>
      <c r="H39" s="6">
        <v>41973.976353846097</v>
      </c>
      <c r="I39" s="2"/>
      <c r="J39" s="7">
        <f t="shared" si="21"/>
        <v>5.205106194673375E-2</v>
      </c>
      <c r="K39" s="2"/>
      <c r="L39" s="6">
        <f t="shared" si="22"/>
        <v>-6276.2763538461004</v>
      </c>
      <c r="M39" s="2"/>
      <c r="N39" s="7">
        <f t="shared" si="23"/>
        <v>-0.14952780029550386</v>
      </c>
      <c r="O39" s="11"/>
      <c r="P39" s="6">
        <v>190626.16</v>
      </c>
      <c r="Q39" s="2"/>
      <c r="R39" s="7">
        <f t="shared" si="24"/>
        <v>3.9482495941426055E-2</v>
      </c>
      <c r="S39" s="2"/>
      <c r="T39" s="6">
        <v>230856.86994615401</v>
      </c>
      <c r="U39" s="2"/>
      <c r="V39" s="7">
        <f t="shared" si="25"/>
        <v>6.3617964601563604E-2</v>
      </c>
      <c r="W39" s="2"/>
      <c r="X39" s="6">
        <f t="shared" si="26"/>
        <v>-40230.709946154006</v>
      </c>
      <c r="Y39" s="2"/>
      <c r="Z39" s="7">
        <f t="shared" si="27"/>
        <v>-0.17426689513523066</v>
      </c>
    </row>
    <row r="40" spans="1:26" s="24" customFormat="1" hidden="1" outlineLevel="2" x14ac:dyDescent="0.3">
      <c r="A40" s="27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3">
      <c r="A41" s="27"/>
      <c r="B41" s="11" t="str">
        <f>CONCATENATE("          ", "6004", " - ", "STAFF HOURLY")</f>
        <v xml:space="preserve">          6004 - STAFF HOURLY</v>
      </c>
      <c r="C41" s="11"/>
      <c r="D41" s="6">
        <v>83293.38</v>
      </c>
      <c r="E41" s="2"/>
      <c r="F41" s="7">
        <f t="shared" si="20"/>
        <v>6.4808950321625397E-2</v>
      </c>
      <c r="G41" s="2"/>
      <c r="H41" s="6">
        <v>99718.745599999995</v>
      </c>
      <c r="I41" s="2"/>
      <c r="J41" s="7">
        <f t="shared" si="21"/>
        <v>0.12365915873015873</v>
      </c>
      <c r="K41" s="2"/>
      <c r="L41" s="6">
        <f t="shared" si="22"/>
        <v>-16425.36559999999</v>
      </c>
      <c r="M41" s="2"/>
      <c r="N41" s="7">
        <f t="shared" si="23"/>
        <v>-0.16471692961207879</v>
      </c>
      <c r="O41" s="11"/>
      <c r="P41" s="6">
        <v>395090.45</v>
      </c>
      <c r="Q41" s="2"/>
      <c r="R41" s="7">
        <f t="shared" si="24"/>
        <v>8.1831145780942097E-2</v>
      </c>
      <c r="S41" s="2"/>
      <c r="T41" s="6">
        <v>522953.10080000001</v>
      </c>
      <c r="U41" s="2"/>
      <c r="V41" s="7">
        <f t="shared" si="25"/>
        <v>0.14411185537918872</v>
      </c>
      <c r="W41" s="2"/>
      <c r="X41" s="6">
        <f t="shared" si="26"/>
        <v>-127862.6508</v>
      </c>
      <c r="Y41" s="2"/>
      <c r="Z41" s="7">
        <f t="shared" si="27"/>
        <v>-0.24450118108946875</v>
      </c>
    </row>
    <row r="42" spans="1:26" s="24" customFormat="1" hidden="1" outlineLevel="2" x14ac:dyDescent="0.3">
      <c r="A42" s="27"/>
      <c r="B42" s="11" t="str">
        <f>CONCATENATE("          ", "6005", " - ", "TEMPORARY WAGES-HOURLY")</f>
        <v xml:space="preserve">          6005 - TEMPORARY WAGES-HOURLY</v>
      </c>
      <c r="C42" s="11"/>
      <c r="D42" s="6">
        <v>25419.83</v>
      </c>
      <c r="E42" s="2"/>
      <c r="F42" s="7">
        <f t="shared" si="20"/>
        <v>1.977867268268094E-2</v>
      </c>
      <c r="G42" s="2"/>
      <c r="H42" s="6">
        <v>23380.395</v>
      </c>
      <c r="I42" s="2"/>
      <c r="J42" s="7">
        <f t="shared" si="21"/>
        <v>2.8993545386904761E-2</v>
      </c>
      <c r="K42" s="2"/>
      <c r="L42" s="6">
        <f t="shared" si="22"/>
        <v>2039.4350000000013</v>
      </c>
      <c r="M42" s="2"/>
      <c r="N42" s="7">
        <f t="shared" si="23"/>
        <v>8.7228423642971009E-2</v>
      </c>
      <c r="O42" s="11"/>
      <c r="P42" s="6">
        <v>203800.42</v>
      </c>
      <c r="Q42" s="2"/>
      <c r="R42" s="7">
        <f t="shared" si="24"/>
        <v>4.2211149065327268E-2</v>
      </c>
      <c r="S42" s="2"/>
      <c r="T42" s="6">
        <v>96577.08</v>
      </c>
      <c r="U42" s="2"/>
      <c r="V42" s="7">
        <f t="shared" si="25"/>
        <v>2.6614054232804232E-2</v>
      </c>
      <c r="W42" s="2"/>
      <c r="X42" s="6">
        <f t="shared" si="26"/>
        <v>107223.34000000001</v>
      </c>
      <c r="Y42" s="2"/>
      <c r="Z42" s="7">
        <f t="shared" si="27"/>
        <v>1.1102358861957724</v>
      </c>
    </row>
    <row r="43" spans="1:26" s="24" customFormat="1" hidden="1" outlineLevel="2" x14ac:dyDescent="0.3">
      <c r="A43" s="27"/>
      <c r="B43" s="11" t="str">
        <f>CONCATENATE("          ", "6006", " - ", "TEMPORARY PART TIME")</f>
        <v xml:space="preserve">          6006 - TEMPORARY PART TIME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4" customFormat="1" hidden="1" outlineLevel="2" x14ac:dyDescent="0.3">
      <c r="A44" s="27"/>
      <c r="B44" s="11" t="str">
        <f>CONCATENATE("          ", "6007", " - ", "STUDENT HOURLY")</f>
        <v xml:space="preserve">          6007 - STUDENT HOURLY</v>
      </c>
      <c r="C44" s="11"/>
      <c r="D44" s="6">
        <v>59538.400000000001</v>
      </c>
      <c r="E44" s="2"/>
      <c r="F44" s="7">
        <f t="shared" si="20"/>
        <v>4.632566487071435E-2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59538.400000000001</v>
      </c>
      <c r="M44" s="2"/>
      <c r="N44" s="7">
        <f t="shared" si="23"/>
        <v>0</v>
      </c>
      <c r="O44" s="11"/>
      <c r="P44" s="6">
        <v>214726.87</v>
      </c>
      <c r="Q44" s="2"/>
      <c r="R44" s="7">
        <f t="shared" si="24"/>
        <v>4.4474235715025262E-2</v>
      </c>
      <c r="S44" s="2"/>
      <c r="T44" s="6">
        <v>42825.5</v>
      </c>
      <c r="U44" s="2"/>
      <c r="V44" s="7">
        <f t="shared" si="25"/>
        <v>1.1801559744268077E-2</v>
      </c>
      <c r="W44" s="2"/>
      <c r="X44" s="6">
        <f t="shared" si="26"/>
        <v>171901.37</v>
      </c>
      <c r="Y44" s="2"/>
      <c r="Z44" s="7">
        <f t="shared" si="27"/>
        <v>4.0139956334426916</v>
      </c>
    </row>
    <row r="45" spans="1:26" s="24" customFormat="1" hidden="1" outlineLevel="2" x14ac:dyDescent="0.3">
      <c r="A45" s="27"/>
      <c r="B45" s="11" t="str">
        <f>CONCATENATE("          ", "6008", " - ", "STUDENT HOURLY-FICA EXEMPT")</f>
        <v xml:space="preserve">          6008 - STUDENT HOURLY-FICA EXEMPT</v>
      </c>
      <c r="C45" s="11"/>
      <c r="D45" s="6">
        <v>26123.09</v>
      </c>
      <c r="E45" s="2"/>
      <c r="F45" s="7">
        <f t="shared" si="20"/>
        <v>2.0325865537661567E-2</v>
      </c>
      <c r="G45" s="2"/>
      <c r="H45" s="6">
        <v>99624.08</v>
      </c>
      <c r="I45" s="2"/>
      <c r="J45" s="7">
        <f t="shared" si="21"/>
        <v>0.12354176587301588</v>
      </c>
      <c r="K45" s="2"/>
      <c r="L45" s="6">
        <f t="shared" si="22"/>
        <v>-73500.990000000005</v>
      </c>
      <c r="M45" s="2"/>
      <c r="N45" s="7">
        <f t="shared" si="23"/>
        <v>-0.73778337526429361</v>
      </c>
      <c r="O45" s="11"/>
      <c r="P45" s="6">
        <v>44377.97</v>
      </c>
      <c r="Q45" s="2"/>
      <c r="R45" s="7">
        <f t="shared" si="24"/>
        <v>9.1915664692281858E-3</v>
      </c>
      <c r="S45" s="2"/>
      <c r="T45" s="6">
        <v>359802.78</v>
      </c>
      <c r="U45" s="2"/>
      <c r="V45" s="7">
        <f t="shared" si="25"/>
        <v>9.9152000661375667E-2</v>
      </c>
      <c r="W45" s="2"/>
      <c r="X45" s="6">
        <f t="shared" si="26"/>
        <v>-315424.81000000006</v>
      </c>
      <c r="Y45" s="2"/>
      <c r="Z45" s="7">
        <f t="shared" si="27"/>
        <v>-0.87666029150747538</v>
      </c>
    </row>
    <row r="46" spans="1:26" s="24" customFormat="1" hidden="1" outlineLevel="2" x14ac:dyDescent="0.3">
      <c r="A46" s="27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3">
      <c r="A47" s="27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9" customFormat="1" outlineLevel="1" collapsed="1" x14ac:dyDescent="0.3">
      <c r="A48" s="28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123.48</v>
      </c>
      <c r="E48" s="1"/>
      <c r="F48" s="5">
        <f t="shared" ref="F48:F71" si="28">IF(D$12=0,0,D48/D$12)</f>
        <v>9.6077373564553431E-5</v>
      </c>
      <c r="G48" s="1"/>
      <c r="H48" s="1">
        <f>SUM(OSRRefH22_2x_0)</f>
        <v>1319</v>
      </c>
      <c r="I48" s="1"/>
      <c r="J48" s="5">
        <f t="shared" ref="J48:J71" si="29">IF(H$12=0,0,H48/H$12)</f>
        <v>1.6356646825396825E-3</v>
      </c>
      <c r="K48" s="1"/>
      <c r="L48" s="1">
        <f t="shared" ref="L48:L71" si="30">+D48-H48</f>
        <v>-1195.52</v>
      </c>
      <c r="M48" s="1"/>
      <c r="N48" s="5">
        <f t="shared" ref="N48:N71" si="31">IF(H48=0,0,L48/H48)</f>
        <v>-0.90638362395754357</v>
      </c>
      <c r="O48" s="14"/>
      <c r="P48" s="1">
        <f>SUM(OSRRefP22_2x_0)</f>
        <v>2993.38</v>
      </c>
      <c r="Q48" s="1"/>
      <c r="R48" s="5">
        <f t="shared" ref="R48:R71" si="32">IF(P$12=0,0,P48/P$12)</f>
        <v>6.1998895482732238E-4</v>
      </c>
      <c r="S48" s="1"/>
      <c r="T48" s="1">
        <f>SUM(OSRRefT22_2x_0)</f>
        <v>6595</v>
      </c>
      <c r="U48" s="1"/>
      <c r="V48" s="5">
        <f t="shared" ref="V48:V71" si="33">IF(T$12=0,0,T48/T$12)</f>
        <v>1.8174052028218696E-3</v>
      </c>
      <c r="W48" s="1"/>
      <c r="X48" s="1">
        <f t="shared" ref="X48:X71" si="34">+P48-T48</f>
        <v>-3601.62</v>
      </c>
      <c r="Y48" s="1"/>
      <c r="Z48" s="5">
        <f t="shared" ref="Z48:Z71" si="35">IF(T48=0,0,X48/T48)</f>
        <v>-0.54611372251705836</v>
      </c>
    </row>
    <row r="49" spans="1:26" s="24" customFormat="1" hidden="1" outlineLevel="2" x14ac:dyDescent="0.3">
      <c r="A49" s="27"/>
      <c r="B49" s="11" t="str">
        <f>CONCATENATE("          ", "6362", " - ", "ADVERTISING EXPENSE")</f>
        <v xml:space="preserve">          6362 - ADVERTISING EXPENSE</v>
      </c>
      <c r="C49" s="11"/>
      <c r="D49" s="6">
        <v>123.48</v>
      </c>
      <c r="E49" s="2"/>
      <c r="F49" s="7">
        <f t="shared" si="28"/>
        <v>9.6077373564553431E-5</v>
      </c>
      <c r="G49" s="2"/>
      <c r="H49" s="6">
        <v>1319</v>
      </c>
      <c r="I49" s="2"/>
      <c r="J49" s="7">
        <f t="shared" si="29"/>
        <v>1.6356646825396825E-3</v>
      </c>
      <c r="K49" s="2"/>
      <c r="L49" s="6">
        <f t="shared" si="30"/>
        <v>-1195.52</v>
      </c>
      <c r="M49" s="2"/>
      <c r="N49" s="7">
        <f t="shared" si="31"/>
        <v>-0.90638362395754357</v>
      </c>
      <c r="O49" s="11"/>
      <c r="P49" s="6">
        <v>2993.38</v>
      </c>
      <c r="Q49" s="2"/>
      <c r="R49" s="7">
        <f t="shared" si="32"/>
        <v>6.1998895482732238E-4</v>
      </c>
      <c r="S49" s="2"/>
      <c r="T49" s="6">
        <v>6595</v>
      </c>
      <c r="U49" s="2"/>
      <c r="V49" s="7">
        <f t="shared" si="33"/>
        <v>1.8174052028218696E-3</v>
      </c>
      <c r="W49" s="2"/>
      <c r="X49" s="6">
        <f t="shared" si="34"/>
        <v>-3601.62</v>
      </c>
      <c r="Y49" s="2"/>
      <c r="Z49" s="7">
        <f t="shared" si="35"/>
        <v>-0.54611372251705836</v>
      </c>
    </row>
    <row r="50" spans="1:26" s="29" customFormat="1" outlineLevel="1" collapsed="1" x14ac:dyDescent="0.3">
      <c r="A50" s="28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-8</v>
      </c>
      <c r="E50" s="1"/>
      <c r="F50" s="5">
        <f t="shared" si="28"/>
        <v>-6.2246435739911523E-6</v>
      </c>
      <c r="G50" s="1"/>
      <c r="H50" s="1">
        <f>SUM(OSRRefH22_3x_0)</f>
        <v>33</v>
      </c>
      <c r="I50" s="1"/>
      <c r="J50" s="5">
        <f t="shared" si="29"/>
        <v>4.0922619047619046E-5</v>
      </c>
      <c r="K50" s="1"/>
      <c r="L50" s="1">
        <f t="shared" si="30"/>
        <v>-41</v>
      </c>
      <c r="M50" s="1"/>
      <c r="N50" s="5">
        <f t="shared" si="31"/>
        <v>-1.2424242424242424</v>
      </c>
      <c r="O50" s="14"/>
      <c r="P50" s="1">
        <f>SUM(OSRRefP22_3x_0)</f>
        <v>-23.9</v>
      </c>
      <c r="Q50" s="1"/>
      <c r="R50" s="5">
        <f t="shared" si="32"/>
        <v>-4.9501687124164002E-6</v>
      </c>
      <c r="S50" s="1"/>
      <c r="T50" s="1">
        <f>SUM(OSRRefT22_3x_0)</f>
        <v>147</v>
      </c>
      <c r="U50" s="1"/>
      <c r="V50" s="5">
        <f t="shared" si="33"/>
        <v>4.0509259259259258E-5</v>
      </c>
      <c r="W50" s="1"/>
      <c r="X50" s="1">
        <f t="shared" si="34"/>
        <v>-170.9</v>
      </c>
      <c r="Y50" s="1"/>
      <c r="Z50" s="5">
        <f t="shared" si="35"/>
        <v>-1.1625850340136055</v>
      </c>
    </row>
    <row r="51" spans="1:26" s="24" customFormat="1" hidden="1" outlineLevel="2" x14ac:dyDescent="0.3">
      <c r="A51" s="27"/>
      <c r="B51" s="11" t="str">
        <f>CONCATENATE("          ", "6272", " - ", "CASH (OVER/SHORT)")</f>
        <v xml:space="preserve">          6272 - CASH (OVER/SHORT)</v>
      </c>
      <c r="C51" s="11"/>
      <c r="D51" s="6">
        <v>-8</v>
      </c>
      <c r="E51" s="2"/>
      <c r="F51" s="7">
        <f t="shared" si="28"/>
        <v>-6.2246435739911523E-6</v>
      </c>
      <c r="G51" s="2"/>
      <c r="H51" s="6">
        <v>33</v>
      </c>
      <c r="I51" s="2"/>
      <c r="J51" s="7">
        <f t="shared" si="29"/>
        <v>4.0922619047619046E-5</v>
      </c>
      <c r="K51" s="2"/>
      <c r="L51" s="6">
        <f t="shared" si="30"/>
        <v>-41</v>
      </c>
      <c r="M51" s="2"/>
      <c r="N51" s="7">
        <f t="shared" si="31"/>
        <v>-1.2424242424242424</v>
      </c>
      <c r="O51" s="11"/>
      <c r="P51" s="6">
        <v>-23.9</v>
      </c>
      <c r="Q51" s="2"/>
      <c r="R51" s="7">
        <f t="shared" si="32"/>
        <v>-4.9501687124164002E-6</v>
      </c>
      <c r="S51" s="2"/>
      <c r="T51" s="6">
        <v>147</v>
      </c>
      <c r="U51" s="2"/>
      <c r="V51" s="7">
        <f t="shared" si="33"/>
        <v>4.0509259259259258E-5</v>
      </c>
      <c r="W51" s="2"/>
      <c r="X51" s="6">
        <f t="shared" si="34"/>
        <v>-170.9</v>
      </c>
      <c r="Y51" s="2"/>
      <c r="Z51" s="7">
        <f t="shared" si="35"/>
        <v>-1.1625850340136055</v>
      </c>
    </row>
    <row r="52" spans="1:26" s="29" customFormat="1" outlineLevel="1" collapsed="1" x14ac:dyDescent="0.3">
      <c r="A52" s="28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123.53</v>
      </c>
      <c r="E52" s="1"/>
      <c r="F52" s="5">
        <f t="shared" si="28"/>
        <v>9.6116277586890878E-5</v>
      </c>
      <c r="G52" s="1"/>
      <c r="H52" s="1">
        <f>SUM(OSRRefH22_4x_0)</f>
        <v>410</v>
      </c>
      <c r="I52" s="1"/>
      <c r="J52" s="5">
        <f t="shared" si="29"/>
        <v>5.0843253968253972E-4</v>
      </c>
      <c r="K52" s="1"/>
      <c r="L52" s="1">
        <f t="shared" si="30"/>
        <v>-286.47000000000003</v>
      </c>
      <c r="M52" s="1"/>
      <c r="N52" s="5">
        <f t="shared" si="31"/>
        <v>-0.6987073170731708</v>
      </c>
      <c r="O52" s="14"/>
      <c r="P52" s="1">
        <f>SUM(OSRRefP22_4x_0)</f>
        <v>638.85</v>
      </c>
      <c r="Q52" s="1"/>
      <c r="R52" s="5">
        <f t="shared" si="32"/>
        <v>1.3231863104297981E-4</v>
      </c>
      <c r="S52" s="1"/>
      <c r="T52" s="1">
        <f>SUM(OSRRefT22_4x_0)</f>
        <v>2025</v>
      </c>
      <c r="U52" s="1"/>
      <c r="V52" s="5">
        <f t="shared" si="33"/>
        <v>5.5803571428571425E-4</v>
      </c>
      <c r="W52" s="1"/>
      <c r="X52" s="1">
        <f t="shared" si="34"/>
        <v>-1386.15</v>
      </c>
      <c r="Y52" s="1"/>
      <c r="Z52" s="5">
        <f t="shared" si="35"/>
        <v>-0.68451851851851853</v>
      </c>
    </row>
    <row r="53" spans="1:26" s="24" customFormat="1" hidden="1" outlineLevel="2" x14ac:dyDescent="0.3">
      <c r="A53" s="27"/>
      <c r="B53" s="11" t="str">
        <f>CONCATENATE("          ", "6381", " - ", "BANK/CREDIT CARD FEES")</f>
        <v xml:space="preserve">          6381 - BANK/CREDIT CARD FEES</v>
      </c>
      <c r="C53" s="11"/>
      <c r="D53" s="6">
        <v>123.53</v>
      </c>
      <c r="E53" s="2"/>
      <c r="F53" s="7">
        <f t="shared" si="28"/>
        <v>9.6116277586890878E-5</v>
      </c>
      <c r="G53" s="2"/>
      <c r="H53" s="6">
        <v>410</v>
      </c>
      <c r="I53" s="2"/>
      <c r="J53" s="7">
        <f t="shared" si="29"/>
        <v>5.0843253968253972E-4</v>
      </c>
      <c r="K53" s="2"/>
      <c r="L53" s="6">
        <f t="shared" si="30"/>
        <v>-286.47000000000003</v>
      </c>
      <c r="M53" s="2"/>
      <c r="N53" s="7">
        <f t="shared" si="31"/>
        <v>-0.6987073170731708</v>
      </c>
      <c r="O53" s="11"/>
      <c r="P53" s="6">
        <v>638.85</v>
      </c>
      <c r="Q53" s="2"/>
      <c r="R53" s="7">
        <f t="shared" si="32"/>
        <v>1.3231863104297981E-4</v>
      </c>
      <c r="S53" s="2"/>
      <c r="T53" s="6">
        <v>2025</v>
      </c>
      <c r="U53" s="2"/>
      <c r="V53" s="7">
        <f t="shared" si="33"/>
        <v>5.5803571428571425E-4</v>
      </c>
      <c r="W53" s="2"/>
      <c r="X53" s="6">
        <f t="shared" si="34"/>
        <v>-1386.15</v>
      </c>
      <c r="Y53" s="2"/>
      <c r="Z53" s="7">
        <f t="shared" si="35"/>
        <v>-0.68451851851851853</v>
      </c>
    </row>
    <row r="54" spans="1:26" s="29" customFormat="1" outlineLevel="1" collapsed="1" x14ac:dyDescent="0.3">
      <c r="A54" s="28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760.04</v>
      </c>
      <c r="E54" s="1"/>
      <c r="F54" s="5">
        <f t="shared" si="28"/>
        <v>5.9137226274702938E-4</v>
      </c>
      <c r="G54" s="1"/>
      <c r="H54" s="1">
        <f>SUM(OSRRefH22_5x_0)</f>
        <v>486</v>
      </c>
      <c r="I54" s="1"/>
      <c r="J54" s="5">
        <f t="shared" si="29"/>
        <v>6.0267857142857139E-4</v>
      </c>
      <c r="K54" s="1"/>
      <c r="L54" s="1">
        <f t="shared" si="30"/>
        <v>274.03999999999996</v>
      </c>
      <c r="M54" s="1"/>
      <c r="N54" s="5">
        <f t="shared" si="31"/>
        <v>0.56386831275720162</v>
      </c>
      <c r="O54" s="14"/>
      <c r="P54" s="1">
        <f>SUM(OSRRefP22_5x_0)</f>
        <v>3800.2</v>
      </c>
      <c r="Q54" s="1"/>
      <c r="R54" s="5">
        <f t="shared" si="32"/>
        <v>7.870975372771884E-4</v>
      </c>
      <c r="S54" s="1"/>
      <c r="T54" s="1">
        <f>SUM(OSRRefT22_5x_0)</f>
        <v>2430</v>
      </c>
      <c r="U54" s="1"/>
      <c r="V54" s="5">
        <f t="shared" si="33"/>
        <v>6.6964285714285715E-4</v>
      </c>
      <c r="W54" s="1"/>
      <c r="X54" s="1">
        <f t="shared" si="34"/>
        <v>1370.1999999999998</v>
      </c>
      <c r="Y54" s="1"/>
      <c r="Z54" s="5">
        <f t="shared" si="35"/>
        <v>0.56386831275720162</v>
      </c>
    </row>
    <row r="55" spans="1:26" s="24" customFormat="1" hidden="1" outlineLevel="2" x14ac:dyDescent="0.3">
      <c r="A55" s="27"/>
      <c r="B55" s="11" t="str">
        <f>CONCATENATE("          ", "6322", " - ", "EQUIPMENT DEPRECIATION EXPENSE")</f>
        <v xml:space="preserve">          6322 - EQUIPMENT DEPRECIATION EXPENSE</v>
      </c>
      <c r="C55" s="11"/>
      <c r="D55" s="6">
        <v>760.04</v>
      </c>
      <c r="E55" s="2"/>
      <c r="F55" s="7">
        <f t="shared" si="28"/>
        <v>5.9137226274702938E-4</v>
      </c>
      <c r="G55" s="2"/>
      <c r="H55" s="6">
        <v>486</v>
      </c>
      <c r="I55" s="2"/>
      <c r="J55" s="7">
        <f t="shared" si="29"/>
        <v>6.0267857142857139E-4</v>
      </c>
      <c r="K55" s="2"/>
      <c r="L55" s="6">
        <f t="shared" si="30"/>
        <v>274.03999999999996</v>
      </c>
      <c r="M55" s="2"/>
      <c r="N55" s="7">
        <f t="shared" si="31"/>
        <v>0.56386831275720162</v>
      </c>
      <c r="O55" s="11"/>
      <c r="P55" s="6">
        <v>3800.2</v>
      </c>
      <c r="Q55" s="2"/>
      <c r="R55" s="7">
        <f t="shared" si="32"/>
        <v>7.870975372771884E-4</v>
      </c>
      <c r="S55" s="2"/>
      <c r="T55" s="6">
        <v>2430</v>
      </c>
      <c r="U55" s="2"/>
      <c r="V55" s="7">
        <f t="shared" si="33"/>
        <v>6.6964285714285715E-4</v>
      </c>
      <c r="W55" s="2"/>
      <c r="X55" s="6">
        <f t="shared" si="34"/>
        <v>1370.1999999999998</v>
      </c>
      <c r="Y55" s="2"/>
      <c r="Z55" s="7">
        <f t="shared" si="35"/>
        <v>0.56386831275720162</v>
      </c>
    </row>
    <row r="56" spans="1:26" s="29" customFormat="1" outlineLevel="1" collapsed="1" x14ac:dyDescent="0.3">
      <c r="A56" s="28"/>
      <c r="B56" s="14" t="str">
        <f>CONCATENATE("     ","Donations                                         ")</f>
        <v xml:space="preserve">     Donations                                         </v>
      </c>
      <c r="C56" s="14"/>
      <c r="D56" s="1">
        <f>SUM(OSRRefD22_6x_0)</f>
        <v>8398.85</v>
      </c>
      <c r="E56" s="1"/>
      <c r="F56" s="5">
        <f t="shared" si="28"/>
        <v>6.5349809601769485E-3</v>
      </c>
      <c r="G56" s="1"/>
      <c r="H56" s="1">
        <f>SUM(OSRRefH22_6x_0)</f>
        <v>15500</v>
      </c>
      <c r="I56" s="1"/>
      <c r="J56" s="5">
        <f t="shared" si="29"/>
        <v>1.922123015873016E-2</v>
      </c>
      <c r="K56" s="1"/>
      <c r="L56" s="1">
        <f t="shared" si="30"/>
        <v>-7101.15</v>
      </c>
      <c r="M56" s="1"/>
      <c r="N56" s="5">
        <f t="shared" si="31"/>
        <v>-0.45813870967741932</v>
      </c>
      <c r="O56" s="14"/>
      <c r="P56" s="1">
        <f>SUM(OSRRefP22_6x_0)</f>
        <v>32812.589999999997</v>
      </c>
      <c r="Q56" s="1"/>
      <c r="R56" s="5">
        <f t="shared" si="32"/>
        <v>6.7961446188848215E-3</v>
      </c>
      <c r="S56" s="1"/>
      <c r="T56" s="1">
        <f>SUM(OSRRefT22_6x_0)</f>
        <v>62000</v>
      </c>
      <c r="U56" s="1"/>
      <c r="V56" s="5">
        <f t="shared" si="33"/>
        <v>1.7085537918871251E-2</v>
      </c>
      <c r="W56" s="1"/>
      <c r="X56" s="1">
        <f t="shared" si="34"/>
        <v>-29187.410000000003</v>
      </c>
      <c r="Y56" s="1"/>
      <c r="Z56" s="5">
        <f t="shared" si="35"/>
        <v>-0.4707646774193549</v>
      </c>
    </row>
    <row r="57" spans="1:26" s="24" customFormat="1" hidden="1" outlineLevel="2" x14ac:dyDescent="0.3">
      <c r="A57" s="27"/>
      <c r="B57" s="11" t="str">
        <f>CONCATENATE("          ", "6399", " - ", "DONATION-ON CAMPUS")</f>
        <v xml:space="preserve">          6399 - DONATION-ON CAMPUS</v>
      </c>
      <c r="C57" s="11"/>
      <c r="D57" s="6">
        <v>8398.85</v>
      </c>
      <c r="E57" s="2"/>
      <c r="F57" s="7">
        <f t="shared" si="28"/>
        <v>6.5349809601769485E-3</v>
      </c>
      <c r="G57" s="2"/>
      <c r="H57" s="6">
        <v>15500</v>
      </c>
      <c r="I57" s="2"/>
      <c r="J57" s="7">
        <f t="shared" si="29"/>
        <v>1.922123015873016E-2</v>
      </c>
      <c r="K57" s="2"/>
      <c r="L57" s="6">
        <f t="shared" si="30"/>
        <v>-7101.15</v>
      </c>
      <c r="M57" s="2"/>
      <c r="N57" s="7">
        <f t="shared" si="31"/>
        <v>-0.45813870967741932</v>
      </c>
      <c r="O57" s="11"/>
      <c r="P57" s="6">
        <v>32812.589999999997</v>
      </c>
      <c r="Q57" s="2"/>
      <c r="R57" s="7">
        <f t="shared" si="32"/>
        <v>6.7961446188848215E-3</v>
      </c>
      <c r="S57" s="2"/>
      <c r="T57" s="6">
        <v>62000</v>
      </c>
      <c r="U57" s="2"/>
      <c r="V57" s="7">
        <f t="shared" si="33"/>
        <v>1.7085537918871251E-2</v>
      </c>
      <c r="W57" s="2"/>
      <c r="X57" s="6">
        <f t="shared" si="34"/>
        <v>-29187.410000000003</v>
      </c>
      <c r="Y57" s="2"/>
      <c r="Z57" s="7">
        <f t="shared" si="35"/>
        <v>-0.4707646774193549</v>
      </c>
    </row>
    <row r="58" spans="1:26" s="29" customFormat="1" outlineLevel="1" collapsed="1" x14ac:dyDescent="0.3">
      <c r="A58" s="28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SUM(OSRRefD22_7x_0)</f>
        <v>34.47</v>
      </c>
      <c r="E58" s="1"/>
      <c r="F58" s="5">
        <f t="shared" si="28"/>
        <v>2.6820432999434377E-5</v>
      </c>
      <c r="G58" s="1"/>
      <c r="H58" s="1">
        <f>SUM(OSRRefH22_7x_0)</f>
        <v>200</v>
      </c>
      <c r="I58" s="1"/>
      <c r="J58" s="5">
        <f t="shared" si="29"/>
        <v>2.48015873015873E-4</v>
      </c>
      <c r="K58" s="1"/>
      <c r="L58" s="1">
        <f t="shared" si="30"/>
        <v>-165.53</v>
      </c>
      <c r="M58" s="1"/>
      <c r="N58" s="5">
        <f t="shared" si="31"/>
        <v>-0.82765</v>
      </c>
      <c r="O58" s="14"/>
      <c r="P58" s="1">
        <f>SUM(OSRRefP22_7x_0)</f>
        <v>48.96</v>
      </c>
      <c r="Q58" s="1"/>
      <c r="R58" s="5">
        <f t="shared" si="32"/>
        <v>1.0140596659410333E-5</v>
      </c>
      <c r="S58" s="1"/>
      <c r="T58" s="1">
        <f>SUM(OSRRefT22_7x_0)</f>
        <v>1200</v>
      </c>
      <c r="U58" s="1"/>
      <c r="V58" s="5">
        <f t="shared" si="33"/>
        <v>3.3068783068783067E-4</v>
      </c>
      <c r="W58" s="1"/>
      <c r="X58" s="1">
        <f t="shared" si="34"/>
        <v>-1151.04</v>
      </c>
      <c r="Y58" s="1"/>
      <c r="Z58" s="5">
        <f t="shared" si="35"/>
        <v>-0.95919999999999994</v>
      </c>
    </row>
    <row r="59" spans="1:26" s="24" customFormat="1" hidden="1" outlineLevel="2" x14ac:dyDescent="0.3">
      <c r="A59" s="27"/>
      <c r="B59" s="11" t="str">
        <f>CONCATENATE("          ", "6277", " - ", "EMPLOYEE APPRECIATION")</f>
        <v xml:space="preserve">          6277 - EMPLOYEE APPRECIATION</v>
      </c>
      <c r="C59" s="11"/>
      <c r="D59" s="6">
        <v>34.47</v>
      </c>
      <c r="E59" s="2"/>
      <c r="F59" s="7">
        <f t="shared" si="28"/>
        <v>2.6820432999434377E-5</v>
      </c>
      <c r="G59" s="2"/>
      <c r="H59" s="6">
        <v>200</v>
      </c>
      <c r="I59" s="2"/>
      <c r="J59" s="7">
        <f t="shared" si="29"/>
        <v>2.48015873015873E-4</v>
      </c>
      <c r="K59" s="2"/>
      <c r="L59" s="6">
        <f t="shared" si="30"/>
        <v>-165.53</v>
      </c>
      <c r="M59" s="2"/>
      <c r="N59" s="7">
        <f t="shared" si="31"/>
        <v>-0.82765</v>
      </c>
      <c r="O59" s="11"/>
      <c r="P59" s="6">
        <v>48.96</v>
      </c>
      <c r="Q59" s="2"/>
      <c r="R59" s="7">
        <f t="shared" si="32"/>
        <v>1.0140596659410333E-5</v>
      </c>
      <c r="S59" s="2"/>
      <c r="T59" s="6">
        <v>1200</v>
      </c>
      <c r="U59" s="2"/>
      <c r="V59" s="7">
        <f t="shared" si="33"/>
        <v>3.3068783068783067E-4</v>
      </c>
      <c r="W59" s="2"/>
      <c r="X59" s="6">
        <f t="shared" si="34"/>
        <v>-1151.04</v>
      </c>
      <c r="Y59" s="2"/>
      <c r="Z59" s="7">
        <f t="shared" si="35"/>
        <v>-0.95919999999999994</v>
      </c>
    </row>
    <row r="60" spans="1:26" s="29" customFormat="1" outlineLevel="1" collapsed="1" x14ac:dyDescent="0.3">
      <c r="A60" s="28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SUM(OSRRefD22_8x_0)</f>
        <v>601.92999999999995</v>
      </c>
      <c r="E60" s="1"/>
      <c r="F60" s="5">
        <f t="shared" si="28"/>
        <v>4.6834996331156172E-4</v>
      </c>
      <c r="G60" s="1"/>
      <c r="H60" s="1">
        <f>SUM(OSRRefH22_8x_0)</f>
        <v>795</v>
      </c>
      <c r="I60" s="1"/>
      <c r="J60" s="5">
        <f t="shared" si="29"/>
        <v>9.8586309523809521E-4</v>
      </c>
      <c r="K60" s="1"/>
      <c r="L60" s="1">
        <f t="shared" si="30"/>
        <v>-193.07000000000005</v>
      </c>
      <c r="M60" s="1"/>
      <c r="N60" s="5">
        <f t="shared" si="31"/>
        <v>-0.24285534591194974</v>
      </c>
      <c r="O60" s="14"/>
      <c r="P60" s="1">
        <f>SUM(OSRRefP22_8x_0)</f>
        <v>7401.72</v>
      </c>
      <c r="Q60" s="1"/>
      <c r="R60" s="5">
        <f t="shared" si="32"/>
        <v>1.5330444670320802E-3</v>
      </c>
      <c r="S60" s="1"/>
      <c r="T60" s="1">
        <f>SUM(OSRRefT22_8x_0)</f>
        <v>3975</v>
      </c>
      <c r="U60" s="1"/>
      <c r="V60" s="5">
        <f t="shared" si="33"/>
        <v>1.0954034391534391E-3</v>
      </c>
      <c r="W60" s="1"/>
      <c r="X60" s="1">
        <f t="shared" si="34"/>
        <v>3426.7200000000003</v>
      </c>
      <c r="Y60" s="1"/>
      <c r="Z60" s="5">
        <f t="shared" si="35"/>
        <v>0.86206792452830194</v>
      </c>
    </row>
    <row r="61" spans="1:26" s="24" customFormat="1" hidden="1" outlineLevel="2" x14ac:dyDescent="0.3">
      <c r="A61" s="27"/>
      <c r="B61" s="11" t="str">
        <f>CONCATENATE("          ", "6351", " - ", "EQUIPMENT RENTAL")</f>
        <v xml:space="preserve">          6351 - EQUIPMENT RENTAL</v>
      </c>
      <c r="C61" s="11"/>
      <c r="D61" s="6">
        <v>601.92999999999995</v>
      </c>
      <c r="E61" s="2"/>
      <c r="F61" s="7">
        <f t="shared" si="28"/>
        <v>4.6834996331156172E-4</v>
      </c>
      <c r="G61" s="2"/>
      <c r="H61" s="6">
        <v>795</v>
      </c>
      <c r="I61" s="2"/>
      <c r="J61" s="7">
        <f t="shared" si="29"/>
        <v>9.8586309523809521E-4</v>
      </c>
      <c r="K61" s="2"/>
      <c r="L61" s="6">
        <f t="shared" si="30"/>
        <v>-193.07000000000005</v>
      </c>
      <c r="M61" s="2"/>
      <c r="N61" s="7">
        <f t="shared" si="31"/>
        <v>-0.24285534591194974</v>
      </c>
      <c r="O61" s="11"/>
      <c r="P61" s="6">
        <v>7401.72</v>
      </c>
      <c r="Q61" s="2"/>
      <c r="R61" s="7">
        <f t="shared" si="32"/>
        <v>1.5330444670320802E-3</v>
      </c>
      <c r="S61" s="2"/>
      <c r="T61" s="6">
        <v>3975</v>
      </c>
      <c r="U61" s="2"/>
      <c r="V61" s="7">
        <f t="shared" si="33"/>
        <v>1.0954034391534391E-3</v>
      </c>
      <c r="W61" s="2"/>
      <c r="X61" s="6">
        <f t="shared" si="34"/>
        <v>3426.7200000000003</v>
      </c>
      <c r="Y61" s="2"/>
      <c r="Z61" s="7">
        <f t="shared" si="35"/>
        <v>0.86206792452830194</v>
      </c>
    </row>
    <row r="62" spans="1:26" s="29" customFormat="1" outlineLevel="1" collapsed="1" x14ac:dyDescent="0.3">
      <c r="A62" s="28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SUM(OSRRefD22_9x_0)</f>
        <v>0</v>
      </c>
      <c r="E62" s="1"/>
      <c r="F62" s="5">
        <f t="shared" si="28"/>
        <v>0</v>
      </c>
      <c r="G62" s="1"/>
      <c r="H62" s="1">
        <f>SUM(OSRRefH22_9x_0)</f>
        <v>530</v>
      </c>
      <c r="I62" s="1"/>
      <c r="J62" s="5">
        <f t="shared" si="29"/>
        <v>6.5724206349206354E-4</v>
      </c>
      <c r="K62" s="1"/>
      <c r="L62" s="1">
        <f t="shared" si="30"/>
        <v>-530</v>
      </c>
      <c r="M62" s="1"/>
      <c r="N62" s="5">
        <f t="shared" si="31"/>
        <v>-1</v>
      </c>
      <c r="O62" s="14"/>
      <c r="P62" s="1">
        <f>SUM(OSRRefP22_9x_0)</f>
        <v>11172.71</v>
      </c>
      <c r="Q62" s="1"/>
      <c r="R62" s="5">
        <f t="shared" si="32"/>
        <v>2.3140920282385706E-3</v>
      </c>
      <c r="S62" s="1"/>
      <c r="T62" s="1">
        <f>SUM(OSRRefT22_9x_0)</f>
        <v>7600</v>
      </c>
      <c r="U62" s="1"/>
      <c r="V62" s="5">
        <f t="shared" si="33"/>
        <v>2.0943562610229276E-3</v>
      </c>
      <c r="W62" s="1"/>
      <c r="X62" s="1">
        <f t="shared" si="34"/>
        <v>3572.7099999999991</v>
      </c>
      <c r="Y62" s="1"/>
      <c r="Z62" s="5">
        <f t="shared" si="35"/>
        <v>0.47009342105263147</v>
      </c>
    </row>
    <row r="63" spans="1:26" s="24" customFormat="1" hidden="1" outlineLevel="2" x14ac:dyDescent="0.3">
      <c r="A63" s="27"/>
      <c r="B63" s="11" t="str">
        <f>CONCATENATE("          ", "6279", " - ", "GENERAL EXPENSE")</f>
        <v xml:space="preserve">          6279 - GENERAL EXPENSE</v>
      </c>
      <c r="C63" s="11"/>
      <c r="D63" s="6"/>
      <c r="E63" s="2"/>
      <c r="F63" s="7">
        <f t="shared" si="28"/>
        <v>0</v>
      </c>
      <c r="G63" s="2"/>
      <c r="H63" s="6">
        <v>530</v>
      </c>
      <c r="I63" s="2"/>
      <c r="J63" s="7">
        <f t="shared" si="29"/>
        <v>6.5724206349206354E-4</v>
      </c>
      <c r="K63" s="2"/>
      <c r="L63" s="6">
        <f t="shared" si="30"/>
        <v>-530</v>
      </c>
      <c r="M63" s="2"/>
      <c r="N63" s="7">
        <f t="shared" si="31"/>
        <v>-1</v>
      </c>
      <c r="O63" s="11"/>
      <c r="P63" s="6">
        <v>11172.71</v>
      </c>
      <c r="Q63" s="2"/>
      <c r="R63" s="7">
        <f t="shared" si="32"/>
        <v>2.3140920282385706E-3</v>
      </c>
      <c r="S63" s="2"/>
      <c r="T63" s="6">
        <v>7600</v>
      </c>
      <c r="U63" s="2"/>
      <c r="V63" s="7">
        <f t="shared" si="33"/>
        <v>2.0943562610229276E-3</v>
      </c>
      <c r="W63" s="2"/>
      <c r="X63" s="6">
        <f t="shared" si="34"/>
        <v>3572.7099999999991</v>
      </c>
      <c r="Y63" s="2"/>
      <c r="Z63" s="7">
        <f t="shared" si="35"/>
        <v>0.47009342105263147</v>
      </c>
    </row>
    <row r="64" spans="1:26" s="29" customFormat="1" outlineLevel="1" collapsed="1" x14ac:dyDescent="0.3">
      <c r="A64" s="28"/>
      <c r="B64" s="14" t="str">
        <f>CONCATENATE("     ","Insurance                                         ")</f>
        <v xml:space="preserve">     Insurance                                         </v>
      </c>
      <c r="C64" s="14"/>
      <c r="D64" s="1">
        <f>SUM(OSRRefD22_10x_0)</f>
        <v>5.21</v>
      </c>
      <c r="E64" s="1"/>
      <c r="F64" s="5">
        <f t="shared" si="28"/>
        <v>4.0537991275617378E-6</v>
      </c>
      <c r="G64" s="1"/>
      <c r="H64" s="1">
        <f>SUM(OSRRefH22_10x_0)</f>
        <v>10</v>
      </c>
      <c r="I64" s="1"/>
      <c r="J64" s="5">
        <f t="shared" si="29"/>
        <v>1.2400793650793651E-5</v>
      </c>
      <c r="K64" s="1"/>
      <c r="L64" s="1">
        <f t="shared" si="30"/>
        <v>-4.79</v>
      </c>
      <c r="M64" s="1"/>
      <c r="N64" s="5">
        <f t="shared" si="31"/>
        <v>-0.47899999999999998</v>
      </c>
      <c r="O64" s="14"/>
      <c r="P64" s="1">
        <f>SUM(OSRRefP22_10x_0)</f>
        <v>26.06</v>
      </c>
      <c r="Q64" s="1"/>
      <c r="R64" s="5">
        <f t="shared" si="32"/>
        <v>5.3975479768021495E-6</v>
      </c>
      <c r="S64" s="1"/>
      <c r="T64" s="1">
        <f>SUM(OSRRefT22_10x_0)</f>
        <v>50</v>
      </c>
      <c r="U64" s="1"/>
      <c r="V64" s="5">
        <f t="shared" si="33"/>
        <v>1.3778659611992945E-5</v>
      </c>
      <c r="W64" s="1"/>
      <c r="X64" s="1">
        <f t="shared" si="34"/>
        <v>-23.94</v>
      </c>
      <c r="Y64" s="1"/>
      <c r="Z64" s="5">
        <f t="shared" si="35"/>
        <v>-0.4788</v>
      </c>
    </row>
    <row r="65" spans="1:26" s="24" customFormat="1" hidden="1" outlineLevel="2" x14ac:dyDescent="0.3">
      <c r="A65" s="27"/>
      <c r="B65" s="11" t="str">
        <f>CONCATENATE("          ", "6314", " - ", "LIABILITY INSURANCE")</f>
        <v xml:space="preserve">          6314 - LIABILITY INSURANCE</v>
      </c>
      <c r="C65" s="11"/>
      <c r="D65" s="6">
        <v>5.21</v>
      </c>
      <c r="E65" s="2"/>
      <c r="F65" s="7">
        <f t="shared" si="28"/>
        <v>4.0537991275617378E-6</v>
      </c>
      <c r="G65" s="2"/>
      <c r="H65" s="6">
        <v>10</v>
      </c>
      <c r="I65" s="2"/>
      <c r="J65" s="7">
        <f t="shared" si="29"/>
        <v>1.2400793650793651E-5</v>
      </c>
      <c r="K65" s="2"/>
      <c r="L65" s="6">
        <f t="shared" si="30"/>
        <v>-4.79</v>
      </c>
      <c r="M65" s="2"/>
      <c r="N65" s="7">
        <f t="shared" si="31"/>
        <v>-0.47899999999999998</v>
      </c>
      <c r="O65" s="11"/>
      <c r="P65" s="6">
        <v>26.06</v>
      </c>
      <c r="Q65" s="2"/>
      <c r="R65" s="7">
        <f t="shared" si="32"/>
        <v>5.3975479768021495E-6</v>
      </c>
      <c r="S65" s="2"/>
      <c r="T65" s="6">
        <v>50</v>
      </c>
      <c r="U65" s="2"/>
      <c r="V65" s="7">
        <f t="shared" si="33"/>
        <v>1.3778659611992945E-5</v>
      </c>
      <c r="W65" s="2"/>
      <c r="X65" s="6">
        <f t="shared" si="34"/>
        <v>-23.94</v>
      </c>
      <c r="Y65" s="2"/>
      <c r="Z65" s="7">
        <f t="shared" si="35"/>
        <v>-0.4788</v>
      </c>
    </row>
    <row r="66" spans="1:26" s="29" customFormat="1" outlineLevel="1" collapsed="1" x14ac:dyDescent="0.3">
      <c r="A66" s="28"/>
      <c r="B66" s="14" t="str">
        <f>CONCATENATE("     ","R/H Commissions                                   ")</f>
        <v xml:space="preserve">     R/H Commissions                                   </v>
      </c>
      <c r="C66" s="14"/>
      <c r="D66" s="1">
        <f>SUM(OSRRefD22_11x_0)</f>
        <v>102145.22</v>
      </c>
      <c r="E66" s="1"/>
      <c r="F66" s="5">
        <f t="shared" si="28"/>
        <v>7.9477198410864064E-2</v>
      </c>
      <c r="G66" s="1"/>
      <c r="H66" s="1">
        <f>SUM(OSRRefH22_11x_0)</f>
        <v>62352</v>
      </c>
      <c r="I66" s="1"/>
      <c r="J66" s="5">
        <f t="shared" si="29"/>
        <v>7.7321428571428569E-2</v>
      </c>
      <c r="K66" s="1"/>
      <c r="L66" s="1">
        <f t="shared" si="30"/>
        <v>39793.22</v>
      </c>
      <c r="M66" s="1"/>
      <c r="N66" s="5">
        <f t="shared" si="31"/>
        <v>0.63820278419296894</v>
      </c>
      <c r="O66" s="14"/>
      <c r="P66" s="1">
        <f>SUM(OSRRefP22_11x_0)</f>
        <v>372916.2</v>
      </c>
      <c r="Q66" s="1"/>
      <c r="R66" s="5">
        <f t="shared" si="32"/>
        <v>7.7238414459967236E-2</v>
      </c>
      <c r="S66" s="1"/>
      <c r="T66" s="1">
        <f>SUM(OSRRefT22_11x_0)</f>
        <v>288144</v>
      </c>
      <c r="U66" s="1"/>
      <c r="V66" s="5">
        <f t="shared" si="33"/>
        <v>7.9404761904761909E-2</v>
      </c>
      <c r="W66" s="1"/>
      <c r="X66" s="1">
        <f t="shared" si="34"/>
        <v>84772.200000000012</v>
      </c>
      <c r="Y66" s="1"/>
      <c r="Z66" s="5">
        <f t="shared" si="35"/>
        <v>0.29420081625853745</v>
      </c>
    </row>
    <row r="67" spans="1:26" s="24" customFormat="1" hidden="1" outlineLevel="2" x14ac:dyDescent="0.3">
      <c r="A67" s="27"/>
      <c r="B67" s="11" t="str">
        <f>CONCATENATE("          ", "6387", " - ", "COMMISSION DUE HOUSING")</f>
        <v xml:space="preserve">          6387 - COMMISSION DUE HOUSING</v>
      </c>
      <c r="C67" s="11"/>
      <c r="D67" s="6">
        <v>102145.22</v>
      </c>
      <c r="E67" s="2"/>
      <c r="F67" s="7">
        <f t="shared" si="28"/>
        <v>7.9477198410864064E-2</v>
      </c>
      <c r="G67" s="2"/>
      <c r="H67" s="6">
        <v>62352</v>
      </c>
      <c r="I67" s="2"/>
      <c r="J67" s="7">
        <f t="shared" si="29"/>
        <v>7.7321428571428569E-2</v>
      </c>
      <c r="K67" s="2"/>
      <c r="L67" s="6">
        <f t="shared" si="30"/>
        <v>39793.22</v>
      </c>
      <c r="M67" s="2"/>
      <c r="N67" s="7">
        <f t="shared" si="31"/>
        <v>0.63820278419296894</v>
      </c>
      <c r="O67" s="11"/>
      <c r="P67" s="6">
        <v>372916.2</v>
      </c>
      <c r="Q67" s="2"/>
      <c r="R67" s="7">
        <f t="shared" si="32"/>
        <v>7.7238414459967236E-2</v>
      </c>
      <c r="S67" s="2"/>
      <c r="T67" s="6">
        <v>288144</v>
      </c>
      <c r="U67" s="2"/>
      <c r="V67" s="7">
        <f t="shared" si="33"/>
        <v>7.9404761904761909E-2</v>
      </c>
      <c r="W67" s="2"/>
      <c r="X67" s="6">
        <f t="shared" si="34"/>
        <v>84772.200000000012</v>
      </c>
      <c r="Y67" s="2"/>
      <c r="Z67" s="7">
        <f t="shared" si="35"/>
        <v>0.29420081625853745</v>
      </c>
    </row>
    <row r="68" spans="1:26" s="29" customFormat="1" outlineLevel="1" collapsed="1" x14ac:dyDescent="0.3">
      <c r="A68" s="28"/>
      <c r="B68" s="14" t="str">
        <f>CONCATENATE("     ","Repair and Maintenance                            ")</f>
        <v xml:space="preserve">     Repair and Maintenance                            </v>
      </c>
      <c r="C68" s="14"/>
      <c r="D68" s="1">
        <f>SUM(OSRRefD22_12x_0)</f>
        <v>3855.79</v>
      </c>
      <c r="E68" s="1"/>
      <c r="F68" s="5">
        <f t="shared" si="28"/>
        <v>3.0001148057699181E-3</v>
      </c>
      <c r="G68" s="1"/>
      <c r="H68" s="1">
        <f>SUM(OSRRefH22_12x_0)</f>
        <v>5850</v>
      </c>
      <c r="I68" s="1"/>
      <c r="J68" s="5">
        <f t="shared" si="29"/>
        <v>7.254464285714286E-3</v>
      </c>
      <c r="K68" s="1"/>
      <c r="L68" s="1">
        <f t="shared" si="30"/>
        <v>-1994.21</v>
      </c>
      <c r="M68" s="1"/>
      <c r="N68" s="5">
        <f t="shared" si="31"/>
        <v>-0.34089059829059831</v>
      </c>
      <c r="O68" s="14"/>
      <c r="P68" s="1">
        <f>SUM(OSRRefP22_12x_0)</f>
        <v>22292.92</v>
      </c>
      <c r="Q68" s="1"/>
      <c r="R68" s="5">
        <f t="shared" si="32"/>
        <v>4.6173102549122097E-3</v>
      </c>
      <c r="S68" s="1"/>
      <c r="T68" s="1">
        <f>SUM(OSRRefT22_12x_0)</f>
        <v>27350</v>
      </c>
      <c r="U68" s="1"/>
      <c r="V68" s="5">
        <f t="shared" si="33"/>
        <v>7.5369268077601411E-3</v>
      </c>
      <c r="W68" s="1"/>
      <c r="X68" s="1">
        <f t="shared" si="34"/>
        <v>-5057.0800000000017</v>
      </c>
      <c r="Y68" s="1"/>
      <c r="Z68" s="5">
        <f t="shared" si="35"/>
        <v>-0.18490237659963443</v>
      </c>
    </row>
    <row r="69" spans="1:26" s="24" customFormat="1" hidden="1" outlineLevel="2" x14ac:dyDescent="0.3">
      <c r="A69" s="27"/>
      <c r="B69" s="11" t="str">
        <f>CONCATENATE("          ", "6371", " - ", "COMPUTER SOFTWARE MAINTENANCE")</f>
        <v xml:space="preserve">          6371 - COMPUTER SOFTWARE MAINTENANCE</v>
      </c>
      <c r="C69" s="11"/>
      <c r="D69" s="6">
        <v>3500</v>
      </c>
      <c r="E69" s="2"/>
      <c r="F69" s="7">
        <f t="shared" si="28"/>
        <v>2.7232815636211291E-3</v>
      </c>
      <c r="G69" s="2"/>
      <c r="H69" s="6">
        <v>3500</v>
      </c>
      <c r="I69" s="2"/>
      <c r="J69" s="7">
        <f t="shared" si="29"/>
        <v>4.340277777777778E-3</v>
      </c>
      <c r="K69" s="2"/>
      <c r="L69" s="6">
        <f t="shared" si="30"/>
        <v>0</v>
      </c>
      <c r="M69" s="2"/>
      <c r="N69" s="7">
        <f t="shared" si="31"/>
        <v>0</v>
      </c>
      <c r="O69" s="11"/>
      <c r="P69" s="6">
        <v>17500</v>
      </c>
      <c r="Q69" s="2"/>
      <c r="R69" s="7">
        <f t="shared" si="32"/>
        <v>3.6246005216438075E-3</v>
      </c>
      <c r="S69" s="2"/>
      <c r="T69" s="6">
        <v>17500</v>
      </c>
      <c r="U69" s="2"/>
      <c r="V69" s="7">
        <f t="shared" si="33"/>
        <v>4.8225308641975306E-3</v>
      </c>
      <c r="W69" s="2"/>
      <c r="X69" s="6">
        <f t="shared" si="34"/>
        <v>0</v>
      </c>
      <c r="Y69" s="2"/>
      <c r="Z69" s="7">
        <f t="shared" si="35"/>
        <v>0</v>
      </c>
    </row>
    <row r="70" spans="1:26" s="24" customFormat="1" hidden="1" outlineLevel="2" x14ac:dyDescent="0.3">
      <c r="A70" s="27"/>
      <c r="B70" s="11" t="str">
        <f>CONCATENATE("          ", "6373", " - ", "MAINTENANCE CONTRACTS")</f>
        <v xml:space="preserve">          6373 - MAINTENANCE CONTRACTS</v>
      </c>
      <c r="C70" s="11"/>
      <c r="D70" s="6">
        <v>26.75</v>
      </c>
      <c r="E70" s="2"/>
      <c r="F70" s="7">
        <f t="shared" si="28"/>
        <v>2.0813651950532916E-5</v>
      </c>
      <c r="G70" s="2"/>
      <c r="H70" s="6">
        <v>1800</v>
      </c>
      <c r="I70" s="2"/>
      <c r="J70" s="7">
        <f t="shared" si="29"/>
        <v>2.232142857142857E-3</v>
      </c>
      <c r="K70" s="2"/>
      <c r="L70" s="6">
        <f t="shared" si="30"/>
        <v>-1773.25</v>
      </c>
      <c r="M70" s="2"/>
      <c r="N70" s="7">
        <f t="shared" si="31"/>
        <v>-0.9851388888888889</v>
      </c>
      <c r="O70" s="11"/>
      <c r="P70" s="6">
        <v>337.42</v>
      </c>
      <c r="Q70" s="2"/>
      <c r="R70" s="7">
        <f t="shared" si="32"/>
        <v>6.9886440457888778E-5</v>
      </c>
      <c r="S70" s="2"/>
      <c r="T70" s="6">
        <v>7100</v>
      </c>
      <c r="U70" s="2"/>
      <c r="V70" s="7">
        <f t="shared" si="33"/>
        <v>1.9565696649029981E-3</v>
      </c>
      <c r="W70" s="2"/>
      <c r="X70" s="6">
        <f t="shared" si="34"/>
        <v>-6762.58</v>
      </c>
      <c r="Y70" s="2"/>
      <c r="Z70" s="7">
        <f t="shared" si="35"/>
        <v>-0.95247605633802812</v>
      </c>
    </row>
    <row r="71" spans="1:26" s="24" customFormat="1" hidden="1" outlineLevel="2" x14ac:dyDescent="0.3">
      <c r="A71" s="27"/>
      <c r="B71" s="11" t="str">
        <f>CONCATENATE("          ", "6375", " - ", "OUTSIDE REPAIRS &amp; MAINTENANCE")</f>
        <v xml:space="preserve">          6375 - OUTSIDE REPAIRS &amp; MAINTENANCE</v>
      </c>
      <c r="C71" s="11"/>
      <c r="D71" s="6">
        <v>329.04</v>
      </c>
      <c r="E71" s="2"/>
      <c r="F71" s="7">
        <f t="shared" si="28"/>
        <v>2.5601959019825612E-4</v>
      </c>
      <c r="G71" s="2"/>
      <c r="H71" s="6">
        <v>550</v>
      </c>
      <c r="I71" s="2"/>
      <c r="J71" s="7">
        <f t="shared" si="29"/>
        <v>6.8204365079365076E-4</v>
      </c>
      <c r="K71" s="2"/>
      <c r="L71" s="6">
        <f t="shared" si="30"/>
        <v>-220.95999999999998</v>
      </c>
      <c r="M71" s="2"/>
      <c r="N71" s="7">
        <f t="shared" si="31"/>
        <v>-0.40174545454545452</v>
      </c>
      <c r="O71" s="11"/>
      <c r="P71" s="6">
        <v>4455.5</v>
      </c>
      <c r="Q71" s="2"/>
      <c r="R71" s="7">
        <f t="shared" si="32"/>
        <v>9.2282329281051338E-4</v>
      </c>
      <c r="S71" s="2"/>
      <c r="T71" s="6">
        <v>2750</v>
      </c>
      <c r="U71" s="2"/>
      <c r="V71" s="7">
        <f t="shared" si="33"/>
        <v>7.5782627865961195E-4</v>
      </c>
      <c r="W71" s="2"/>
      <c r="X71" s="6">
        <f t="shared" si="34"/>
        <v>1705.5</v>
      </c>
      <c r="Y71" s="2"/>
      <c r="Z71" s="7">
        <f t="shared" si="35"/>
        <v>0.62018181818181817</v>
      </c>
    </row>
    <row r="72" spans="1:26" s="29" customFormat="1" outlineLevel="1" collapsed="1" x14ac:dyDescent="0.3">
      <c r="A72" s="28"/>
      <c r="B72" s="14" t="str">
        <f>CONCATENATE("     ","Services                                          ")</f>
        <v xml:space="preserve">     Services                                          </v>
      </c>
      <c r="C72" s="14"/>
      <c r="D72" s="1">
        <f>SUM(OSRRefD22_13x_0)</f>
        <v>18897.68</v>
      </c>
      <c r="E72" s="1"/>
      <c r="F72" s="5">
        <f t="shared" ref="F72:F76" si="36">IF(D$12=0,0,D72/D$12)</f>
        <v>1.4703915296917639E-2</v>
      </c>
      <c r="G72" s="1"/>
      <c r="H72" s="1">
        <f>SUM(OSRRefH22_13x_0)</f>
        <v>21272</v>
      </c>
      <c r="I72" s="1"/>
      <c r="J72" s="5">
        <f t="shared" ref="J72:J76" si="37">IF(H$12=0,0,H72/H$12)</f>
        <v>2.6378968253968255E-2</v>
      </c>
      <c r="K72" s="1"/>
      <c r="L72" s="1">
        <f t="shared" ref="L72:L76" si="38">+D72-H72</f>
        <v>-2374.3199999999997</v>
      </c>
      <c r="M72" s="1"/>
      <c r="N72" s="5">
        <f t="shared" ref="N72:N76" si="39">IF(H72=0,0,L72/H72)</f>
        <v>-0.11161714930424971</v>
      </c>
      <c r="O72" s="14"/>
      <c r="P72" s="1">
        <f>SUM(OSRRefP22_13x_0)</f>
        <v>81921.08</v>
      </c>
      <c r="Q72" s="1"/>
      <c r="R72" s="5">
        <f t="shared" ref="R72:R76" si="40">IF(P$12=0,0,P72/P$12)</f>
        <v>1.6967496531521378E-2</v>
      </c>
      <c r="S72" s="1"/>
      <c r="T72" s="1">
        <f>SUM(OSRRefT22_13x_0)</f>
        <v>104760</v>
      </c>
      <c r="U72" s="1"/>
      <c r="V72" s="5">
        <f t="shared" ref="V72:V76" si="41">IF(T$12=0,0,T72/T$12)</f>
        <v>2.8869047619047621E-2</v>
      </c>
      <c r="W72" s="1"/>
      <c r="X72" s="1">
        <f t="shared" ref="X72:X76" si="42">+P72-T72</f>
        <v>-22838.92</v>
      </c>
      <c r="Y72" s="1"/>
      <c r="Z72" s="5">
        <f t="shared" ref="Z72:Z76" si="43">IF(T72=0,0,X72/T72)</f>
        <v>-0.21801183657884687</v>
      </c>
    </row>
    <row r="73" spans="1:26" s="24" customFormat="1" hidden="1" outlineLevel="2" x14ac:dyDescent="0.3">
      <c r="A73" s="27"/>
      <c r="B73" s="11" t="str">
        <f>CONCATENATE("          ", "6282", " - ", "JANITORIAL/EXTERMINATOR EXPENS")</f>
        <v xml:space="preserve">          6282 - JANITORIAL/EXTERMINATOR EXPENS</v>
      </c>
      <c r="C73" s="11"/>
      <c r="D73" s="6">
        <v>1705.73</v>
      </c>
      <c r="E73" s="2"/>
      <c r="F73" s="7">
        <f t="shared" si="36"/>
        <v>1.3271951604329911E-3</v>
      </c>
      <c r="G73" s="2"/>
      <c r="H73" s="6">
        <v>1570</v>
      </c>
      <c r="I73" s="2"/>
      <c r="J73" s="7">
        <f t="shared" si="37"/>
        <v>1.9469246031746032E-3</v>
      </c>
      <c r="K73" s="2"/>
      <c r="L73" s="6">
        <f t="shared" si="38"/>
        <v>135.73000000000002</v>
      </c>
      <c r="M73" s="2"/>
      <c r="N73" s="7">
        <f t="shared" si="39"/>
        <v>8.6452229299363068E-2</v>
      </c>
      <c r="O73" s="11"/>
      <c r="P73" s="6">
        <v>9392.57</v>
      </c>
      <c r="Q73" s="2"/>
      <c r="R73" s="7">
        <f t="shared" si="40"/>
        <v>1.9453893783757702E-3</v>
      </c>
      <c r="S73" s="2"/>
      <c r="T73" s="6">
        <v>7850</v>
      </c>
      <c r="U73" s="2"/>
      <c r="V73" s="7">
        <f t="shared" si="41"/>
        <v>2.1632495590828923E-3</v>
      </c>
      <c r="W73" s="2"/>
      <c r="X73" s="6">
        <f t="shared" si="42"/>
        <v>1542.5699999999997</v>
      </c>
      <c r="Y73" s="2"/>
      <c r="Z73" s="7">
        <f t="shared" si="43"/>
        <v>0.19650573248407641</v>
      </c>
    </row>
    <row r="74" spans="1:26" s="24" customFormat="1" hidden="1" outlineLevel="2" x14ac:dyDescent="0.3">
      <c r="A74" s="27"/>
      <c r="B74" s="11" t="str">
        <f>CONCATENATE("          ", "6284", " - ", "TRASH REMOVAL EXPENSE")</f>
        <v xml:space="preserve">          6284 - TRASH REMOVAL EXPENSE</v>
      </c>
      <c r="C74" s="11"/>
      <c r="D74" s="6"/>
      <c r="E74" s="2"/>
      <c r="F74" s="7">
        <f t="shared" si="36"/>
        <v>0</v>
      </c>
      <c r="G74" s="2"/>
      <c r="H74" s="6">
        <v>600</v>
      </c>
      <c r="I74" s="2"/>
      <c r="J74" s="7">
        <f t="shared" si="37"/>
        <v>7.4404761904761901E-4</v>
      </c>
      <c r="K74" s="2"/>
      <c r="L74" s="6">
        <f t="shared" si="38"/>
        <v>-600</v>
      </c>
      <c r="M74" s="2"/>
      <c r="N74" s="7">
        <f t="shared" si="39"/>
        <v>-1</v>
      </c>
      <c r="O74" s="11"/>
      <c r="P74" s="6"/>
      <c r="Q74" s="2"/>
      <c r="R74" s="7">
        <f t="shared" si="40"/>
        <v>0</v>
      </c>
      <c r="S74" s="2"/>
      <c r="T74" s="6">
        <v>3000</v>
      </c>
      <c r="U74" s="2"/>
      <c r="V74" s="7">
        <f t="shared" si="41"/>
        <v>8.2671957671957667E-4</v>
      </c>
      <c r="W74" s="2"/>
      <c r="X74" s="6">
        <f t="shared" si="42"/>
        <v>-3000</v>
      </c>
      <c r="Y74" s="2"/>
      <c r="Z74" s="7">
        <f t="shared" si="43"/>
        <v>-1</v>
      </c>
    </row>
    <row r="75" spans="1:26" s="24" customFormat="1" hidden="1" outlineLevel="2" x14ac:dyDescent="0.3">
      <c r="A75" s="27"/>
      <c r="B75" s="11" t="str">
        <f>CONCATENATE("          ", "6285", " - ", "JANITORIAL SERVICES")</f>
        <v xml:space="preserve">          6285 - JANITORIAL SERVICES</v>
      </c>
      <c r="C75" s="11"/>
      <c r="D75" s="6">
        <v>14771.9</v>
      </c>
      <c r="E75" s="2"/>
      <c r="F75" s="7">
        <f t="shared" si="36"/>
        <v>1.1493726551329988E-2</v>
      </c>
      <c r="G75" s="2"/>
      <c r="H75" s="6">
        <v>14335</v>
      </c>
      <c r="I75" s="2"/>
      <c r="J75" s="7">
        <f t="shared" si="37"/>
        <v>1.7776537698412698E-2</v>
      </c>
      <c r="K75" s="2"/>
      <c r="L75" s="6">
        <f t="shared" si="38"/>
        <v>436.89999999999964</v>
      </c>
      <c r="M75" s="2"/>
      <c r="N75" s="7">
        <f t="shared" si="39"/>
        <v>3.0477851412626412E-2</v>
      </c>
      <c r="O75" s="11"/>
      <c r="P75" s="6">
        <v>59116.28</v>
      </c>
      <c r="Q75" s="2"/>
      <c r="R75" s="7">
        <f t="shared" si="40"/>
        <v>1.2244165675750937E-2</v>
      </c>
      <c r="S75" s="2"/>
      <c r="T75" s="6">
        <v>71675</v>
      </c>
      <c r="U75" s="2"/>
      <c r="V75" s="7">
        <f t="shared" si="41"/>
        <v>1.9751708553791887E-2</v>
      </c>
      <c r="W75" s="2"/>
      <c r="X75" s="6">
        <f t="shared" si="42"/>
        <v>-12558.720000000001</v>
      </c>
      <c r="Y75" s="2"/>
      <c r="Z75" s="7">
        <f t="shared" si="43"/>
        <v>-0.17521757935123825</v>
      </c>
    </row>
    <row r="76" spans="1:26" s="24" customFormat="1" hidden="1" outlineLevel="2" x14ac:dyDescent="0.3">
      <c r="A76" s="27"/>
      <c r="B76" s="11" t="str">
        <f>CONCATENATE("          ", "6286", " - ", "LAUNDRY EXPENSE")</f>
        <v xml:space="preserve">          6286 - LAUNDRY EXPENSE</v>
      </c>
      <c r="C76" s="11"/>
      <c r="D76" s="6">
        <v>2420.0500000000002</v>
      </c>
      <c r="E76" s="2"/>
      <c r="F76" s="7">
        <f t="shared" si="36"/>
        <v>1.8829935851546612E-3</v>
      </c>
      <c r="G76" s="2"/>
      <c r="H76" s="6">
        <v>4767</v>
      </c>
      <c r="I76" s="2"/>
      <c r="J76" s="7">
        <f t="shared" si="37"/>
        <v>5.9114583333333337E-3</v>
      </c>
      <c r="K76" s="2"/>
      <c r="L76" s="6">
        <f t="shared" si="38"/>
        <v>-2346.9499999999998</v>
      </c>
      <c r="M76" s="2"/>
      <c r="N76" s="7">
        <f t="shared" si="39"/>
        <v>-0.49233270400671281</v>
      </c>
      <c r="O76" s="11"/>
      <c r="P76" s="6">
        <v>13412.23</v>
      </c>
      <c r="Q76" s="2"/>
      <c r="R76" s="7">
        <f t="shared" si="40"/>
        <v>2.7779414773946702E-3</v>
      </c>
      <c r="S76" s="2"/>
      <c r="T76" s="6">
        <v>22235</v>
      </c>
      <c r="U76" s="2"/>
      <c r="V76" s="7">
        <f t="shared" si="41"/>
        <v>6.1273699294532632E-3</v>
      </c>
      <c r="W76" s="2"/>
      <c r="X76" s="6">
        <f t="shared" si="42"/>
        <v>-8822.77</v>
      </c>
      <c r="Y76" s="2"/>
      <c r="Z76" s="7">
        <f t="shared" si="43"/>
        <v>-0.39679649201709022</v>
      </c>
    </row>
    <row r="77" spans="1:26" s="29" customFormat="1" outlineLevel="1" collapsed="1" x14ac:dyDescent="0.3">
      <c r="A77" s="28"/>
      <c r="B77" s="14" t="str">
        <f>CONCATENATE("     ","Subscriptions &amp; Dues                              ")</f>
        <v xml:space="preserve">     Subscriptions &amp; Dues                              </v>
      </c>
      <c r="C77" s="14"/>
      <c r="D77" s="1">
        <f>SUM(OSRRefD22_14x_0)</f>
        <v>0</v>
      </c>
      <c r="E77" s="1"/>
      <c r="F77" s="5">
        <f t="shared" ref="F77:F87" si="44">IF(D$12=0,0,D77/D$12)</f>
        <v>0</v>
      </c>
      <c r="G77" s="1"/>
      <c r="H77" s="1">
        <f>SUM(OSRRefH22_14x_0)</f>
        <v>795</v>
      </c>
      <c r="I77" s="1"/>
      <c r="J77" s="5">
        <f t="shared" ref="J77:J87" si="45">IF(H$12=0,0,H77/H$12)</f>
        <v>9.8586309523809521E-4</v>
      </c>
      <c r="K77" s="1"/>
      <c r="L77" s="1">
        <f t="shared" ref="L77:L87" si="46">+D77-H77</f>
        <v>-795</v>
      </c>
      <c r="M77" s="1"/>
      <c r="N77" s="5">
        <f t="shared" ref="N77:N87" si="47">IF(H77=0,0,L77/H77)</f>
        <v>-1</v>
      </c>
      <c r="O77" s="14"/>
      <c r="P77" s="1">
        <f>SUM(OSRRefP22_14x_0)</f>
        <v>0</v>
      </c>
      <c r="Q77" s="1"/>
      <c r="R77" s="5">
        <f t="shared" ref="R77:R87" si="48">IF(P$12=0,0,P77/P$12)</f>
        <v>0</v>
      </c>
      <c r="S77" s="1"/>
      <c r="T77" s="1">
        <f>SUM(OSRRefT22_14x_0)</f>
        <v>795</v>
      </c>
      <c r="U77" s="1"/>
      <c r="V77" s="5">
        <f t="shared" ref="V77:V87" si="49">IF(T$12=0,0,T77/T$12)</f>
        <v>2.1908068783068783E-4</v>
      </c>
      <c r="W77" s="1"/>
      <c r="X77" s="1">
        <f t="shared" ref="X77:X87" si="50">+P77-T77</f>
        <v>-795</v>
      </c>
      <c r="Y77" s="1"/>
      <c r="Z77" s="5">
        <f t="shared" ref="Z77:Z87" si="51">IF(T77=0,0,X77/T77)</f>
        <v>-1</v>
      </c>
    </row>
    <row r="78" spans="1:26" s="24" customFormat="1" hidden="1" outlineLevel="2" x14ac:dyDescent="0.3">
      <c r="A78" s="27"/>
      <c r="B78" s="11" t="str">
        <f>CONCATENATE("          ", "6258", " - ", "MEMBERSHIP DUES")</f>
        <v xml:space="preserve">          6258 - MEMBERSHIP DUES</v>
      </c>
      <c r="C78" s="11"/>
      <c r="D78" s="6"/>
      <c r="E78" s="2"/>
      <c r="F78" s="7">
        <f t="shared" si="44"/>
        <v>0</v>
      </c>
      <c r="G78" s="2"/>
      <c r="H78" s="6">
        <v>795</v>
      </c>
      <c r="I78" s="2"/>
      <c r="J78" s="7">
        <f t="shared" si="45"/>
        <v>9.8586309523809521E-4</v>
      </c>
      <c r="K78" s="2"/>
      <c r="L78" s="6">
        <f t="shared" si="46"/>
        <v>-795</v>
      </c>
      <c r="M78" s="2"/>
      <c r="N78" s="7">
        <f t="shared" si="47"/>
        <v>-1</v>
      </c>
      <c r="O78" s="11"/>
      <c r="P78" s="6"/>
      <c r="Q78" s="2"/>
      <c r="R78" s="7">
        <f t="shared" si="48"/>
        <v>0</v>
      </c>
      <c r="S78" s="2"/>
      <c r="T78" s="6">
        <v>795</v>
      </c>
      <c r="U78" s="2"/>
      <c r="V78" s="7">
        <f t="shared" si="49"/>
        <v>2.1908068783068783E-4</v>
      </c>
      <c r="W78" s="2"/>
      <c r="X78" s="6">
        <f t="shared" si="50"/>
        <v>-795</v>
      </c>
      <c r="Y78" s="2"/>
      <c r="Z78" s="7">
        <f t="shared" si="51"/>
        <v>-1</v>
      </c>
    </row>
    <row r="79" spans="1:26" s="29" customFormat="1" outlineLevel="1" collapsed="1" x14ac:dyDescent="0.3">
      <c r="A79" s="28"/>
      <c r="B79" s="14" t="str">
        <f>CONCATENATE("     ","Supplies                                          ")</f>
        <v xml:space="preserve">     Supplies                                          </v>
      </c>
      <c r="C79" s="14"/>
      <c r="D79" s="1">
        <f>SUM(OSRRefD22_15x_0)</f>
        <v>20353</v>
      </c>
      <c r="E79" s="1"/>
      <c r="F79" s="5">
        <f t="shared" si="44"/>
        <v>1.583627133268024E-2</v>
      </c>
      <c r="G79" s="1"/>
      <c r="H79" s="1">
        <f>SUM(OSRRefH22_15x_0)</f>
        <v>29650</v>
      </c>
      <c r="I79" s="1"/>
      <c r="J79" s="5">
        <f t="shared" si="45"/>
        <v>3.6768353174603176E-2</v>
      </c>
      <c r="K79" s="1"/>
      <c r="L79" s="1">
        <f t="shared" si="46"/>
        <v>-9297</v>
      </c>
      <c r="M79" s="1"/>
      <c r="N79" s="5">
        <f t="shared" si="47"/>
        <v>-0.31355817875210795</v>
      </c>
      <c r="O79" s="14"/>
      <c r="P79" s="1">
        <f>SUM(OSRRefP22_15x_0)</f>
        <v>179777.41</v>
      </c>
      <c r="Q79" s="1"/>
      <c r="R79" s="5">
        <f t="shared" si="48"/>
        <v>3.7235502518044153E-2</v>
      </c>
      <c r="S79" s="1"/>
      <c r="T79" s="1">
        <f>SUM(OSRRefT22_15x_0)</f>
        <v>155250</v>
      </c>
      <c r="U79" s="1"/>
      <c r="V79" s="5">
        <f t="shared" si="49"/>
        <v>4.2782738095238096E-2</v>
      </c>
      <c r="W79" s="1"/>
      <c r="X79" s="1">
        <f t="shared" si="50"/>
        <v>24527.410000000003</v>
      </c>
      <c r="Y79" s="1"/>
      <c r="Z79" s="5">
        <f t="shared" si="51"/>
        <v>0.15798653784219005</v>
      </c>
    </row>
    <row r="80" spans="1:26" s="24" customFormat="1" hidden="1" outlineLevel="2" x14ac:dyDescent="0.3">
      <c r="A80" s="27"/>
      <c r="B80" s="11" t="str">
        <f>CONCATENATE("          ", "6234", " - ", "EXPENDABLE SUPPLIES &amp; EQUIPMEN")</f>
        <v xml:space="preserve">          6234 - EXPENDABLE SUPPLIES &amp; EQUIPMEN</v>
      </c>
      <c r="C80" s="11"/>
      <c r="D80" s="6"/>
      <c r="E80" s="2"/>
      <c r="F80" s="7">
        <f t="shared" si="44"/>
        <v>0</v>
      </c>
      <c r="G80" s="2"/>
      <c r="H80" s="6">
        <v>342</v>
      </c>
      <c r="I80" s="2"/>
      <c r="J80" s="7">
        <f t="shared" si="45"/>
        <v>4.2410714285714285E-4</v>
      </c>
      <c r="K80" s="2"/>
      <c r="L80" s="6">
        <f t="shared" si="46"/>
        <v>-342</v>
      </c>
      <c r="M80" s="2"/>
      <c r="N80" s="7">
        <f t="shared" si="47"/>
        <v>-1</v>
      </c>
      <c r="O80" s="11"/>
      <c r="P80" s="6">
        <v>21.98</v>
      </c>
      <c r="Q80" s="2"/>
      <c r="R80" s="7">
        <f t="shared" si="48"/>
        <v>4.5524982551846229E-6</v>
      </c>
      <c r="S80" s="2"/>
      <c r="T80" s="6">
        <v>1710</v>
      </c>
      <c r="U80" s="2"/>
      <c r="V80" s="7">
        <f t="shared" si="49"/>
        <v>4.7123015873015874E-4</v>
      </c>
      <c r="W80" s="2"/>
      <c r="X80" s="6">
        <f t="shared" si="50"/>
        <v>-1688.02</v>
      </c>
      <c r="Y80" s="2"/>
      <c r="Z80" s="7">
        <f t="shared" si="51"/>
        <v>-0.98714619883040933</v>
      </c>
    </row>
    <row r="81" spans="1:26" s="24" customFormat="1" hidden="1" outlineLevel="2" x14ac:dyDescent="0.3">
      <c r="A81" s="27"/>
      <c r="B81" s="11" t="str">
        <f>CONCATENATE("          ", "6237", " - ", "JANITORIAL SUPPLIES")</f>
        <v xml:space="preserve">          6237 - JANITORIAL SUPPLIES</v>
      </c>
      <c r="C81" s="11"/>
      <c r="D81" s="6">
        <v>4059.52</v>
      </c>
      <c r="E81" s="2"/>
      <c r="F81" s="7">
        <f t="shared" si="44"/>
        <v>3.1586331351860703E-3</v>
      </c>
      <c r="G81" s="2"/>
      <c r="H81" s="6">
        <v>9750</v>
      </c>
      <c r="I81" s="2"/>
      <c r="J81" s="7">
        <f t="shared" si="45"/>
        <v>1.209077380952381E-2</v>
      </c>
      <c r="K81" s="2"/>
      <c r="L81" s="6">
        <f t="shared" si="46"/>
        <v>-5690.48</v>
      </c>
      <c r="M81" s="2"/>
      <c r="N81" s="7">
        <f t="shared" si="47"/>
        <v>-0.58363897435897427</v>
      </c>
      <c r="O81" s="11"/>
      <c r="P81" s="6">
        <v>27061.88</v>
      </c>
      <c r="Q81" s="2"/>
      <c r="R81" s="7">
        <f t="shared" si="48"/>
        <v>5.6050573922664078E-3</v>
      </c>
      <c r="S81" s="2"/>
      <c r="T81" s="6">
        <v>51750</v>
      </c>
      <c r="U81" s="2"/>
      <c r="V81" s="7">
        <f t="shared" si="49"/>
        <v>1.4260912698412698E-2</v>
      </c>
      <c r="W81" s="2"/>
      <c r="X81" s="6">
        <f t="shared" si="50"/>
        <v>-24688.12</v>
      </c>
      <c r="Y81" s="2"/>
      <c r="Z81" s="7">
        <f t="shared" si="51"/>
        <v>-0.47706512077294683</v>
      </c>
    </row>
    <row r="82" spans="1:26" s="24" customFormat="1" hidden="1" outlineLevel="2" x14ac:dyDescent="0.3">
      <c r="A82" s="27"/>
      <c r="B82" s="11" t="str">
        <f>CONCATENATE("          ", "6239", " - ", "KITCHEN SUPPLIES")</f>
        <v xml:space="preserve">          6239 - KITCHEN SUPPLIES</v>
      </c>
      <c r="C82" s="11"/>
      <c r="D82" s="6">
        <v>871.69</v>
      </c>
      <c r="E82" s="2"/>
      <c r="F82" s="7">
        <f t="shared" si="44"/>
        <v>6.7824494462654348E-4</v>
      </c>
      <c r="G82" s="2"/>
      <c r="H82" s="6">
        <v>3700</v>
      </c>
      <c r="I82" s="2"/>
      <c r="J82" s="7">
        <f t="shared" si="45"/>
        <v>4.588293650793651E-3</v>
      </c>
      <c r="K82" s="2"/>
      <c r="L82" s="6">
        <f t="shared" si="46"/>
        <v>-2828.31</v>
      </c>
      <c r="M82" s="2"/>
      <c r="N82" s="7">
        <f t="shared" si="47"/>
        <v>-0.76440810810810811</v>
      </c>
      <c r="O82" s="11"/>
      <c r="P82" s="6">
        <v>23993.26</v>
      </c>
      <c r="Q82" s="2"/>
      <c r="R82" s="7">
        <f t="shared" si="48"/>
        <v>4.9694847263963143E-3</v>
      </c>
      <c r="S82" s="2"/>
      <c r="T82" s="6">
        <v>24500</v>
      </c>
      <c r="U82" s="2"/>
      <c r="V82" s="7">
        <f t="shared" si="49"/>
        <v>6.7515432098765428E-3</v>
      </c>
      <c r="W82" s="2"/>
      <c r="X82" s="6">
        <f t="shared" si="50"/>
        <v>-506.7400000000016</v>
      </c>
      <c r="Y82" s="2"/>
      <c r="Z82" s="7">
        <f t="shared" si="51"/>
        <v>-2.0683265306122516E-2</v>
      </c>
    </row>
    <row r="83" spans="1:26" s="24" customFormat="1" hidden="1" outlineLevel="2" x14ac:dyDescent="0.3">
      <c r="A83" s="27"/>
      <c r="B83" s="11" t="str">
        <f>CONCATENATE("          ", "6241", " - ", "OFFICE EXPENSE")</f>
        <v xml:space="preserve">          6241 - OFFICE EXPENSE</v>
      </c>
      <c r="C83" s="11"/>
      <c r="D83" s="6">
        <v>566.19000000000005</v>
      </c>
      <c r="E83" s="2"/>
      <c r="F83" s="7">
        <f t="shared" si="44"/>
        <v>4.4054136814475635E-4</v>
      </c>
      <c r="G83" s="2"/>
      <c r="H83" s="6">
        <v>1445</v>
      </c>
      <c r="I83" s="2"/>
      <c r="J83" s="7">
        <f t="shared" si="45"/>
        <v>1.7919146825396825E-3</v>
      </c>
      <c r="K83" s="2"/>
      <c r="L83" s="6">
        <f t="shared" si="46"/>
        <v>-878.81</v>
      </c>
      <c r="M83" s="2"/>
      <c r="N83" s="7">
        <f t="shared" si="47"/>
        <v>-0.60817301038062277</v>
      </c>
      <c r="O83" s="11"/>
      <c r="P83" s="6">
        <v>11182.57</v>
      </c>
      <c r="Q83" s="2"/>
      <c r="R83" s="7">
        <f t="shared" si="48"/>
        <v>2.3161342317324796E-3</v>
      </c>
      <c r="S83" s="2"/>
      <c r="T83" s="6">
        <v>7225</v>
      </c>
      <c r="U83" s="2"/>
      <c r="V83" s="7">
        <f t="shared" si="49"/>
        <v>1.9910163139329807E-3</v>
      </c>
      <c r="W83" s="2"/>
      <c r="X83" s="6">
        <f t="shared" si="50"/>
        <v>3957.5699999999997</v>
      </c>
      <c r="Y83" s="2"/>
      <c r="Z83" s="7">
        <f t="shared" si="51"/>
        <v>0.54776055363321796</v>
      </c>
    </row>
    <row r="84" spans="1:26" s="24" customFormat="1" hidden="1" outlineLevel="2" x14ac:dyDescent="0.3">
      <c r="A84" s="27"/>
      <c r="B84" s="11" t="str">
        <f>CONCATENATE("          ", "6243", " - ", "PAPER SUPPLIES")</f>
        <v xml:space="preserve">          6243 - PAPER SUPPLIES</v>
      </c>
      <c r="C84" s="11"/>
      <c r="D84" s="6">
        <v>14679.37</v>
      </c>
      <c r="E84" s="2"/>
      <c r="F84" s="7">
        <f t="shared" si="44"/>
        <v>1.1421730767592312E-2</v>
      </c>
      <c r="G84" s="2"/>
      <c r="H84" s="6">
        <v>13300</v>
      </c>
      <c r="I84" s="2"/>
      <c r="J84" s="7">
        <f t="shared" si="45"/>
        <v>1.6493055555555556E-2</v>
      </c>
      <c r="K84" s="2"/>
      <c r="L84" s="6">
        <f t="shared" si="46"/>
        <v>1379.3700000000008</v>
      </c>
      <c r="M84" s="2"/>
      <c r="N84" s="7">
        <f t="shared" si="47"/>
        <v>0.10371203007518803</v>
      </c>
      <c r="O84" s="11"/>
      <c r="P84" s="6">
        <v>111106.46</v>
      </c>
      <c r="Q84" s="2"/>
      <c r="R84" s="7">
        <f t="shared" si="48"/>
        <v>2.3012373307085537E-2</v>
      </c>
      <c r="S84" s="2"/>
      <c r="T84" s="6">
        <v>64500</v>
      </c>
      <c r="U84" s="2"/>
      <c r="V84" s="7">
        <f t="shared" si="49"/>
        <v>1.7774470899470901E-2</v>
      </c>
      <c r="W84" s="2"/>
      <c r="X84" s="6">
        <f t="shared" si="50"/>
        <v>46606.460000000006</v>
      </c>
      <c r="Y84" s="2"/>
      <c r="Z84" s="7">
        <f t="shared" si="51"/>
        <v>0.7225807751937986</v>
      </c>
    </row>
    <row r="85" spans="1:26" s="24" customFormat="1" hidden="1" outlineLevel="2" x14ac:dyDescent="0.3">
      <c r="A85" s="27"/>
      <c r="B85" s="11" t="str">
        <f>CONCATENATE("          ", "6244", " - ", "SAFETY SUPPLY EXPENSE")</f>
        <v xml:space="preserve">          6244 - SAFETY SUPPLY EXPENSE</v>
      </c>
      <c r="C85" s="11"/>
      <c r="D85" s="6"/>
      <c r="E85" s="2"/>
      <c r="F85" s="7">
        <f t="shared" si="44"/>
        <v>0</v>
      </c>
      <c r="G85" s="2"/>
      <c r="H85" s="6">
        <v>525</v>
      </c>
      <c r="I85" s="2"/>
      <c r="J85" s="7">
        <f t="shared" si="45"/>
        <v>6.5104166666666663E-4</v>
      </c>
      <c r="K85" s="2"/>
      <c r="L85" s="6">
        <f t="shared" si="46"/>
        <v>-525</v>
      </c>
      <c r="M85" s="2"/>
      <c r="N85" s="7">
        <f t="shared" si="47"/>
        <v>-1</v>
      </c>
      <c r="O85" s="11"/>
      <c r="P85" s="6"/>
      <c r="Q85" s="2"/>
      <c r="R85" s="7">
        <f t="shared" si="48"/>
        <v>0</v>
      </c>
      <c r="S85" s="2"/>
      <c r="T85" s="6">
        <v>2625</v>
      </c>
      <c r="U85" s="2"/>
      <c r="V85" s="7">
        <f t="shared" si="49"/>
        <v>7.2337962962962959E-4</v>
      </c>
      <c r="W85" s="2"/>
      <c r="X85" s="6">
        <f t="shared" si="50"/>
        <v>-2625</v>
      </c>
      <c r="Y85" s="2"/>
      <c r="Z85" s="7">
        <f t="shared" si="51"/>
        <v>-1</v>
      </c>
    </row>
    <row r="86" spans="1:26" s="24" customFormat="1" hidden="1" outlineLevel="2" x14ac:dyDescent="0.3">
      <c r="A86" s="27"/>
      <c r="B86" s="11" t="str">
        <f>CONCATENATE("          ", "6247", " - ", "STORE SUPPLIES")</f>
        <v xml:space="preserve">          6247 - STORE SUPPLIES</v>
      </c>
      <c r="C86" s="11"/>
      <c r="D86" s="6">
        <v>176.23</v>
      </c>
      <c r="E86" s="2"/>
      <c r="F86" s="7">
        <f t="shared" si="44"/>
        <v>1.3712111713055759E-4</v>
      </c>
      <c r="G86" s="2"/>
      <c r="H86" s="6"/>
      <c r="I86" s="2"/>
      <c r="J86" s="7">
        <f t="shared" si="45"/>
        <v>0</v>
      </c>
      <c r="K86" s="2"/>
      <c r="L86" s="6">
        <f t="shared" si="46"/>
        <v>176.23</v>
      </c>
      <c r="M86" s="2"/>
      <c r="N86" s="7">
        <f t="shared" si="47"/>
        <v>0</v>
      </c>
      <c r="O86" s="11"/>
      <c r="P86" s="6">
        <v>800.03</v>
      </c>
      <c r="Q86" s="2"/>
      <c r="R86" s="7">
        <f t="shared" si="48"/>
        <v>1.6570223744746831E-4</v>
      </c>
      <c r="S86" s="2"/>
      <c r="T86" s="6"/>
      <c r="U86" s="2"/>
      <c r="V86" s="7">
        <f t="shared" si="49"/>
        <v>0</v>
      </c>
      <c r="W86" s="2"/>
      <c r="X86" s="6">
        <f t="shared" si="50"/>
        <v>800.03</v>
      </c>
      <c r="Y86" s="2"/>
      <c r="Z86" s="7">
        <f t="shared" si="51"/>
        <v>0</v>
      </c>
    </row>
    <row r="87" spans="1:26" s="24" customFormat="1" hidden="1" outlineLevel="2" x14ac:dyDescent="0.3">
      <c r="A87" s="27"/>
      <c r="B87" s="11" t="str">
        <f>CONCATENATE("          ", "6248", " - ", "UNIFORMS")</f>
        <v xml:space="preserve">          6248 - UNIFORMS</v>
      </c>
      <c r="C87" s="11"/>
      <c r="D87" s="6"/>
      <c r="E87" s="2"/>
      <c r="F87" s="7">
        <f t="shared" si="44"/>
        <v>0</v>
      </c>
      <c r="G87" s="2"/>
      <c r="H87" s="6">
        <v>588</v>
      </c>
      <c r="I87" s="2"/>
      <c r="J87" s="7">
        <f t="shared" si="45"/>
        <v>7.291666666666667E-4</v>
      </c>
      <c r="K87" s="2"/>
      <c r="L87" s="6">
        <f t="shared" si="46"/>
        <v>-588</v>
      </c>
      <c r="M87" s="2"/>
      <c r="N87" s="7">
        <f t="shared" si="47"/>
        <v>-1</v>
      </c>
      <c r="O87" s="11"/>
      <c r="P87" s="6">
        <v>5611.23</v>
      </c>
      <c r="Q87" s="2"/>
      <c r="R87" s="7">
        <f t="shared" si="48"/>
        <v>1.1621981248607647E-3</v>
      </c>
      <c r="S87" s="2"/>
      <c r="T87" s="6">
        <v>2940</v>
      </c>
      <c r="U87" s="2"/>
      <c r="V87" s="7">
        <f t="shared" si="49"/>
        <v>8.1018518518518516E-4</v>
      </c>
      <c r="W87" s="2"/>
      <c r="X87" s="6">
        <f t="shared" si="50"/>
        <v>2671.2299999999996</v>
      </c>
      <c r="Y87" s="2"/>
      <c r="Z87" s="7">
        <f t="shared" si="51"/>
        <v>0.90858163265306102</v>
      </c>
    </row>
    <row r="88" spans="1:26" s="29" customFormat="1" outlineLevel="1" collapsed="1" x14ac:dyDescent="0.3">
      <c r="A88" s="28"/>
      <c r="B88" s="14" t="str">
        <f>CONCATENATE("     ","Telephone/Data Lines                              ")</f>
        <v xml:space="preserve">     Telephone/Data Lines                              </v>
      </c>
      <c r="C88" s="14"/>
      <c r="D88" s="1">
        <f>SUM(OSRRefD22_16x_0)</f>
        <v>770</v>
      </c>
      <c r="E88" s="1"/>
      <c r="F88" s="5">
        <f t="shared" ref="F88:F90" si="52">IF(D$12=0,0,D88/D$12)</f>
        <v>5.9912194399664841E-4</v>
      </c>
      <c r="G88" s="1"/>
      <c r="H88" s="1">
        <f>SUM(OSRRefH22_16x_0)</f>
        <v>601</v>
      </c>
      <c r="I88" s="1"/>
      <c r="J88" s="5">
        <f t="shared" ref="J88:J90" si="53">IF(H$12=0,0,H88/H$12)</f>
        <v>7.4528769841269841E-4</v>
      </c>
      <c r="K88" s="1"/>
      <c r="L88" s="1">
        <f t="shared" ref="L88:L90" si="54">+D88-H88</f>
        <v>169</v>
      </c>
      <c r="M88" s="1"/>
      <c r="N88" s="5">
        <f t="shared" ref="N88:N90" si="55">IF(H88=0,0,L88/H88)</f>
        <v>0.28119800332778699</v>
      </c>
      <c r="O88" s="14"/>
      <c r="P88" s="1">
        <f>SUM(OSRRefP22_16x_0)</f>
        <v>4001.85</v>
      </c>
      <c r="Q88" s="1"/>
      <c r="R88" s="5">
        <f t="shared" ref="R88:R90" si="56">IF(P$12=0,0,P88/P$12)</f>
        <v>8.2886329128801551E-4</v>
      </c>
      <c r="S88" s="1"/>
      <c r="T88" s="1">
        <f>SUM(OSRRefT22_16x_0)</f>
        <v>3005</v>
      </c>
      <c r="U88" s="1"/>
      <c r="V88" s="5">
        <f t="shared" ref="V88:V90" si="57">IF(T$12=0,0,T88/T$12)</f>
        <v>8.2809744268077601E-4</v>
      </c>
      <c r="W88" s="1"/>
      <c r="X88" s="1">
        <f t="shared" ref="X88:X90" si="58">+P88-T88</f>
        <v>996.84999999999991</v>
      </c>
      <c r="Y88" s="1"/>
      <c r="Z88" s="5">
        <f t="shared" ref="Z88:Z90" si="59">IF(T88=0,0,X88/T88)</f>
        <v>0.33173044925124789</v>
      </c>
    </row>
    <row r="89" spans="1:26" s="24" customFormat="1" hidden="1" outlineLevel="2" x14ac:dyDescent="0.3">
      <c r="A89" s="27"/>
      <c r="B89" s="11" t="str">
        <f>CONCATENATE("          ", "6303", " - ", "DATA PHONE LINES")</f>
        <v xml:space="preserve">          6303 - DATA PHONE LINES</v>
      </c>
      <c r="C89" s="11"/>
      <c r="D89" s="6"/>
      <c r="E89" s="2"/>
      <c r="F89" s="7">
        <f t="shared" si="52"/>
        <v>0</v>
      </c>
      <c r="G89" s="2"/>
      <c r="H89" s="6">
        <v>58</v>
      </c>
      <c r="I89" s="2"/>
      <c r="J89" s="7">
        <f t="shared" si="53"/>
        <v>7.1924603174603171E-5</v>
      </c>
      <c r="K89" s="2"/>
      <c r="L89" s="6">
        <f t="shared" si="54"/>
        <v>-58</v>
      </c>
      <c r="M89" s="2"/>
      <c r="N89" s="7">
        <f t="shared" si="55"/>
        <v>-1</v>
      </c>
      <c r="O89" s="11"/>
      <c r="P89" s="6"/>
      <c r="Q89" s="2"/>
      <c r="R89" s="7">
        <f t="shared" si="56"/>
        <v>0</v>
      </c>
      <c r="S89" s="2"/>
      <c r="T89" s="6">
        <v>290</v>
      </c>
      <c r="U89" s="2"/>
      <c r="V89" s="7">
        <f t="shared" si="57"/>
        <v>7.9916225749559087E-5</v>
      </c>
      <c r="W89" s="2"/>
      <c r="X89" s="6">
        <f t="shared" si="58"/>
        <v>-290</v>
      </c>
      <c r="Y89" s="2"/>
      <c r="Z89" s="7">
        <f t="shared" si="59"/>
        <v>-1</v>
      </c>
    </row>
    <row r="90" spans="1:26" s="24" customFormat="1" hidden="1" outlineLevel="2" x14ac:dyDescent="0.3">
      <c r="A90" s="27"/>
      <c r="B90" s="11" t="str">
        <f>CONCATENATE("          ", "6309", " - ", "TELEPHONE")</f>
        <v xml:space="preserve">          6309 - TELEPHONE</v>
      </c>
      <c r="C90" s="11"/>
      <c r="D90" s="6">
        <v>770</v>
      </c>
      <c r="E90" s="2"/>
      <c r="F90" s="7">
        <f t="shared" si="52"/>
        <v>5.9912194399664841E-4</v>
      </c>
      <c r="G90" s="2"/>
      <c r="H90" s="6">
        <v>543</v>
      </c>
      <c r="I90" s="2"/>
      <c r="J90" s="7">
        <f t="shared" si="53"/>
        <v>6.7336309523809525E-4</v>
      </c>
      <c r="K90" s="2"/>
      <c r="L90" s="6">
        <f t="shared" si="54"/>
        <v>227</v>
      </c>
      <c r="M90" s="2"/>
      <c r="N90" s="7">
        <f t="shared" si="55"/>
        <v>0.41804788213627991</v>
      </c>
      <c r="O90" s="11"/>
      <c r="P90" s="6">
        <v>4001.85</v>
      </c>
      <c r="Q90" s="2"/>
      <c r="R90" s="7">
        <f t="shared" si="56"/>
        <v>8.2886329128801551E-4</v>
      </c>
      <c r="S90" s="2"/>
      <c r="T90" s="6">
        <v>2715</v>
      </c>
      <c r="U90" s="2"/>
      <c r="V90" s="7">
        <f t="shared" si="57"/>
        <v>7.4818121693121691E-4</v>
      </c>
      <c r="W90" s="2"/>
      <c r="X90" s="6">
        <f t="shared" si="58"/>
        <v>1286.8499999999999</v>
      </c>
      <c r="Y90" s="2"/>
      <c r="Z90" s="7">
        <f t="shared" si="59"/>
        <v>0.47397790055248618</v>
      </c>
    </row>
    <row r="91" spans="1:26" s="29" customFormat="1" outlineLevel="1" collapsed="1" x14ac:dyDescent="0.3">
      <c r="A91" s="28"/>
      <c r="B91" s="14" t="str">
        <f>CONCATENATE("     ","Training                                          ")</f>
        <v xml:space="preserve">     Training                                          </v>
      </c>
      <c r="C91" s="14"/>
      <c r="D91" s="1">
        <f>SUM(OSRRefD22_17x_0)</f>
        <v>245</v>
      </c>
      <c r="E91" s="1"/>
      <c r="F91" s="5">
        <f t="shared" ref="F91:F95" si="60">IF(D$12=0,0,D91/D$12)</f>
        <v>1.9062970945347903E-4</v>
      </c>
      <c r="G91" s="1"/>
      <c r="H91" s="1">
        <f>SUM(OSRRefH22_17x_0)</f>
        <v>640</v>
      </c>
      <c r="I91" s="1"/>
      <c r="J91" s="5">
        <f t="shared" ref="J91:J95" si="61">IF(H$12=0,0,H91/H$12)</f>
        <v>7.9365079365079365E-4</v>
      </c>
      <c r="K91" s="1"/>
      <c r="L91" s="1">
        <f t="shared" ref="L91:L95" si="62">+D91-H91</f>
        <v>-395</v>
      </c>
      <c r="M91" s="1"/>
      <c r="N91" s="5">
        <f t="shared" ref="N91:N95" si="63">IF(H91=0,0,L91/H91)</f>
        <v>-0.6171875</v>
      </c>
      <c r="O91" s="14"/>
      <c r="P91" s="1">
        <f>SUM(OSRRefP22_17x_0)</f>
        <v>245</v>
      </c>
      <c r="Q91" s="1"/>
      <c r="R91" s="5">
        <f t="shared" ref="R91:R95" si="64">IF(P$12=0,0,P91/P$12)</f>
        <v>5.0744407303013305E-5</v>
      </c>
      <c r="S91" s="1"/>
      <c r="T91" s="1">
        <f>SUM(OSRRefT22_17x_0)</f>
        <v>3200</v>
      </c>
      <c r="U91" s="1"/>
      <c r="V91" s="5">
        <f t="shared" ref="V91:V95" si="65">IF(T$12=0,0,T91/T$12)</f>
        <v>8.8183421516754845E-4</v>
      </c>
      <c r="W91" s="1"/>
      <c r="X91" s="1">
        <f t="shared" ref="X91:X95" si="66">+P91-T91</f>
        <v>-2955</v>
      </c>
      <c r="Y91" s="1"/>
      <c r="Z91" s="5">
        <f t="shared" ref="Z91:Z95" si="67">IF(T91=0,0,X91/T91)</f>
        <v>-0.92343750000000002</v>
      </c>
    </row>
    <row r="92" spans="1:26" s="24" customFormat="1" hidden="1" outlineLevel="2" x14ac:dyDescent="0.3">
      <c r="A92" s="27"/>
      <c r="B92" s="11" t="str">
        <f>CONCATENATE("          ", "6376", " - ", "TRAINING")</f>
        <v xml:space="preserve">          6376 - TRAINING</v>
      </c>
      <c r="C92" s="11"/>
      <c r="D92" s="6">
        <v>245</v>
      </c>
      <c r="E92" s="2"/>
      <c r="F92" s="7">
        <f t="shared" si="60"/>
        <v>1.9062970945347903E-4</v>
      </c>
      <c r="G92" s="2"/>
      <c r="H92" s="6">
        <v>640</v>
      </c>
      <c r="I92" s="2"/>
      <c r="J92" s="7">
        <f t="shared" si="61"/>
        <v>7.9365079365079365E-4</v>
      </c>
      <c r="K92" s="2"/>
      <c r="L92" s="6">
        <f t="shared" si="62"/>
        <v>-395</v>
      </c>
      <c r="M92" s="2"/>
      <c r="N92" s="7">
        <f t="shared" si="63"/>
        <v>-0.6171875</v>
      </c>
      <c r="O92" s="11"/>
      <c r="P92" s="6">
        <v>245</v>
      </c>
      <c r="Q92" s="2"/>
      <c r="R92" s="7">
        <f t="shared" si="64"/>
        <v>5.0744407303013305E-5</v>
      </c>
      <c r="S92" s="2"/>
      <c r="T92" s="6">
        <v>3200</v>
      </c>
      <c r="U92" s="2"/>
      <c r="V92" s="7">
        <f t="shared" si="65"/>
        <v>8.8183421516754845E-4</v>
      </c>
      <c r="W92" s="2"/>
      <c r="X92" s="6">
        <f t="shared" si="66"/>
        <v>-2955</v>
      </c>
      <c r="Y92" s="2"/>
      <c r="Z92" s="7">
        <f t="shared" si="67"/>
        <v>-0.92343750000000002</v>
      </c>
    </row>
    <row r="93" spans="1:26" s="29" customFormat="1" outlineLevel="1" collapsed="1" x14ac:dyDescent="0.3">
      <c r="A93" s="28"/>
      <c r="B93" s="14" t="str">
        <f>CONCATENATE("     ","Travel                                            ")</f>
        <v xml:space="preserve">     Travel                                            </v>
      </c>
      <c r="C93" s="14"/>
      <c r="D93" s="1">
        <f>SUM(OSRRefD22_18x_0)</f>
        <v>0</v>
      </c>
      <c r="E93" s="1"/>
      <c r="F93" s="5">
        <f t="shared" si="60"/>
        <v>0</v>
      </c>
      <c r="G93" s="1"/>
      <c r="H93" s="1">
        <f>SUM(OSRRefH22_18x_0)</f>
        <v>0</v>
      </c>
      <c r="I93" s="1"/>
      <c r="J93" s="5">
        <f t="shared" si="61"/>
        <v>0</v>
      </c>
      <c r="K93" s="1"/>
      <c r="L93" s="1">
        <f t="shared" si="62"/>
        <v>0</v>
      </c>
      <c r="M93" s="1"/>
      <c r="N93" s="5">
        <f t="shared" si="63"/>
        <v>0</v>
      </c>
      <c r="O93" s="14"/>
      <c r="P93" s="1">
        <f>SUM(OSRRefP22_18x_0)</f>
        <v>699.02</v>
      </c>
      <c r="Q93" s="1"/>
      <c r="R93" s="5">
        <f t="shared" si="64"/>
        <v>1.4478104323654024E-4</v>
      </c>
      <c r="S93" s="1"/>
      <c r="T93" s="1">
        <f>SUM(OSRRefT22_18x_0)</f>
        <v>0</v>
      </c>
      <c r="U93" s="1"/>
      <c r="V93" s="5">
        <f t="shared" si="65"/>
        <v>0</v>
      </c>
      <c r="W93" s="1"/>
      <c r="X93" s="1">
        <f t="shared" si="66"/>
        <v>699.02</v>
      </c>
      <c r="Y93" s="1"/>
      <c r="Z93" s="5">
        <f t="shared" si="67"/>
        <v>0</v>
      </c>
    </row>
    <row r="94" spans="1:26" s="24" customFormat="1" hidden="1" outlineLevel="2" x14ac:dyDescent="0.3">
      <c r="A94" s="27"/>
      <c r="B94" s="11" t="str">
        <f>CONCATENATE("          ", "6292", " - ", "TRAVEL/CONFERENCE")</f>
        <v xml:space="preserve">          6292 - TRAVEL/CONFERENCE</v>
      </c>
      <c r="C94" s="11"/>
      <c r="D94" s="6"/>
      <c r="E94" s="2"/>
      <c r="F94" s="7">
        <f t="shared" si="60"/>
        <v>0</v>
      </c>
      <c r="G94" s="2"/>
      <c r="H94" s="6"/>
      <c r="I94" s="2"/>
      <c r="J94" s="7">
        <f t="shared" si="61"/>
        <v>0</v>
      </c>
      <c r="K94" s="2"/>
      <c r="L94" s="6">
        <f t="shared" si="62"/>
        <v>0</v>
      </c>
      <c r="M94" s="2"/>
      <c r="N94" s="7">
        <f t="shared" si="63"/>
        <v>0</v>
      </c>
      <c r="O94" s="11"/>
      <c r="P94" s="6">
        <v>595</v>
      </c>
      <c r="Q94" s="2"/>
      <c r="R94" s="7">
        <f t="shared" si="64"/>
        <v>1.2323641773588946E-4</v>
      </c>
      <c r="S94" s="2"/>
      <c r="T94" s="6"/>
      <c r="U94" s="2"/>
      <c r="V94" s="7">
        <f t="shared" si="65"/>
        <v>0</v>
      </c>
      <c r="W94" s="2"/>
      <c r="X94" s="6">
        <f t="shared" si="66"/>
        <v>595</v>
      </c>
      <c r="Y94" s="2"/>
      <c r="Z94" s="7">
        <f t="shared" si="67"/>
        <v>0</v>
      </c>
    </row>
    <row r="95" spans="1:26" s="24" customFormat="1" hidden="1" outlineLevel="2" x14ac:dyDescent="0.3">
      <c r="A95" s="27"/>
      <c r="B95" s="11" t="str">
        <f>CONCATENATE("          ", "6298", " - ", "VEHICLE MILEAGE")</f>
        <v xml:space="preserve">          6298 - VEHICLE MILEAGE</v>
      </c>
      <c r="C95" s="11"/>
      <c r="D95" s="6"/>
      <c r="E95" s="2"/>
      <c r="F95" s="7">
        <f t="shared" si="60"/>
        <v>0</v>
      </c>
      <c r="G95" s="2"/>
      <c r="H95" s="6"/>
      <c r="I95" s="2"/>
      <c r="J95" s="7">
        <f t="shared" si="61"/>
        <v>0</v>
      </c>
      <c r="K95" s="2"/>
      <c r="L95" s="6">
        <f t="shared" si="62"/>
        <v>0</v>
      </c>
      <c r="M95" s="2"/>
      <c r="N95" s="7">
        <f t="shared" si="63"/>
        <v>0</v>
      </c>
      <c r="O95" s="11"/>
      <c r="P95" s="6">
        <v>104.02</v>
      </c>
      <c r="Q95" s="2"/>
      <c r="R95" s="7">
        <f t="shared" si="64"/>
        <v>2.1544625500650792E-5</v>
      </c>
      <c r="S95" s="2"/>
      <c r="T95" s="6"/>
      <c r="U95" s="2"/>
      <c r="V95" s="7">
        <f t="shared" si="65"/>
        <v>0</v>
      </c>
      <c r="W95" s="2"/>
      <c r="X95" s="6">
        <f t="shared" si="66"/>
        <v>104.02</v>
      </c>
      <c r="Y95" s="2"/>
      <c r="Z95" s="7">
        <f t="shared" si="67"/>
        <v>0</v>
      </c>
    </row>
    <row r="96" spans="1:26" s="63" customFormat="1" x14ac:dyDescent="0.3">
      <c r="A96" s="36"/>
      <c r="B96" s="36"/>
      <c r="C96" s="36"/>
      <c r="D96" s="1"/>
      <c r="E96" s="1"/>
      <c r="F96" s="5"/>
      <c r="G96" s="1"/>
      <c r="H96" s="1"/>
      <c r="I96" s="1"/>
      <c r="J96" s="5"/>
      <c r="K96" s="1"/>
      <c r="L96" s="1"/>
      <c r="M96" s="1"/>
      <c r="N96" s="5"/>
      <c r="O96" s="36"/>
      <c r="P96" s="1"/>
      <c r="Q96" s="1"/>
      <c r="R96" s="5"/>
      <c r="S96" s="1"/>
      <c r="T96" s="1"/>
      <c r="U96" s="1"/>
      <c r="V96" s="5"/>
      <c r="W96" s="1"/>
      <c r="X96" s="1"/>
      <c r="Y96" s="1"/>
      <c r="Z96" s="5"/>
    </row>
    <row r="97" spans="1:26" s="23" customFormat="1" x14ac:dyDescent="0.3">
      <c r="A97" s="10"/>
      <c r="B97" s="25" t="s">
        <v>293</v>
      </c>
      <c r="C97" s="10"/>
      <c r="D97" s="4">
        <f>SUM(0)</f>
        <v>0</v>
      </c>
      <c r="E97" s="4"/>
      <c r="F97" s="12">
        <f>IF(D$12=0,0,D97/D$12)</f>
        <v>0</v>
      </c>
      <c r="G97" s="4"/>
      <c r="H97" s="4">
        <f>SUM(0)</f>
        <v>0</v>
      </c>
      <c r="I97" s="4"/>
      <c r="J97" s="12">
        <f>IF(H$12=0,0,H97/H$12)</f>
        <v>0</v>
      </c>
      <c r="K97" s="4"/>
      <c r="L97" s="4">
        <f>+D97-H97</f>
        <v>0</v>
      </c>
      <c r="M97" s="4"/>
      <c r="N97" s="12">
        <f>IF(H97=0,0,L97/H97)</f>
        <v>0</v>
      </c>
      <c r="O97" s="10"/>
      <c r="P97" s="4">
        <f>SUM(0)</f>
        <v>0</v>
      </c>
      <c r="Q97" s="4"/>
      <c r="R97" s="12">
        <f>IF(P$12=0,0,P97/P$12)</f>
        <v>0</v>
      </c>
      <c r="S97" s="4"/>
      <c r="T97" s="4">
        <f>SUM(0)</f>
        <v>0</v>
      </c>
      <c r="U97" s="4"/>
      <c r="V97" s="12">
        <f>IF(T$12=0,0,T97/T$12)</f>
        <v>0</v>
      </c>
      <c r="W97" s="4"/>
      <c r="X97" s="4">
        <f>+P97-T97</f>
        <v>0</v>
      </c>
      <c r="Y97" s="4"/>
      <c r="Z97" s="12">
        <f>IF(T97=0,0,X97/T97)</f>
        <v>0</v>
      </c>
    </row>
    <row r="98" spans="1:26" x14ac:dyDescent="0.3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x14ac:dyDescent="0.3">
      <c r="A99" s="10"/>
      <c r="B99" s="26" t="s">
        <v>277</v>
      </c>
      <c r="C99" s="26"/>
      <c r="D99" s="20">
        <f>+D23-D25+D97</f>
        <v>519736.41999999993</v>
      </c>
      <c r="E99" s="13"/>
      <c r="F99" s="22">
        <f>IF(D$12=0,0,D99/D$12)</f>
        <v>0.40439674586527075</v>
      </c>
      <c r="G99" s="13"/>
      <c r="H99" s="20">
        <f>+H23-H25+H97</f>
        <v>79803.807674933982</v>
      </c>
      <c r="I99" s="13"/>
      <c r="J99" s="22">
        <f>IF(H$12=0,0,H99/H$12)</f>
        <v>9.8963055152447896E-2</v>
      </c>
      <c r="K99" s="15"/>
      <c r="L99" s="20">
        <f>+D99-H99</f>
        <v>439932.61232506594</v>
      </c>
      <c r="M99" s="15"/>
      <c r="N99" s="22">
        <f>IF(H99=0,0,L99/H99)</f>
        <v>5.5126769654532009</v>
      </c>
      <c r="O99" s="25"/>
      <c r="P99" s="20">
        <f>+P23-P25+P97</f>
        <v>1307055.7400000012</v>
      </c>
      <c r="Q99" s="13"/>
      <c r="R99" s="22">
        <f>IF(P$12=0,0,P99/P$12)</f>
        <v>0.27071742382980213</v>
      </c>
      <c r="S99" s="13"/>
      <c r="T99" s="20">
        <f>+T23-T25+T97</f>
        <v>106961.73771213554</v>
      </c>
      <c r="U99" s="13"/>
      <c r="V99" s="22">
        <f>IF(T$12=0,0,T99/T$12)</f>
        <v>2.9475787508855694E-2</v>
      </c>
      <c r="W99" s="15"/>
      <c r="X99" s="20">
        <f>+P99-T99</f>
        <v>1200094.0022878656</v>
      </c>
      <c r="Y99" s="15"/>
      <c r="Z99" s="22">
        <f>IF(T99=0,0,X99/T99)</f>
        <v>11.219843917622766</v>
      </c>
    </row>
    <row r="100" spans="1:26" x14ac:dyDescent="0.3">
      <c r="A100" s="9"/>
      <c r="B100" s="10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x14ac:dyDescent="0.3">
      <c r="A101" s="52"/>
      <c r="B101" s="10" t="s">
        <v>128</v>
      </c>
      <c r="C101" s="10"/>
      <c r="D101" s="4">
        <v>165555.14000000001</v>
      </c>
      <c r="E101" s="4"/>
      <c r="F101" s="12">
        <f>IF(D$12=0,0,D101/D$12)</f>
        <v>0.1288152172927757</v>
      </c>
      <c r="G101" s="4"/>
      <c r="H101" s="4">
        <v>129096</v>
      </c>
      <c r="I101" s="4"/>
      <c r="J101" s="12">
        <f>IF(H$12=0,0,H101/H$12)</f>
        <v>0.16008928571428571</v>
      </c>
      <c r="K101" s="4"/>
      <c r="L101" s="4">
        <f>+D101-H101</f>
        <v>36459.140000000014</v>
      </c>
      <c r="M101" s="4"/>
      <c r="N101" s="12">
        <f>IF(H101=0,0,L101/H101)</f>
        <v>0.28241882010286928</v>
      </c>
      <c r="O101" s="10"/>
      <c r="P101" s="4">
        <v>575085.57999999996</v>
      </c>
      <c r="Q101" s="4"/>
      <c r="R101" s="12">
        <f>IF(P$12=0,0,P101/P$12)</f>
        <v>0.11911174247187609</v>
      </c>
      <c r="S101" s="4"/>
      <c r="T101" s="4">
        <v>453645</v>
      </c>
      <c r="U101" s="4"/>
      <c r="V101" s="12">
        <f>IF(T$12=0,0,T101/T$12)</f>
        <v>0.12501240079365081</v>
      </c>
      <c r="W101" s="4"/>
      <c r="X101" s="4">
        <f>+P101-T101</f>
        <v>121440.57999999996</v>
      </c>
      <c r="Y101" s="4"/>
      <c r="Z101" s="12">
        <f>IF(T101=0,0,X101/T101)</f>
        <v>0.26769958888558226</v>
      </c>
    </row>
    <row r="102" spans="1:26" x14ac:dyDescent="0.3">
      <c r="A102" s="9"/>
      <c r="B102" s="10"/>
      <c r="C102" s="10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O102" s="10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" thickBot="1" x14ac:dyDescent="0.35">
      <c r="A103" s="10"/>
      <c r="B103" s="26" t="s">
        <v>126</v>
      </c>
      <c r="C103" s="26"/>
      <c r="D103" s="33">
        <f>+D99-D101</f>
        <v>354181.27999999991</v>
      </c>
      <c r="E103" s="13"/>
      <c r="F103" s="34">
        <f>IF(D$12=0,0,D103/D$12)</f>
        <v>0.27558152857249507</v>
      </c>
      <c r="G103" s="13"/>
      <c r="H103" s="33">
        <f>+H99-H101</f>
        <v>-49292.192325066018</v>
      </c>
      <c r="I103" s="13"/>
      <c r="J103" s="34">
        <f>IF(H$12=0,0,H103/H$12)</f>
        <v>-6.1126230561837823E-2</v>
      </c>
      <c r="K103" s="15"/>
      <c r="L103" s="33">
        <f>D103-H103</f>
        <v>403473.47232506593</v>
      </c>
      <c r="M103" s="15"/>
      <c r="N103" s="34">
        <f>IF(H103=0,0,L103/H103)</f>
        <v>-8.1853424100979169</v>
      </c>
      <c r="O103" s="25"/>
      <c r="P103" s="33">
        <f>+P99-P101</f>
        <v>731970.1600000012</v>
      </c>
      <c r="Q103" s="13"/>
      <c r="R103" s="34">
        <f>IF(P$12=0,0,P103/P$12)</f>
        <v>0.15160568135792604</v>
      </c>
      <c r="S103" s="13"/>
      <c r="T103" s="33">
        <f>+T99-T101</f>
        <v>-346683.26228786446</v>
      </c>
      <c r="U103" s="13"/>
      <c r="V103" s="34">
        <f>IF(T$12=0,0,T103/T$12)</f>
        <v>-9.5536613284795097E-2</v>
      </c>
      <c r="W103" s="15"/>
      <c r="X103" s="33">
        <f>P103-T103</f>
        <v>1078653.4222878655</v>
      </c>
      <c r="Y103" s="15"/>
      <c r="Z103" s="34">
        <f>IF(T103=0,0,X103/T103)</f>
        <v>-3.1113513100387813</v>
      </c>
    </row>
    <row r="104" spans="1:26" ht="15" thickTop="1" x14ac:dyDescent="0.3">
      <c r="A104" s="9"/>
      <c r="B104" s="9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x14ac:dyDescent="0.3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" thickBot="1" x14ac:dyDescent="0.35">
      <c r="A106" s="10"/>
      <c r="B106" s="26" t="s">
        <v>294</v>
      </c>
      <c r="C106" s="26"/>
      <c r="D106" s="35">
        <f>SUM(D103:D105)</f>
        <v>354181.27999999991</v>
      </c>
      <c r="E106" s="13"/>
      <c r="F106" s="32">
        <f>IF(D$12=0,0,D106/D$12)</f>
        <v>0.27558152857249507</v>
      </c>
      <c r="G106" s="13"/>
      <c r="H106" s="35">
        <f>SUM(H103:H105)</f>
        <v>-49292.192325066018</v>
      </c>
      <c r="I106" s="13"/>
      <c r="J106" s="32">
        <f>IF(H$12=0,0,H106/H$12)</f>
        <v>-6.1126230561837823E-2</v>
      </c>
      <c r="K106" s="15"/>
      <c r="L106" s="35">
        <f>+D106-H106</f>
        <v>403473.47232506593</v>
      </c>
      <c r="M106" s="15"/>
      <c r="N106" s="32">
        <f>IF(H106=0,0,L106/H106)</f>
        <v>-8.1853424100979169</v>
      </c>
      <c r="O106" s="25"/>
      <c r="P106" s="35">
        <f>SUM(P103:P105)</f>
        <v>731970.1600000012</v>
      </c>
      <c r="Q106" s="13"/>
      <c r="R106" s="32">
        <f>IF(P$12=0,0,P106/P$12)</f>
        <v>0.15160568135792604</v>
      </c>
      <c r="S106" s="13"/>
      <c r="T106" s="35">
        <f>SUM(T103:T105)</f>
        <v>-346683.26228786446</v>
      </c>
      <c r="U106" s="13"/>
      <c r="V106" s="32">
        <f>IF(T$12=0,0,T106/T$12)</f>
        <v>-9.5536613284795097E-2</v>
      </c>
      <c r="W106" s="15"/>
      <c r="X106" s="35">
        <f>+P106-T106</f>
        <v>1078653.4222878655</v>
      </c>
      <c r="Y106" s="15"/>
      <c r="Z106" s="32">
        <f>IF(T106=0,0,X106/T106)</f>
        <v>-3.1113513100387813</v>
      </c>
    </row>
    <row r="107" spans="1:26" ht="15" thickTop="1" x14ac:dyDescent="0.3">
      <c r="A107" s="9"/>
      <c r="C107" s="9"/>
      <c r="D107" s="17"/>
      <c r="E107" s="17"/>
      <c r="G107" s="17"/>
      <c r="H107" s="17"/>
      <c r="I107" s="17"/>
      <c r="J107" s="42"/>
      <c r="K107" s="17"/>
      <c r="L107" s="17"/>
      <c r="M107" s="17"/>
      <c r="P107" s="17"/>
      <c r="Q107" s="17"/>
      <c r="R107" s="42"/>
      <c r="S107" s="17"/>
      <c r="T107" s="17"/>
      <c r="U107" s="17"/>
      <c r="V107" s="42"/>
      <c r="W107" s="17"/>
      <c r="X107" s="17"/>
    </row>
    <row r="108" spans="1:26" x14ac:dyDescent="0.3">
      <c r="A108" s="9"/>
      <c r="B108" s="60">
        <v>44543.75306693287</v>
      </c>
      <c r="D108" s="17"/>
      <c r="E108" s="17"/>
      <c r="G108" s="17"/>
      <c r="H108" s="17"/>
      <c r="I108" s="17"/>
      <c r="J108" s="42"/>
      <c r="K108" s="17"/>
      <c r="L108" s="17"/>
      <c r="M108" s="17"/>
      <c r="P108" s="17"/>
      <c r="Q108" s="17"/>
      <c r="R108" s="42"/>
      <c r="S108" s="17"/>
      <c r="T108" s="17"/>
      <c r="U108" s="17"/>
      <c r="V108" s="42"/>
      <c r="W108" s="17"/>
      <c r="X108" s="17"/>
    </row>
    <row r="109" spans="1:26" x14ac:dyDescent="0.3">
      <c r="A109" s="9"/>
      <c r="B109" s="58" t="s">
        <v>56</v>
      </c>
      <c r="D109" s="17"/>
      <c r="E109" s="17"/>
      <c r="G109" s="17"/>
      <c r="H109" s="17"/>
      <c r="I109" s="17"/>
      <c r="J109" s="42"/>
      <c r="K109" s="17"/>
      <c r="L109" s="17"/>
      <c r="M109" s="17"/>
      <c r="P109" s="17"/>
      <c r="Q109" s="17"/>
      <c r="R109" s="42"/>
      <c r="S109" s="17"/>
      <c r="T109" s="17"/>
      <c r="U109" s="17"/>
      <c r="V109" s="42"/>
      <c r="W109" s="17"/>
      <c r="X109" s="17"/>
    </row>
    <row r="110" spans="1:26" x14ac:dyDescent="0.3">
      <c r="A110" s="9"/>
      <c r="B110" s="55"/>
      <c r="D110" s="17"/>
      <c r="E110" s="17"/>
      <c r="G110" s="17"/>
      <c r="H110" s="17"/>
      <c r="I110" s="17"/>
      <c r="J110" s="42"/>
      <c r="K110" s="17"/>
      <c r="L110" s="17"/>
      <c r="M110" s="17"/>
      <c r="P110" s="17"/>
      <c r="Q110" s="17"/>
      <c r="R110" s="42"/>
      <c r="S110" s="17"/>
      <c r="T110" s="17"/>
      <c r="U110" s="17"/>
      <c r="V110" s="42"/>
      <c r="W110" s="17"/>
      <c r="X110" s="17"/>
    </row>
    <row r="111" spans="1:26" x14ac:dyDescent="0.3">
      <c r="D111" s="17"/>
      <c r="E111" s="17"/>
      <c r="G111" s="17"/>
      <c r="H111" s="17"/>
      <c r="I111" s="17"/>
      <c r="J111" s="42"/>
      <c r="K111" s="17"/>
      <c r="L111" s="17"/>
      <c r="M111" s="17"/>
      <c r="P111" s="17"/>
      <c r="Q111" s="17"/>
      <c r="R111" s="42"/>
      <c r="S111" s="17"/>
      <c r="T111" s="17"/>
      <c r="U111" s="17"/>
      <c r="V111" s="42"/>
      <c r="W111" s="17"/>
      <c r="X111" s="17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rgb="FF92D050"/>
    <outlinePr summaryBelow="0" summaryRight="0"/>
  </sheetPr>
  <dimension ref="A2:Z7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","430", " - ", "Res Hall Management")</f>
        <v>Department 430 - Res Hall Management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5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1">
        <f>SUM(OSRRefD22x_0)</f>
        <v>17012.580000000002</v>
      </c>
      <c r="E18" s="21"/>
      <c r="F18" s="30">
        <f t="shared" ref="F18:F28" si="0">IF(D$12=0,0,D18/D$12)</f>
        <v>0</v>
      </c>
      <c r="G18" s="21"/>
      <c r="H18" s="21">
        <f>SUM(OSRRefH22x_0)</f>
        <v>17174.263740000002</v>
      </c>
      <c r="I18" s="21"/>
      <c r="J18" s="30">
        <f t="shared" ref="J18:J28" si="1">IF(H$12=0,0,H18/H$12)</f>
        <v>0</v>
      </c>
      <c r="K18" s="4"/>
      <c r="L18" s="21">
        <f t="shared" ref="L18:L28" si="2">+D18-H18</f>
        <v>-161.6837400000004</v>
      </c>
      <c r="M18" s="4"/>
      <c r="N18" s="30">
        <f t="shared" ref="N18:N28" si="3">IF(H18=0,0,L18/H18)</f>
        <v>-9.4143040102166488E-3</v>
      </c>
      <c r="O18" s="10"/>
      <c r="P18" s="21">
        <f>SUM(OSRRefP22x_0)</f>
        <v>96079.510000000009</v>
      </c>
      <c r="Q18" s="21"/>
      <c r="R18" s="30">
        <f t="shared" ref="R18:R28" si="4">IF(P$12=0,0,P18/P$12)</f>
        <v>0</v>
      </c>
      <c r="S18" s="21"/>
      <c r="T18" s="21">
        <f>SUM(OSRRefT22x_0)</f>
        <v>91257.450570000001</v>
      </c>
      <c r="U18" s="21"/>
      <c r="V18" s="30">
        <f t="shared" ref="V18:V28" si="5">IF(T$12=0,0,T18/T$12)</f>
        <v>0</v>
      </c>
      <c r="W18" s="4"/>
      <c r="X18" s="21">
        <f t="shared" ref="X18:X28" si="6">+P18-T18</f>
        <v>4822.0594300000084</v>
      </c>
      <c r="Y18" s="4"/>
      <c r="Z18" s="30">
        <f t="shared" ref="Z18:Z28" si="7">IF(T18=0,0,X18/T18)</f>
        <v>5.2840172499682057E-2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5517.35</v>
      </c>
      <c r="E19" s="1"/>
      <c r="F19" s="5">
        <f t="shared" si="0"/>
        <v>0</v>
      </c>
      <c r="G19" s="1"/>
      <c r="H19" s="1">
        <f>SUM(OSRRefH22_0x_0)</f>
        <v>4239.16374</v>
      </c>
      <c r="I19" s="1"/>
      <c r="J19" s="5">
        <f t="shared" si="1"/>
        <v>0</v>
      </c>
      <c r="K19" s="1"/>
      <c r="L19" s="1">
        <f t="shared" si="2"/>
        <v>1278.1862600000004</v>
      </c>
      <c r="M19" s="1"/>
      <c r="N19" s="5">
        <f t="shared" si="3"/>
        <v>0.30151849241850714</v>
      </c>
      <c r="O19" s="14"/>
      <c r="P19" s="1">
        <f>SUM(OSRRefP22_0x_0)</f>
        <v>29913.920000000002</v>
      </c>
      <c r="Q19" s="1"/>
      <c r="R19" s="5">
        <f t="shared" si="4"/>
        <v>0</v>
      </c>
      <c r="S19" s="1"/>
      <c r="T19" s="1">
        <f>SUM(OSRRefT22_0x_0)</f>
        <v>22326.900570000002</v>
      </c>
      <c r="U19" s="1"/>
      <c r="V19" s="5">
        <f t="shared" si="5"/>
        <v>0</v>
      </c>
      <c r="W19" s="1"/>
      <c r="X19" s="1">
        <f t="shared" si="6"/>
        <v>7587.0194300000003</v>
      </c>
      <c r="Y19" s="1"/>
      <c r="Z19" s="5">
        <f t="shared" si="7"/>
        <v>0.33981516629291819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6">
        <v>718.56</v>
      </c>
      <c r="E20" s="2"/>
      <c r="F20" s="7">
        <f t="shared" si="0"/>
        <v>0</v>
      </c>
      <c r="G20" s="2"/>
      <c r="H20" s="6">
        <v>685.55574000000001</v>
      </c>
      <c r="I20" s="2"/>
      <c r="J20" s="7">
        <f t="shared" si="1"/>
        <v>0</v>
      </c>
      <c r="K20" s="2"/>
      <c r="L20" s="6">
        <f t="shared" si="2"/>
        <v>33.004259999999931</v>
      </c>
      <c r="M20" s="2"/>
      <c r="N20" s="7">
        <f t="shared" si="3"/>
        <v>4.8142343611622201E-2</v>
      </c>
      <c r="O20" s="11"/>
      <c r="P20" s="6">
        <v>3825.87</v>
      </c>
      <c r="Q20" s="2"/>
      <c r="R20" s="7">
        <f t="shared" si="4"/>
        <v>0</v>
      </c>
      <c r="S20" s="2"/>
      <c r="T20" s="6">
        <v>3770.5565700000002</v>
      </c>
      <c r="U20" s="2"/>
      <c r="V20" s="7">
        <f t="shared" si="5"/>
        <v>0</v>
      </c>
      <c r="W20" s="2"/>
      <c r="X20" s="6">
        <f t="shared" si="6"/>
        <v>55.313429999999698</v>
      </c>
      <c r="Y20" s="2"/>
      <c r="Z20" s="7">
        <f t="shared" si="7"/>
        <v>1.4669831621170902E-2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338.15</v>
      </c>
      <c r="E21" s="2"/>
      <c r="F21" s="7">
        <f t="shared" si="0"/>
        <v>0</v>
      </c>
      <c r="G21" s="2"/>
      <c r="H21" s="6">
        <v>339.50819999999999</v>
      </c>
      <c r="I21" s="2"/>
      <c r="J21" s="7">
        <f t="shared" si="1"/>
        <v>0</v>
      </c>
      <c r="K21" s="2"/>
      <c r="L21" s="6">
        <f t="shared" si="2"/>
        <v>-1.3582000000000107</v>
      </c>
      <c r="M21" s="2"/>
      <c r="N21" s="7">
        <f t="shared" si="3"/>
        <v>-4.0004924770594957E-3</v>
      </c>
      <c r="O21" s="11"/>
      <c r="P21" s="6">
        <v>1800.39</v>
      </c>
      <c r="Q21" s="2"/>
      <c r="R21" s="7">
        <f t="shared" si="4"/>
        <v>0</v>
      </c>
      <c r="S21" s="2"/>
      <c r="T21" s="6">
        <v>1867.2951</v>
      </c>
      <c r="U21" s="2"/>
      <c r="V21" s="7">
        <f t="shared" si="5"/>
        <v>0</v>
      </c>
      <c r="W21" s="2"/>
      <c r="X21" s="6">
        <f t="shared" si="6"/>
        <v>-66.905099999999948</v>
      </c>
      <c r="Y21" s="2"/>
      <c r="Z21" s="7">
        <f t="shared" si="7"/>
        <v>-3.5829955318792378E-2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6">
        <v>2687.98</v>
      </c>
      <c r="E22" s="2"/>
      <c r="F22" s="7">
        <f t="shared" si="0"/>
        <v>0</v>
      </c>
      <c r="G22" s="2"/>
      <c r="H22" s="6">
        <v>1977</v>
      </c>
      <c r="I22" s="2"/>
      <c r="J22" s="7">
        <f t="shared" si="1"/>
        <v>0</v>
      </c>
      <c r="K22" s="2"/>
      <c r="L22" s="6">
        <f t="shared" si="2"/>
        <v>710.98</v>
      </c>
      <c r="M22" s="2"/>
      <c r="N22" s="7">
        <f t="shared" si="3"/>
        <v>0.35962569549822965</v>
      </c>
      <c r="O22" s="11"/>
      <c r="P22" s="6">
        <v>13451.15</v>
      </c>
      <c r="Q22" s="2"/>
      <c r="R22" s="7">
        <f t="shared" si="4"/>
        <v>0</v>
      </c>
      <c r="S22" s="2"/>
      <c r="T22" s="6">
        <v>9885</v>
      </c>
      <c r="U22" s="2"/>
      <c r="V22" s="7">
        <f t="shared" si="5"/>
        <v>0</v>
      </c>
      <c r="W22" s="2"/>
      <c r="X22" s="6">
        <f t="shared" si="6"/>
        <v>3566.1499999999996</v>
      </c>
      <c r="Y22" s="2"/>
      <c r="Z22" s="7">
        <f t="shared" si="7"/>
        <v>0.3607637835103692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24.42</v>
      </c>
      <c r="E23" s="2"/>
      <c r="F23" s="7">
        <f t="shared" si="0"/>
        <v>0</v>
      </c>
      <c r="G23" s="2"/>
      <c r="H23" s="6">
        <v>18.811800000000002</v>
      </c>
      <c r="I23" s="2"/>
      <c r="J23" s="7">
        <f t="shared" si="1"/>
        <v>0</v>
      </c>
      <c r="K23" s="2"/>
      <c r="L23" s="6">
        <f t="shared" si="2"/>
        <v>5.6082000000000001</v>
      </c>
      <c r="M23" s="2"/>
      <c r="N23" s="7">
        <f t="shared" si="3"/>
        <v>0.2981213918923229</v>
      </c>
      <c r="O23" s="11"/>
      <c r="P23" s="6">
        <v>130.02000000000001</v>
      </c>
      <c r="Q23" s="2"/>
      <c r="R23" s="7">
        <f t="shared" si="4"/>
        <v>0</v>
      </c>
      <c r="S23" s="2"/>
      <c r="T23" s="6">
        <v>103.4649</v>
      </c>
      <c r="U23" s="2"/>
      <c r="V23" s="7">
        <f t="shared" si="5"/>
        <v>0</v>
      </c>
      <c r="W23" s="2"/>
      <c r="X23" s="6">
        <f t="shared" si="6"/>
        <v>26.55510000000001</v>
      </c>
      <c r="Y23" s="2"/>
      <c r="Z23" s="7">
        <f t="shared" si="7"/>
        <v>0.25665805505055345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6">
        <v>707.23</v>
      </c>
      <c r="E24" s="2"/>
      <c r="F24" s="7">
        <f t="shared" si="0"/>
        <v>0</v>
      </c>
      <c r="G24" s="2"/>
      <c r="H24" s="6">
        <v>770.38800000000003</v>
      </c>
      <c r="I24" s="2"/>
      <c r="J24" s="7">
        <f t="shared" si="1"/>
        <v>0</v>
      </c>
      <c r="K24" s="2"/>
      <c r="L24" s="6">
        <f t="shared" si="2"/>
        <v>-63.158000000000015</v>
      </c>
      <c r="M24" s="2"/>
      <c r="N24" s="7">
        <f t="shared" si="3"/>
        <v>-8.1982066179639365E-2</v>
      </c>
      <c r="O24" s="11"/>
      <c r="P24" s="6">
        <v>3767.36</v>
      </c>
      <c r="Q24" s="2"/>
      <c r="R24" s="7">
        <f t="shared" si="4"/>
        <v>0</v>
      </c>
      <c r="S24" s="2"/>
      <c r="T24" s="6">
        <v>4237.134</v>
      </c>
      <c r="U24" s="2"/>
      <c r="V24" s="7">
        <f t="shared" si="5"/>
        <v>0</v>
      </c>
      <c r="W24" s="2"/>
      <c r="X24" s="6">
        <f t="shared" si="6"/>
        <v>-469.77399999999989</v>
      </c>
      <c r="Y24" s="2"/>
      <c r="Z24" s="7">
        <f t="shared" si="7"/>
        <v>-0.11087069703247522</v>
      </c>
    </row>
    <row r="25" spans="1:26" s="24" customFormat="1" hidden="1" outlineLevel="2" x14ac:dyDescent="0.3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3">
      <c r="A26" s="27"/>
      <c r="B26" s="11" t="str">
        <f>CONCATENATE("          ", "6118", " - ", "VACATION")</f>
        <v xml:space="preserve">          6118 - VACATION</v>
      </c>
      <c r="C26" s="11"/>
      <c r="D26" s="6">
        <v>497.34</v>
      </c>
      <c r="E26" s="2"/>
      <c r="F26" s="7">
        <f t="shared" si="0"/>
        <v>0</v>
      </c>
      <c r="G26" s="2"/>
      <c r="H26" s="6">
        <v>268.74</v>
      </c>
      <c r="I26" s="2"/>
      <c r="J26" s="7">
        <f t="shared" si="1"/>
        <v>0</v>
      </c>
      <c r="K26" s="2"/>
      <c r="L26" s="6">
        <f t="shared" si="2"/>
        <v>228.59999999999997</v>
      </c>
      <c r="M26" s="2"/>
      <c r="N26" s="7">
        <f t="shared" si="3"/>
        <v>0.85063630274614854</v>
      </c>
      <c r="O26" s="11"/>
      <c r="P26" s="6">
        <v>4221.72</v>
      </c>
      <c r="Q26" s="2"/>
      <c r="R26" s="7">
        <f t="shared" si="4"/>
        <v>0</v>
      </c>
      <c r="S26" s="2"/>
      <c r="T26" s="6">
        <v>1478.07</v>
      </c>
      <c r="U26" s="2"/>
      <c r="V26" s="7">
        <f t="shared" si="5"/>
        <v>0</v>
      </c>
      <c r="W26" s="2"/>
      <c r="X26" s="6">
        <f t="shared" si="6"/>
        <v>2743.6500000000005</v>
      </c>
      <c r="Y26" s="2"/>
      <c r="Z26" s="7">
        <f t="shared" si="7"/>
        <v>1.8562382025208553</v>
      </c>
    </row>
    <row r="27" spans="1:26" s="24" customFormat="1" hidden="1" outlineLevel="2" x14ac:dyDescent="0.3">
      <c r="A27" s="27"/>
      <c r="B27" s="11" t="str">
        <f>CONCATENATE("          ", "6119", " - ", "SICK LEAVE")</f>
        <v xml:space="preserve">          6119 - SICK LEAVE</v>
      </c>
      <c r="C27" s="11"/>
      <c r="D27" s="6">
        <v>429.78</v>
      </c>
      <c r="E27" s="2"/>
      <c r="F27" s="7">
        <f t="shared" si="0"/>
        <v>0</v>
      </c>
      <c r="G27" s="2"/>
      <c r="H27" s="6">
        <v>179.16</v>
      </c>
      <c r="I27" s="2"/>
      <c r="J27" s="7">
        <f t="shared" si="1"/>
        <v>0</v>
      </c>
      <c r="K27" s="2"/>
      <c r="L27" s="6">
        <f t="shared" si="2"/>
        <v>250.61999999999998</v>
      </c>
      <c r="M27" s="2"/>
      <c r="N27" s="7">
        <f t="shared" si="3"/>
        <v>1.398861352980576</v>
      </c>
      <c r="O27" s="11"/>
      <c r="P27" s="6">
        <v>2289.4499999999998</v>
      </c>
      <c r="Q27" s="2"/>
      <c r="R27" s="7">
        <f t="shared" si="4"/>
        <v>0</v>
      </c>
      <c r="S27" s="2"/>
      <c r="T27" s="6">
        <v>985.38</v>
      </c>
      <c r="U27" s="2"/>
      <c r="V27" s="7">
        <f t="shared" si="5"/>
        <v>0</v>
      </c>
      <c r="W27" s="2"/>
      <c r="X27" s="6">
        <f t="shared" si="6"/>
        <v>1304.0699999999997</v>
      </c>
      <c r="Y27" s="2"/>
      <c r="Z27" s="7">
        <f t="shared" si="7"/>
        <v>1.3234183766668692</v>
      </c>
    </row>
    <row r="28" spans="1:26" s="24" customFormat="1" hidden="1" outlineLevel="2" x14ac:dyDescent="0.3">
      <c r="A28" s="27"/>
      <c r="B28" s="11" t="str">
        <f>CONCATENATE("          ", "6156", " - ", "EMPLOYEE MEALS")</f>
        <v xml:space="preserve">          6156 - EMPLOYEE MEALS</v>
      </c>
      <c r="C28" s="11"/>
      <c r="D28" s="6">
        <v>113.89</v>
      </c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113.89</v>
      </c>
      <c r="M28" s="2"/>
      <c r="N28" s="7">
        <f t="shared" si="3"/>
        <v>0</v>
      </c>
      <c r="O28" s="11"/>
      <c r="P28" s="6">
        <v>427.96</v>
      </c>
      <c r="Q28" s="2"/>
      <c r="R28" s="7">
        <f t="shared" si="4"/>
        <v>0</v>
      </c>
      <c r="S28" s="2"/>
      <c r="T28" s="6"/>
      <c r="U28" s="2"/>
      <c r="V28" s="7">
        <f t="shared" si="5"/>
        <v>0</v>
      </c>
      <c r="W28" s="2"/>
      <c r="X28" s="6">
        <f t="shared" si="6"/>
        <v>427.96</v>
      </c>
      <c r="Y28" s="2"/>
      <c r="Z28" s="7">
        <f t="shared" si="7"/>
        <v>0</v>
      </c>
    </row>
    <row r="29" spans="1:26" s="29" customFormat="1" outlineLevel="1" collapsed="1" x14ac:dyDescent="0.3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7920.23</v>
      </c>
      <c r="E29" s="1"/>
      <c r="F29" s="5">
        <f t="shared" ref="F29:F39" si="8">IF(D$12=0,0,D29/D$12)</f>
        <v>0</v>
      </c>
      <c r="G29" s="1"/>
      <c r="H29" s="1">
        <f>SUM(OSRRefH22_1x_0)</f>
        <v>8510.1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-589.8700000000008</v>
      </c>
      <c r="M29" s="1"/>
      <c r="N29" s="5">
        <f t="shared" ref="N29:N39" si="11">IF(H29=0,0,L29/H29)</f>
        <v>-6.9314109117401768E-2</v>
      </c>
      <c r="O29" s="14"/>
      <c r="P29" s="1">
        <f>SUM(OSRRefP22_1x_0)</f>
        <v>46894.18</v>
      </c>
      <c r="Q29" s="1"/>
      <c r="R29" s="5">
        <f t="shared" ref="R29:R39" si="12">IF(P$12=0,0,P29/P$12)</f>
        <v>0</v>
      </c>
      <c r="S29" s="1"/>
      <c r="T29" s="1">
        <f>SUM(OSRRefT22_1x_0)</f>
        <v>46805.55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88.629999999997381</v>
      </c>
      <c r="Y29" s="1"/>
      <c r="Z29" s="5">
        <f t="shared" ref="Z29:Z39" si="15">IF(T29=0,0,X29/T29)</f>
        <v>1.8935788597719155E-3</v>
      </c>
    </row>
    <row r="30" spans="1:26" s="24" customFormat="1" hidden="1" outlineLevel="2" x14ac:dyDescent="0.3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>
        <v>7920.23</v>
      </c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7920.23</v>
      </c>
      <c r="M30" s="2"/>
      <c r="N30" s="7">
        <f t="shared" si="11"/>
        <v>0</v>
      </c>
      <c r="O30" s="11"/>
      <c r="P30" s="6">
        <v>46894.18</v>
      </c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46894.18</v>
      </c>
      <c r="Y30" s="2"/>
      <c r="Z30" s="7">
        <f t="shared" si="15"/>
        <v>0</v>
      </c>
    </row>
    <row r="31" spans="1:26" s="24" customFormat="1" hidden="1" outlineLevel="2" x14ac:dyDescent="0.3">
      <c r="A31" s="27"/>
      <c r="B31" s="11" t="str">
        <f>CONCATENATE("          ", "6002", " - ", "STAFF SALARIES")</f>
        <v xml:space="preserve">          6002 - STAFF SALARIES</v>
      </c>
      <c r="C31" s="11"/>
      <c r="D31" s="6"/>
      <c r="E31" s="2"/>
      <c r="F31" s="7">
        <f t="shared" si="8"/>
        <v>0</v>
      </c>
      <c r="G31" s="2"/>
      <c r="H31" s="6">
        <v>8510.1</v>
      </c>
      <c r="I31" s="2"/>
      <c r="J31" s="7">
        <f t="shared" si="9"/>
        <v>0</v>
      </c>
      <c r="K31" s="2"/>
      <c r="L31" s="6">
        <f t="shared" si="10"/>
        <v>-8510.1</v>
      </c>
      <c r="M31" s="2"/>
      <c r="N31" s="7">
        <f t="shared" si="11"/>
        <v>-1</v>
      </c>
      <c r="O31" s="11"/>
      <c r="P31" s="6"/>
      <c r="Q31" s="2"/>
      <c r="R31" s="7">
        <f t="shared" si="12"/>
        <v>0</v>
      </c>
      <c r="S31" s="2"/>
      <c r="T31" s="6">
        <v>46805.55</v>
      </c>
      <c r="U31" s="2"/>
      <c r="V31" s="7">
        <f t="shared" si="13"/>
        <v>0</v>
      </c>
      <c r="W31" s="2"/>
      <c r="X31" s="6">
        <f t="shared" si="14"/>
        <v>-46805.55</v>
      </c>
      <c r="Y31" s="2"/>
      <c r="Z31" s="7">
        <f t="shared" si="15"/>
        <v>-1</v>
      </c>
    </row>
    <row r="32" spans="1:26" s="24" customFormat="1" hidden="1" outlineLevel="2" x14ac:dyDescent="0.3">
      <c r="A32" s="27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3">
      <c r="A33" s="27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3">
      <c r="A34" s="27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3">
      <c r="A35" s="27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3">
      <c r="A36" s="27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3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3">
      <c r="A38" s="27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3">
      <c r="A39" s="27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9" customFormat="1" outlineLevel="1" collapsed="1" x14ac:dyDescent="0.3">
      <c r="A40" s="28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0</v>
      </c>
      <c r="E40" s="1"/>
      <c r="F40" s="5">
        <f t="shared" ref="F40:F48" si="16">IF(D$12=0,0,D40/D$12)</f>
        <v>0</v>
      </c>
      <c r="G40" s="1"/>
      <c r="H40" s="1">
        <f>SUM(OSRRefH22_2x_0)</f>
        <v>0</v>
      </c>
      <c r="I40" s="1"/>
      <c r="J40" s="5">
        <f t="shared" ref="J40:J48" si="17">IF(H$12=0,0,H40/H$12)</f>
        <v>0</v>
      </c>
      <c r="K40" s="1"/>
      <c r="L40" s="1">
        <f t="shared" ref="L40:L48" si="18">+D40-H40</f>
        <v>0</v>
      </c>
      <c r="M40" s="1"/>
      <c r="N40" s="5">
        <f t="shared" ref="N40:N48" si="19">IF(H40=0,0,L40/H40)</f>
        <v>0</v>
      </c>
      <c r="O40" s="14"/>
      <c r="P40" s="1">
        <f>SUM(OSRRefP22_2x_0)</f>
        <v>45</v>
      </c>
      <c r="Q40" s="1"/>
      <c r="R40" s="5">
        <f t="shared" ref="R40:R48" si="20">IF(P$12=0,0,P40/P$12)</f>
        <v>0</v>
      </c>
      <c r="S40" s="1"/>
      <c r="T40" s="1">
        <f>SUM(OSRRefT22_2x_0)</f>
        <v>0</v>
      </c>
      <c r="U40" s="1"/>
      <c r="V40" s="5">
        <f t="shared" ref="V40:V48" si="21">IF(T$12=0,0,T40/T$12)</f>
        <v>0</v>
      </c>
      <c r="W40" s="1"/>
      <c r="X40" s="1">
        <f t="shared" ref="X40:X48" si="22">+P40-T40</f>
        <v>45</v>
      </c>
      <c r="Y40" s="1"/>
      <c r="Z40" s="5">
        <f t="shared" ref="Z40:Z48" si="23">IF(T40=0,0,X40/T40)</f>
        <v>0</v>
      </c>
    </row>
    <row r="41" spans="1:26" s="24" customFormat="1" hidden="1" outlineLevel="2" x14ac:dyDescent="0.3">
      <c r="A41" s="27"/>
      <c r="B41" s="11" t="str">
        <f>CONCATENATE("          ", "6362", " - ", "ADVERTISING EXPENSE")</f>
        <v xml:space="preserve">          6362 - ADVERTISING EXPENSE</v>
      </c>
      <c r="C41" s="11"/>
      <c r="D41" s="6"/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1"/>
      <c r="P41" s="6">
        <v>45</v>
      </c>
      <c r="Q41" s="2"/>
      <c r="R41" s="7">
        <f t="shared" si="20"/>
        <v>0</v>
      </c>
      <c r="S41" s="2"/>
      <c r="T41" s="6"/>
      <c r="U41" s="2"/>
      <c r="V41" s="7">
        <f t="shared" si="21"/>
        <v>0</v>
      </c>
      <c r="W41" s="2"/>
      <c r="X41" s="6">
        <f t="shared" si="22"/>
        <v>45</v>
      </c>
      <c r="Y41" s="2"/>
      <c r="Z41" s="7">
        <f t="shared" si="23"/>
        <v>0</v>
      </c>
    </row>
    <row r="42" spans="1:26" s="29" customFormat="1" outlineLevel="1" collapsed="1" x14ac:dyDescent="0.3">
      <c r="A42" s="28"/>
      <c r="B42" s="14" t="str">
        <f>CONCATENATE("     ","General                                           ")</f>
        <v xml:space="preserve">     General                                           </v>
      </c>
      <c r="C42" s="14"/>
      <c r="D42" s="1">
        <f>SUM(OSRRefD22_3x_0)</f>
        <v>0</v>
      </c>
      <c r="E42" s="1"/>
      <c r="F42" s="5">
        <f t="shared" si="16"/>
        <v>0</v>
      </c>
      <c r="G42" s="1"/>
      <c r="H42" s="1">
        <f>SUM(OSRRefH22_3x_0)</f>
        <v>200</v>
      </c>
      <c r="I42" s="1"/>
      <c r="J42" s="5">
        <f t="shared" si="17"/>
        <v>0</v>
      </c>
      <c r="K42" s="1"/>
      <c r="L42" s="1">
        <f t="shared" si="18"/>
        <v>-200</v>
      </c>
      <c r="M42" s="1"/>
      <c r="N42" s="5">
        <f t="shared" si="19"/>
        <v>-1</v>
      </c>
      <c r="O42" s="14"/>
      <c r="P42" s="1">
        <f>SUM(OSRRefP22_3x_0)</f>
        <v>170</v>
      </c>
      <c r="Q42" s="1"/>
      <c r="R42" s="5">
        <f t="shared" si="20"/>
        <v>0</v>
      </c>
      <c r="S42" s="1"/>
      <c r="T42" s="1">
        <f>SUM(OSRRefT22_3x_0)</f>
        <v>1000</v>
      </c>
      <c r="U42" s="1"/>
      <c r="V42" s="5">
        <f t="shared" si="21"/>
        <v>0</v>
      </c>
      <c r="W42" s="1"/>
      <c r="X42" s="1">
        <f t="shared" si="22"/>
        <v>-830</v>
      </c>
      <c r="Y42" s="1"/>
      <c r="Z42" s="5">
        <f t="shared" si="23"/>
        <v>-0.83</v>
      </c>
    </row>
    <row r="43" spans="1:26" s="24" customFormat="1" hidden="1" outlineLevel="2" x14ac:dyDescent="0.3">
      <c r="A43" s="27"/>
      <c r="B43" s="11" t="str">
        <f>CONCATENATE("          ", "6279", " - ", "GENERAL EXPENSE")</f>
        <v xml:space="preserve">          6279 - GENERAL EXPENSE</v>
      </c>
      <c r="C43" s="11"/>
      <c r="D43" s="6"/>
      <c r="E43" s="2"/>
      <c r="F43" s="7">
        <f t="shared" si="16"/>
        <v>0</v>
      </c>
      <c r="G43" s="2"/>
      <c r="H43" s="6">
        <v>200</v>
      </c>
      <c r="I43" s="2"/>
      <c r="J43" s="7">
        <f t="shared" si="17"/>
        <v>0</v>
      </c>
      <c r="K43" s="2"/>
      <c r="L43" s="6">
        <f t="shared" si="18"/>
        <v>-200</v>
      </c>
      <c r="M43" s="2"/>
      <c r="N43" s="7">
        <f t="shared" si="19"/>
        <v>-1</v>
      </c>
      <c r="O43" s="11"/>
      <c r="P43" s="6">
        <v>170</v>
      </c>
      <c r="Q43" s="2"/>
      <c r="R43" s="7">
        <f t="shared" si="20"/>
        <v>0</v>
      </c>
      <c r="S43" s="2"/>
      <c r="T43" s="6">
        <v>1000</v>
      </c>
      <c r="U43" s="2"/>
      <c r="V43" s="7">
        <f t="shared" si="21"/>
        <v>0</v>
      </c>
      <c r="W43" s="2"/>
      <c r="X43" s="6">
        <f t="shared" si="22"/>
        <v>-830</v>
      </c>
      <c r="Y43" s="2"/>
      <c r="Z43" s="7">
        <f t="shared" si="23"/>
        <v>-0.83</v>
      </c>
    </row>
    <row r="44" spans="1:26" s="29" customFormat="1" outlineLevel="1" collapsed="1" x14ac:dyDescent="0.3">
      <c r="A44" s="28"/>
      <c r="B44" s="14" t="str">
        <f>CONCATENATE("     ","Repair and Maintenance                            ")</f>
        <v xml:space="preserve">     Repair and Maintenance                            </v>
      </c>
      <c r="C44" s="14"/>
      <c r="D44" s="1">
        <f>SUM(OSRRefD22_4x_0)</f>
        <v>3500</v>
      </c>
      <c r="E44" s="1"/>
      <c r="F44" s="5">
        <f t="shared" si="16"/>
        <v>0</v>
      </c>
      <c r="G44" s="1"/>
      <c r="H44" s="1">
        <f>SUM(OSRRefH22_4x_0)</f>
        <v>3500</v>
      </c>
      <c r="I44" s="1"/>
      <c r="J44" s="5">
        <f t="shared" si="17"/>
        <v>0</v>
      </c>
      <c r="K44" s="1"/>
      <c r="L44" s="1">
        <f t="shared" si="18"/>
        <v>0</v>
      </c>
      <c r="M44" s="1"/>
      <c r="N44" s="5">
        <f t="shared" si="19"/>
        <v>0</v>
      </c>
      <c r="O44" s="14"/>
      <c r="P44" s="1">
        <f>SUM(OSRRefP22_4x_0)</f>
        <v>17500</v>
      </c>
      <c r="Q44" s="1"/>
      <c r="R44" s="5">
        <f t="shared" si="20"/>
        <v>0</v>
      </c>
      <c r="S44" s="1"/>
      <c r="T44" s="1">
        <f>SUM(OSRRefT22_4x_0)</f>
        <v>17500</v>
      </c>
      <c r="U44" s="1"/>
      <c r="V44" s="5">
        <f t="shared" si="21"/>
        <v>0</v>
      </c>
      <c r="W44" s="1"/>
      <c r="X44" s="1">
        <f t="shared" si="22"/>
        <v>0</v>
      </c>
      <c r="Y44" s="1"/>
      <c r="Z44" s="5">
        <f t="shared" si="23"/>
        <v>0</v>
      </c>
    </row>
    <row r="45" spans="1:26" s="24" customFormat="1" hidden="1" outlineLevel="2" x14ac:dyDescent="0.3">
      <c r="A45" s="27"/>
      <c r="B45" s="11" t="str">
        <f>CONCATENATE("          ", "6371", " - ", "COMPUTER SOFTWARE MAINTENANCE")</f>
        <v xml:space="preserve">          6371 - COMPUTER SOFTWARE MAINTENANCE</v>
      </c>
      <c r="C45" s="11"/>
      <c r="D45" s="6">
        <v>3500</v>
      </c>
      <c r="E45" s="2"/>
      <c r="F45" s="7">
        <f t="shared" si="16"/>
        <v>0</v>
      </c>
      <c r="G45" s="2"/>
      <c r="H45" s="6">
        <v>3500</v>
      </c>
      <c r="I45" s="2"/>
      <c r="J45" s="7">
        <f t="shared" si="17"/>
        <v>0</v>
      </c>
      <c r="K45" s="2"/>
      <c r="L45" s="6">
        <f t="shared" si="18"/>
        <v>0</v>
      </c>
      <c r="M45" s="2"/>
      <c r="N45" s="7">
        <f t="shared" si="19"/>
        <v>0</v>
      </c>
      <c r="O45" s="11"/>
      <c r="P45" s="6">
        <v>17500</v>
      </c>
      <c r="Q45" s="2"/>
      <c r="R45" s="7">
        <f t="shared" si="20"/>
        <v>0</v>
      </c>
      <c r="S45" s="2"/>
      <c r="T45" s="6">
        <v>17500</v>
      </c>
      <c r="U45" s="2"/>
      <c r="V45" s="7">
        <f t="shared" si="21"/>
        <v>0</v>
      </c>
      <c r="W45" s="2"/>
      <c r="X45" s="6">
        <f t="shared" si="22"/>
        <v>0</v>
      </c>
      <c r="Y45" s="2"/>
      <c r="Z45" s="7">
        <f t="shared" si="23"/>
        <v>0</v>
      </c>
    </row>
    <row r="46" spans="1:26" s="29" customFormat="1" outlineLevel="1" collapsed="1" x14ac:dyDescent="0.3">
      <c r="A46" s="28"/>
      <c r="B46" s="14" t="str">
        <f>CONCATENATE("     ","Supplies                                          ")</f>
        <v xml:space="preserve">     Supplies                                          </v>
      </c>
      <c r="C46" s="14"/>
      <c r="D46" s="1">
        <f>SUM(OSRRefD22_5x_0)</f>
        <v>0</v>
      </c>
      <c r="E46" s="1"/>
      <c r="F46" s="5">
        <f t="shared" si="16"/>
        <v>0</v>
      </c>
      <c r="G46" s="1"/>
      <c r="H46" s="1">
        <f>SUM(OSRRefH22_5x_0)</f>
        <v>342</v>
      </c>
      <c r="I46" s="1"/>
      <c r="J46" s="5">
        <f t="shared" si="17"/>
        <v>0</v>
      </c>
      <c r="K46" s="1"/>
      <c r="L46" s="1">
        <f t="shared" si="18"/>
        <v>-342</v>
      </c>
      <c r="M46" s="1"/>
      <c r="N46" s="5">
        <f t="shared" si="19"/>
        <v>-1</v>
      </c>
      <c r="O46" s="14"/>
      <c r="P46" s="1">
        <f>SUM(OSRRefP22_5x_0)</f>
        <v>528.41</v>
      </c>
      <c r="Q46" s="1"/>
      <c r="R46" s="5">
        <f t="shared" si="20"/>
        <v>0</v>
      </c>
      <c r="S46" s="1"/>
      <c r="T46" s="1">
        <f>SUM(OSRRefT22_5x_0)</f>
        <v>1710</v>
      </c>
      <c r="U46" s="1"/>
      <c r="V46" s="5">
        <f t="shared" si="21"/>
        <v>0</v>
      </c>
      <c r="W46" s="1"/>
      <c r="X46" s="1">
        <f t="shared" si="22"/>
        <v>-1181.5900000000001</v>
      </c>
      <c r="Y46" s="1"/>
      <c r="Z46" s="5">
        <f t="shared" si="23"/>
        <v>-0.69098830409356737</v>
      </c>
    </row>
    <row r="47" spans="1:26" s="24" customFormat="1" hidden="1" outlineLevel="2" x14ac:dyDescent="0.3">
      <c r="A47" s="27"/>
      <c r="B47" s="11" t="str">
        <f>CONCATENATE("          ", "6234", " - ", "EXPENDABLE SUPPLIES &amp; EQUIPMEN")</f>
        <v xml:space="preserve">          6234 - EXPENDABLE SUPPLIES &amp; EQUIPMEN</v>
      </c>
      <c r="C47" s="11"/>
      <c r="D47" s="6"/>
      <c r="E47" s="2"/>
      <c r="F47" s="7">
        <f t="shared" si="16"/>
        <v>0</v>
      </c>
      <c r="G47" s="2"/>
      <c r="H47" s="6">
        <v>342</v>
      </c>
      <c r="I47" s="2"/>
      <c r="J47" s="7">
        <f t="shared" si="17"/>
        <v>0</v>
      </c>
      <c r="K47" s="2"/>
      <c r="L47" s="6">
        <f t="shared" si="18"/>
        <v>-342</v>
      </c>
      <c r="M47" s="2"/>
      <c r="N47" s="7">
        <f t="shared" si="19"/>
        <v>-1</v>
      </c>
      <c r="O47" s="11"/>
      <c r="P47" s="6"/>
      <c r="Q47" s="2"/>
      <c r="R47" s="7">
        <f t="shared" si="20"/>
        <v>0</v>
      </c>
      <c r="S47" s="2"/>
      <c r="T47" s="6">
        <v>1710</v>
      </c>
      <c r="U47" s="2"/>
      <c r="V47" s="7">
        <f t="shared" si="21"/>
        <v>0</v>
      </c>
      <c r="W47" s="2"/>
      <c r="X47" s="6">
        <f t="shared" si="22"/>
        <v>-1710</v>
      </c>
      <c r="Y47" s="2"/>
      <c r="Z47" s="7">
        <f t="shared" si="23"/>
        <v>-1</v>
      </c>
    </row>
    <row r="48" spans="1:26" s="24" customFormat="1" hidden="1" outlineLevel="2" x14ac:dyDescent="0.3">
      <c r="A48" s="27"/>
      <c r="B48" s="11" t="str">
        <f>CONCATENATE("          ", "6241", " - ", "OFFICE EXPENSE")</f>
        <v xml:space="preserve">          6241 - OFFICE EXPENSE</v>
      </c>
      <c r="C48" s="11"/>
      <c r="D48" s="6"/>
      <c r="E48" s="2"/>
      <c r="F48" s="7">
        <f t="shared" si="16"/>
        <v>0</v>
      </c>
      <c r="G48" s="2"/>
      <c r="H48" s="6"/>
      <c r="I48" s="2"/>
      <c r="J48" s="7">
        <f t="shared" si="17"/>
        <v>0</v>
      </c>
      <c r="K48" s="2"/>
      <c r="L48" s="6">
        <f t="shared" si="18"/>
        <v>0</v>
      </c>
      <c r="M48" s="2"/>
      <c r="N48" s="7">
        <f t="shared" si="19"/>
        <v>0</v>
      </c>
      <c r="O48" s="11"/>
      <c r="P48" s="6">
        <v>528.41</v>
      </c>
      <c r="Q48" s="2"/>
      <c r="R48" s="7">
        <f t="shared" si="20"/>
        <v>0</v>
      </c>
      <c r="S48" s="2"/>
      <c r="T48" s="6"/>
      <c r="U48" s="2"/>
      <c r="V48" s="7">
        <f t="shared" si="21"/>
        <v>0</v>
      </c>
      <c r="W48" s="2"/>
      <c r="X48" s="6">
        <f t="shared" si="22"/>
        <v>528.41</v>
      </c>
      <c r="Y48" s="2"/>
      <c r="Z48" s="7">
        <f t="shared" si="23"/>
        <v>0</v>
      </c>
    </row>
    <row r="49" spans="1:26" s="29" customFormat="1" outlineLevel="1" collapsed="1" x14ac:dyDescent="0.3">
      <c r="A49" s="28"/>
      <c r="B49" s="14" t="str">
        <f>CONCATENATE("     ","Telephone/Data Lines                              ")</f>
        <v xml:space="preserve">     Telephone/Data Lines                              </v>
      </c>
      <c r="C49" s="14"/>
      <c r="D49" s="1">
        <f>SUM(OSRRefD22_6x_0)</f>
        <v>75</v>
      </c>
      <c r="E49" s="1"/>
      <c r="F49" s="5">
        <f t="shared" ref="F49:F51" si="24">IF(D$12=0,0,D49/D$12)</f>
        <v>0</v>
      </c>
      <c r="G49" s="1"/>
      <c r="H49" s="1">
        <f>SUM(OSRRefH22_6x_0)</f>
        <v>83</v>
      </c>
      <c r="I49" s="1"/>
      <c r="J49" s="5">
        <f t="shared" ref="J49:J51" si="25">IF(H$12=0,0,H49/H$12)</f>
        <v>0</v>
      </c>
      <c r="K49" s="1"/>
      <c r="L49" s="1">
        <f t="shared" ref="L49:L51" si="26">+D49-H49</f>
        <v>-8</v>
      </c>
      <c r="M49" s="1"/>
      <c r="N49" s="5">
        <f t="shared" ref="N49:N51" si="27">IF(H49=0,0,L49/H49)</f>
        <v>-9.6385542168674704E-2</v>
      </c>
      <c r="O49" s="14"/>
      <c r="P49" s="1">
        <f>SUM(OSRRefP22_6x_0)</f>
        <v>433</v>
      </c>
      <c r="Q49" s="1"/>
      <c r="R49" s="5">
        <f t="shared" ref="R49:R51" si="28">IF(P$12=0,0,P49/P$12)</f>
        <v>0</v>
      </c>
      <c r="S49" s="1"/>
      <c r="T49" s="1">
        <f>SUM(OSRRefT22_6x_0)</f>
        <v>415</v>
      </c>
      <c r="U49" s="1"/>
      <c r="V49" s="5">
        <f t="shared" ref="V49:V51" si="29">IF(T$12=0,0,T49/T$12)</f>
        <v>0</v>
      </c>
      <c r="W49" s="1"/>
      <c r="X49" s="1">
        <f t="shared" ref="X49:X51" si="30">+P49-T49</f>
        <v>18</v>
      </c>
      <c r="Y49" s="1"/>
      <c r="Z49" s="5">
        <f t="shared" ref="Z49:Z51" si="31">IF(T49=0,0,X49/T49)</f>
        <v>4.3373493975903614E-2</v>
      </c>
    </row>
    <row r="50" spans="1:26" s="24" customFormat="1" hidden="1" outlineLevel="2" x14ac:dyDescent="0.3">
      <c r="A50" s="27"/>
      <c r="B50" s="11" t="str">
        <f>CONCATENATE("          ", "6303", " - ", "DATA PHONE LINES")</f>
        <v xml:space="preserve">          6303 - DATA PHONE LINES</v>
      </c>
      <c r="C50" s="11"/>
      <c r="D50" s="6"/>
      <c r="E50" s="2"/>
      <c r="F50" s="7">
        <f t="shared" si="24"/>
        <v>0</v>
      </c>
      <c r="G50" s="2"/>
      <c r="H50" s="6">
        <v>58</v>
      </c>
      <c r="I50" s="2"/>
      <c r="J50" s="7">
        <f t="shared" si="25"/>
        <v>0</v>
      </c>
      <c r="K50" s="2"/>
      <c r="L50" s="6">
        <f t="shared" si="26"/>
        <v>-58</v>
      </c>
      <c r="M50" s="2"/>
      <c r="N50" s="7">
        <f t="shared" si="27"/>
        <v>-1</v>
      </c>
      <c r="O50" s="11"/>
      <c r="P50" s="6"/>
      <c r="Q50" s="2"/>
      <c r="R50" s="7">
        <f t="shared" si="28"/>
        <v>0</v>
      </c>
      <c r="S50" s="2"/>
      <c r="T50" s="6">
        <v>290</v>
      </c>
      <c r="U50" s="2"/>
      <c r="V50" s="7">
        <f t="shared" si="29"/>
        <v>0</v>
      </c>
      <c r="W50" s="2"/>
      <c r="X50" s="6">
        <f t="shared" si="30"/>
        <v>-290</v>
      </c>
      <c r="Y50" s="2"/>
      <c r="Z50" s="7">
        <f t="shared" si="31"/>
        <v>-1</v>
      </c>
    </row>
    <row r="51" spans="1:26" s="24" customFormat="1" hidden="1" outlineLevel="2" x14ac:dyDescent="0.3">
      <c r="A51" s="27"/>
      <c r="B51" s="11" t="str">
        <f>CONCATENATE("          ", "6309", " - ", "TELEPHONE")</f>
        <v xml:space="preserve">          6309 - TELEPHONE</v>
      </c>
      <c r="C51" s="11"/>
      <c r="D51" s="6">
        <v>75</v>
      </c>
      <c r="E51" s="2"/>
      <c r="F51" s="7">
        <f t="shared" si="24"/>
        <v>0</v>
      </c>
      <c r="G51" s="2"/>
      <c r="H51" s="6">
        <v>25</v>
      </c>
      <c r="I51" s="2"/>
      <c r="J51" s="7">
        <f t="shared" si="25"/>
        <v>0</v>
      </c>
      <c r="K51" s="2"/>
      <c r="L51" s="6">
        <f t="shared" si="26"/>
        <v>50</v>
      </c>
      <c r="M51" s="2"/>
      <c r="N51" s="7">
        <f t="shared" si="27"/>
        <v>2</v>
      </c>
      <c r="O51" s="11"/>
      <c r="P51" s="6">
        <v>433</v>
      </c>
      <c r="Q51" s="2"/>
      <c r="R51" s="7">
        <f t="shared" si="28"/>
        <v>0</v>
      </c>
      <c r="S51" s="2"/>
      <c r="T51" s="6">
        <v>125</v>
      </c>
      <c r="U51" s="2"/>
      <c r="V51" s="7">
        <f t="shared" si="29"/>
        <v>0</v>
      </c>
      <c r="W51" s="2"/>
      <c r="X51" s="6">
        <f t="shared" si="30"/>
        <v>308</v>
      </c>
      <c r="Y51" s="2"/>
      <c r="Z51" s="7">
        <f t="shared" si="31"/>
        <v>2.464</v>
      </c>
    </row>
    <row r="52" spans="1:26" s="29" customFormat="1" outlineLevel="1" collapsed="1" x14ac:dyDescent="0.3">
      <c r="A52" s="28"/>
      <c r="B52" s="14" t="str">
        <f>CONCATENATE("     ","Training                                          ")</f>
        <v xml:space="preserve">     Training                                          </v>
      </c>
      <c r="C52" s="14"/>
      <c r="D52" s="1">
        <f>SUM(OSRRefD22_7x_0)</f>
        <v>0</v>
      </c>
      <c r="E52" s="1"/>
      <c r="F52" s="5">
        <f t="shared" ref="F52:F55" si="32">IF(D$12=0,0,D52/D$12)</f>
        <v>0</v>
      </c>
      <c r="G52" s="1"/>
      <c r="H52" s="1">
        <f>SUM(OSRRefH22_7x_0)</f>
        <v>300</v>
      </c>
      <c r="I52" s="1"/>
      <c r="J52" s="5">
        <f t="shared" ref="J52:J55" si="33">IF(H$12=0,0,H52/H$12)</f>
        <v>0</v>
      </c>
      <c r="K52" s="1"/>
      <c r="L52" s="1">
        <f t="shared" ref="L52:L55" si="34">+D52-H52</f>
        <v>-300</v>
      </c>
      <c r="M52" s="1"/>
      <c r="N52" s="5">
        <f t="shared" ref="N52:N55" si="35">IF(H52=0,0,L52/H52)</f>
        <v>-1</v>
      </c>
      <c r="O52" s="14"/>
      <c r="P52" s="1">
        <f>SUM(OSRRefP22_7x_0)</f>
        <v>0</v>
      </c>
      <c r="Q52" s="1"/>
      <c r="R52" s="5">
        <f t="shared" ref="R52:R55" si="36">IF(P$12=0,0,P52/P$12)</f>
        <v>0</v>
      </c>
      <c r="S52" s="1"/>
      <c r="T52" s="1">
        <f>SUM(OSRRefT22_7x_0)</f>
        <v>1500</v>
      </c>
      <c r="U52" s="1"/>
      <c r="V52" s="5">
        <f t="shared" ref="V52:V55" si="37">IF(T$12=0,0,T52/T$12)</f>
        <v>0</v>
      </c>
      <c r="W52" s="1"/>
      <c r="X52" s="1">
        <f t="shared" ref="X52:X55" si="38">+P52-T52</f>
        <v>-1500</v>
      </c>
      <c r="Y52" s="1"/>
      <c r="Z52" s="5">
        <f t="shared" ref="Z52:Z55" si="39">IF(T52=0,0,X52/T52)</f>
        <v>-1</v>
      </c>
    </row>
    <row r="53" spans="1:26" s="24" customFormat="1" hidden="1" outlineLevel="2" x14ac:dyDescent="0.3">
      <c r="A53" s="27"/>
      <c r="B53" s="11" t="str">
        <f>CONCATENATE("          ", "6376", " - ", "TRAINING")</f>
        <v xml:space="preserve">          6376 - TRAINING</v>
      </c>
      <c r="C53" s="11"/>
      <c r="D53" s="6"/>
      <c r="E53" s="2"/>
      <c r="F53" s="7">
        <f t="shared" si="32"/>
        <v>0</v>
      </c>
      <c r="G53" s="2"/>
      <c r="H53" s="6">
        <v>300</v>
      </c>
      <c r="I53" s="2"/>
      <c r="J53" s="7">
        <f t="shared" si="33"/>
        <v>0</v>
      </c>
      <c r="K53" s="2"/>
      <c r="L53" s="6">
        <f t="shared" si="34"/>
        <v>-300</v>
      </c>
      <c r="M53" s="2"/>
      <c r="N53" s="7">
        <f t="shared" si="35"/>
        <v>-1</v>
      </c>
      <c r="O53" s="11"/>
      <c r="P53" s="6"/>
      <c r="Q53" s="2"/>
      <c r="R53" s="7">
        <f t="shared" si="36"/>
        <v>0</v>
      </c>
      <c r="S53" s="2"/>
      <c r="T53" s="6">
        <v>1500</v>
      </c>
      <c r="U53" s="2"/>
      <c r="V53" s="7">
        <f t="shared" si="37"/>
        <v>0</v>
      </c>
      <c r="W53" s="2"/>
      <c r="X53" s="6">
        <f t="shared" si="38"/>
        <v>-1500</v>
      </c>
      <c r="Y53" s="2"/>
      <c r="Z53" s="7">
        <f t="shared" si="39"/>
        <v>-1</v>
      </c>
    </row>
    <row r="54" spans="1:26" s="29" customFormat="1" outlineLevel="1" collapsed="1" x14ac:dyDescent="0.3">
      <c r="A54" s="28"/>
      <c r="B54" s="14" t="str">
        <f>CONCATENATE("     ","Travel                                            ")</f>
        <v xml:space="preserve">     Travel                                            </v>
      </c>
      <c r="C54" s="14"/>
      <c r="D54" s="1">
        <f>SUM(OSRRefD22_8x_0)</f>
        <v>0</v>
      </c>
      <c r="E54" s="1"/>
      <c r="F54" s="5">
        <f t="shared" si="32"/>
        <v>0</v>
      </c>
      <c r="G54" s="1"/>
      <c r="H54" s="1">
        <f>SUM(OSRRefH22_8x_0)</f>
        <v>0</v>
      </c>
      <c r="I54" s="1"/>
      <c r="J54" s="5">
        <f t="shared" si="33"/>
        <v>0</v>
      </c>
      <c r="K54" s="1"/>
      <c r="L54" s="1">
        <f t="shared" si="34"/>
        <v>0</v>
      </c>
      <c r="M54" s="1"/>
      <c r="N54" s="5">
        <f t="shared" si="35"/>
        <v>0</v>
      </c>
      <c r="O54" s="14"/>
      <c r="P54" s="1">
        <f>SUM(OSRRefP22_8x_0)</f>
        <v>595</v>
      </c>
      <c r="Q54" s="1"/>
      <c r="R54" s="5">
        <f t="shared" si="36"/>
        <v>0</v>
      </c>
      <c r="S54" s="1"/>
      <c r="T54" s="1">
        <f>SUM(OSRRefT22_8x_0)</f>
        <v>0</v>
      </c>
      <c r="U54" s="1"/>
      <c r="V54" s="5">
        <f t="shared" si="37"/>
        <v>0</v>
      </c>
      <c r="W54" s="1"/>
      <c r="X54" s="1">
        <f t="shared" si="38"/>
        <v>595</v>
      </c>
      <c r="Y54" s="1"/>
      <c r="Z54" s="5">
        <f t="shared" si="39"/>
        <v>0</v>
      </c>
    </row>
    <row r="55" spans="1:26" s="24" customFormat="1" hidden="1" outlineLevel="2" x14ac:dyDescent="0.3">
      <c r="A55" s="27"/>
      <c r="B55" s="11" t="str">
        <f>CONCATENATE("          ", "6292", " - ", "TRAVEL/CONFERENCE")</f>
        <v xml:space="preserve">          6292 - TRAVEL/CONFERENCE</v>
      </c>
      <c r="C55" s="11"/>
      <c r="D55" s="6"/>
      <c r="E55" s="2"/>
      <c r="F55" s="7">
        <f t="shared" si="32"/>
        <v>0</v>
      </c>
      <c r="G55" s="2"/>
      <c r="H55" s="6"/>
      <c r="I55" s="2"/>
      <c r="J55" s="7">
        <f t="shared" si="33"/>
        <v>0</v>
      </c>
      <c r="K55" s="2"/>
      <c r="L55" s="6">
        <f t="shared" si="34"/>
        <v>0</v>
      </c>
      <c r="M55" s="2"/>
      <c r="N55" s="7">
        <f t="shared" si="35"/>
        <v>0</v>
      </c>
      <c r="O55" s="11"/>
      <c r="P55" s="6">
        <v>595</v>
      </c>
      <c r="Q55" s="2"/>
      <c r="R55" s="7">
        <f t="shared" si="36"/>
        <v>0</v>
      </c>
      <c r="S55" s="2"/>
      <c r="T55" s="6"/>
      <c r="U55" s="2"/>
      <c r="V55" s="7">
        <f t="shared" si="37"/>
        <v>0</v>
      </c>
      <c r="W55" s="2"/>
      <c r="X55" s="6">
        <f t="shared" si="38"/>
        <v>595</v>
      </c>
      <c r="Y55" s="2"/>
      <c r="Z55" s="7">
        <f t="shared" si="39"/>
        <v>0</v>
      </c>
    </row>
    <row r="56" spans="1:26" s="63" customFormat="1" x14ac:dyDescent="0.3">
      <c r="A56" s="36"/>
      <c r="B56" s="36"/>
      <c r="C56" s="36"/>
      <c r="D56" s="1"/>
      <c r="E56" s="1"/>
      <c r="F56" s="5"/>
      <c r="G56" s="1"/>
      <c r="H56" s="1"/>
      <c r="I56" s="1"/>
      <c r="J56" s="5"/>
      <c r="K56" s="1"/>
      <c r="L56" s="1"/>
      <c r="M56" s="1"/>
      <c r="N56" s="5"/>
      <c r="O56" s="36"/>
      <c r="P56" s="1"/>
      <c r="Q56" s="1"/>
      <c r="R56" s="5"/>
      <c r="S56" s="1"/>
      <c r="T56" s="1"/>
      <c r="U56" s="1"/>
      <c r="V56" s="5"/>
      <c r="W56" s="1"/>
      <c r="X56" s="1"/>
      <c r="Y56" s="1"/>
      <c r="Z56" s="5"/>
    </row>
    <row r="57" spans="1:26" s="23" customFormat="1" x14ac:dyDescent="0.3">
      <c r="A57" s="10"/>
      <c r="B57" s="25" t="s">
        <v>293</v>
      </c>
      <c r="C57" s="10"/>
      <c r="D57" s="4">
        <f>SUM(0)</f>
        <v>0</v>
      </c>
      <c r="E57" s="4"/>
      <c r="F57" s="12">
        <f>IF(D$12=0,0,D57/D$12)</f>
        <v>0</v>
      </c>
      <c r="G57" s="4"/>
      <c r="H57" s="4">
        <f>SUM(0)</f>
        <v>0</v>
      </c>
      <c r="I57" s="4"/>
      <c r="J57" s="12">
        <f>IF(H$12=0,0,H57/H$12)</f>
        <v>0</v>
      </c>
      <c r="K57" s="4"/>
      <c r="L57" s="4">
        <f>+D57-H57</f>
        <v>0</v>
      </c>
      <c r="M57" s="4"/>
      <c r="N57" s="12">
        <f>IF(H57=0,0,L57/H57)</f>
        <v>0</v>
      </c>
      <c r="O57" s="10"/>
      <c r="P57" s="4">
        <f>SUM(0)</f>
        <v>0</v>
      </c>
      <c r="Q57" s="4"/>
      <c r="R57" s="12">
        <f>IF(P$12=0,0,P57/P$12)</f>
        <v>0</v>
      </c>
      <c r="S57" s="4"/>
      <c r="T57" s="4">
        <f>SUM(0)</f>
        <v>0</v>
      </c>
      <c r="U57" s="4"/>
      <c r="V57" s="12">
        <f>IF(T$12=0,0,T57/T$12)</f>
        <v>0</v>
      </c>
      <c r="W57" s="4"/>
      <c r="X57" s="4">
        <f>+P57-T57</f>
        <v>0</v>
      </c>
      <c r="Y57" s="4"/>
      <c r="Z57" s="12">
        <f>IF(T57=0,0,X57/T57)</f>
        <v>0</v>
      </c>
    </row>
    <row r="58" spans="1:26" x14ac:dyDescent="0.3">
      <c r="A58" s="9"/>
      <c r="B58" s="10"/>
      <c r="C58" s="10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O58" s="10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x14ac:dyDescent="0.3">
      <c r="A59" s="10"/>
      <c r="B59" s="26" t="s">
        <v>277</v>
      </c>
      <c r="C59" s="26"/>
      <c r="D59" s="20">
        <f>+D16-D18+D57</f>
        <v>-17012.580000000002</v>
      </c>
      <c r="E59" s="13"/>
      <c r="F59" s="22">
        <f>IF(D$12=0,0,D59/D$12)</f>
        <v>0</v>
      </c>
      <c r="G59" s="13"/>
      <c r="H59" s="20">
        <f>+H16-H18+H57</f>
        <v>-17174.263740000002</v>
      </c>
      <c r="I59" s="13"/>
      <c r="J59" s="22">
        <f>IF(H$12=0,0,H59/H$12)</f>
        <v>0</v>
      </c>
      <c r="K59" s="15"/>
      <c r="L59" s="20">
        <f>+D59-H59</f>
        <v>161.6837400000004</v>
      </c>
      <c r="M59" s="15"/>
      <c r="N59" s="22">
        <f>IF(H59=0,0,L59/H59)</f>
        <v>-9.4143040102166488E-3</v>
      </c>
      <c r="O59" s="25"/>
      <c r="P59" s="20">
        <f>+P16-P18+P57</f>
        <v>-96079.510000000009</v>
      </c>
      <c r="Q59" s="13"/>
      <c r="R59" s="22">
        <f>IF(P$12=0,0,P59/P$12)</f>
        <v>0</v>
      </c>
      <c r="S59" s="13"/>
      <c r="T59" s="20">
        <f>+T16-T18+T57</f>
        <v>-91257.450570000001</v>
      </c>
      <c r="U59" s="13"/>
      <c r="V59" s="22">
        <f>IF(T$12=0,0,T59/T$12)</f>
        <v>0</v>
      </c>
      <c r="W59" s="15"/>
      <c r="X59" s="20">
        <f>+P59-T59</f>
        <v>-4822.0594300000084</v>
      </c>
      <c r="Y59" s="15"/>
      <c r="Z59" s="22">
        <f>IF(T59=0,0,X59/T59)</f>
        <v>5.2840172499682057E-2</v>
      </c>
    </row>
    <row r="60" spans="1:26" x14ac:dyDescent="0.3">
      <c r="A60" s="9"/>
      <c r="B60" s="10"/>
      <c r="C60" s="9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3">
      <c r="A61" s="52"/>
      <c r="B61" s="10" t="s">
        <v>128</v>
      </c>
      <c r="C61" s="10"/>
      <c r="D61" s="4"/>
      <c r="E61" s="4"/>
      <c r="F61" s="12">
        <f>IF(D$12=0,0,D61/D$12)</f>
        <v>0</v>
      </c>
      <c r="G61" s="4"/>
      <c r="H61" s="4"/>
      <c r="I61" s="4"/>
      <c r="J61" s="12">
        <f>IF(H$12=0,0,H61/H$12)</f>
        <v>0</v>
      </c>
      <c r="K61" s="4"/>
      <c r="L61" s="4">
        <f>+D61-H61</f>
        <v>0</v>
      </c>
      <c r="M61" s="4"/>
      <c r="N61" s="12">
        <f>IF(H61=0,0,L61/H61)</f>
        <v>0</v>
      </c>
      <c r="O61" s="10"/>
      <c r="P61" s="4"/>
      <c r="Q61" s="4"/>
      <c r="R61" s="12">
        <f>IF(P$12=0,0,P61/P$12)</f>
        <v>0</v>
      </c>
      <c r="S61" s="4"/>
      <c r="T61" s="4"/>
      <c r="U61" s="4"/>
      <c r="V61" s="12">
        <f>IF(T$12=0,0,T61/T$12)</f>
        <v>0</v>
      </c>
      <c r="W61" s="4"/>
      <c r="X61" s="4">
        <f>+P61-T61</f>
        <v>0</v>
      </c>
      <c r="Y61" s="4"/>
      <c r="Z61" s="12">
        <f>IF(T61=0,0,X61/T61)</f>
        <v>0</v>
      </c>
    </row>
    <row r="62" spans="1:26" x14ac:dyDescent="0.3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ht="15" thickBot="1" x14ac:dyDescent="0.35">
      <c r="A63" s="10"/>
      <c r="B63" s="26" t="s">
        <v>126</v>
      </c>
      <c r="C63" s="26"/>
      <c r="D63" s="33">
        <f>+D59-D61</f>
        <v>-17012.580000000002</v>
      </c>
      <c r="E63" s="13"/>
      <c r="F63" s="34">
        <f>IF(D$12=0,0,D63/D$12)</f>
        <v>0</v>
      </c>
      <c r="G63" s="13"/>
      <c r="H63" s="33">
        <f>+H59-H61</f>
        <v>-17174.263740000002</v>
      </c>
      <c r="I63" s="13"/>
      <c r="J63" s="34">
        <f>IF(H$12=0,0,H63/H$12)</f>
        <v>0</v>
      </c>
      <c r="K63" s="15"/>
      <c r="L63" s="33">
        <f>D63-H63</f>
        <v>161.6837400000004</v>
      </c>
      <c r="M63" s="15"/>
      <c r="N63" s="34">
        <f>IF(H63=0,0,L63/H63)</f>
        <v>-9.4143040102166488E-3</v>
      </c>
      <c r="O63" s="25"/>
      <c r="P63" s="33">
        <f>+P59-P61</f>
        <v>-96079.510000000009</v>
      </c>
      <c r="Q63" s="13"/>
      <c r="R63" s="34">
        <f>IF(P$12=0,0,P63/P$12)</f>
        <v>0</v>
      </c>
      <c r="S63" s="13"/>
      <c r="T63" s="33">
        <f>+T59-T61</f>
        <v>-91257.450570000001</v>
      </c>
      <c r="U63" s="13"/>
      <c r="V63" s="34">
        <f>IF(T$12=0,0,T63/T$12)</f>
        <v>0</v>
      </c>
      <c r="W63" s="15"/>
      <c r="X63" s="33">
        <f>P63-T63</f>
        <v>-4822.0594300000084</v>
      </c>
      <c r="Y63" s="15"/>
      <c r="Z63" s="34">
        <f>IF(T63=0,0,X63/T63)</f>
        <v>5.2840172499682057E-2</v>
      </c>
    </row>
    <row r="64" spans="1:26" ht="15" thickTop="1" x14ac:dyDescent="0.3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x14ac:dyDescent="0.3">
      <c r="A65" s="9"/>
      <c r="B65" s="9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ht="15" thickBot="1" x14ac:dyDescent="0.35">
      <c r="A66" s="10"/>
      <c r="B66" s="26" t="s">
        <v>294</v>
      </c>
      <c r="C66" s="26"/>
      <c r="D66" s="35">
        <f>SUM(D63:D65)</f>
        <v>-17012.580000000002</v>
      </c>
      <c r="E66" s="13"/>
      <c r="F66" s="32">
        <f>IF(D$12=0,0,D66/D$12)</f>
        <v>0</v>
      </c>
      <c r="G66" s="13"/>
      <c r="H66" s="35">
        <f>SUM(H63:H65)</f>
        <v>-17174.263740000002</v>
      </c>
      <c r="I66" s="13"/>
      <c r="J66" s="32">
        <f>IF(H$12=0,0,H66/H$12)</f>
        <v>0</v>
      </c>
      <c r="K66" s="15"/>
      <c r="L66" s="35">
        <f>+D66-H66</f>
        <v>161.6837400000004</v>
      </c>
      <c r="M66" s="15"/>
      <c r="N66" s="32">
        <f>IF(H66=0,0,L66/H66)</f>
        <v>-9.4143040102166488E-3</v>
      </c>
      <c r="O66" s="25"/>
      <c r="P66" s="35">
        <f>SUM(P63:P65)</f>
        <v>-96079.510000000009</v>
      </c>
      <c r="Q66" s="13"/>
      <c r="R66" s="32">
        <f>IF(P$12=0,0,P66/P$12)</f>
        <v>0</v>
      </c>
      <c r="S66" s="13"/>
      <c r="T66" s="35">
        <f>SUM(T63:T65)</f>
        <v>-91257.450570000001</v>
      </c>
      <c r="U66" s="13"/>
      <c r="V66" s="32">
        <f>IF(T$12=0,0,T66/T$12)</f>
        <v>0</v>
      </c>
      <c r="W66" s="15"/>
      <c r="X66" s="35">
        <f>+P66-T66</f>
        <v>-4822.0594300000084</v>
      </c>
      <c r="Y66" s="15"/>
      <c r="Z66" s="32">
        <f>IF(T66=0,0,X66/T66)</f>
        <v>5.2840172499682057E-2</v>
      </c>
    </row>
    <row r="67" spans="1:26" ht="15" thickTop="1" x14ac:dyDescent="0.3">
      <c r="A67" s="9"/>
      <c r="C67" s="9"/>
      <c r="D67" s="17"/>
      <c r="E67" s="17"/>
      <c r="G67" s="17"/>
      <c r="H67" s="17"/>
      <c r="I67" s="17"/>
      <c r="J67" s="42"/>
      <c r="K67" s="17"/>
      <c r="L67" s="17"/>
      <c r="M67" s="17"/>
      <c r="P67" s="17"/>
      <c r="Q67" s="17"/>
      <c r="R67" s="42"/>
      <c r="S67" s="17"/>
      <c r="T67" s="17"/>
      <c r="U67" s="17"/>
      <c r="V67" s="42"/>
      <c r="W67" s="17"/>
      <c r="X67" s="17"/>
    </row>
    <row r="68" spans="1:26" x14ac:dyDescent="0.3">
      <c r="A68" s="9"/>
      <c r="B68" s="60">
        <v>44543.753113078703</v>
      </c>
      <c r="D68" s="17"/>
      <c r="E68" s="17"/>
      <c r="G68" s="17"/>
      <c r="H68" s="17"/>
      <c r="I68" s="17"/>
      <c r="J68" s="42"/>
      <c r="K68" s="17"/>
      <c r="L68" s="17"/>
      <c r="M68" s="17"/>
      <c r="P68" s="17"/>
      <c r="Q68" s="17"/>
      <c r="R68" s="42"/>
      <c r="S68" s="17"/>
      <c r="T68" s="17"/>
      <c r="U68" s="17"/>
      <c r="V68" s="42"/>
      <c r="W68" s="17"/>
      <c r="X68" s="17"/>
    </row>
    <row r="69" spans="1:26" x14ac:dyDescent="0.3">
      <c r="A69" s="9"/>
      <c r="B69" s="58" t="s">
        <v>56</v>
      </c>
      <c r="D69" s="17"/>
      <c r="E69" s="17"/>
      <c r="G69" s="17"/>
      <c r="H69" s="17"/>
      <c r="I69" s="17"/>
      <c r="J69" s="42"/>
      <c r="K69" s="17"/>
      <c r="L69" s="17"/>
      <c r="M69" s="17"/>
      <c r="P69" s="17"/>
      <c r="Q69" s="17"/>
      <c r="R69" s="42"/>
      <c r="S69" s="17"/>
      <c r="T69" s="17"/>
      <c r="U69" s="17"/>
      <c r="V69" s="42"/>
      <c r="W69" s="17"/>
      <c r="X69" s="17"/>
    </row>
    <row r="70" spans="1:26" x14ac:dyDescent="0.3">
      <c r="A70" s="9"/>
      <c r="B70" s="55"/>
      <c r="D70" s="17"/>
      <c r="E70" s="17"/>
      <c r="G70" s="17"/>
      <c r="H70" s="17"/>
      <c r="I70" s="17"/>
      <c r="J70" s="42"/>
      <c r="K70" s="17"/>
      <c r="L70" s="17"/>
      <c r="M70" s="17"/>
      <c r="P70" s="17"/>
      <c r="Q70" s="17"/>
      <c r="R70" s="42"/>
      <c r="S70" s="17"/>
      <c r="T70" s="17"/>
      <c r="U70" s="17"/>
      <c r="V70" s="42"/>
      <c r="W70" s="17"/>
      <c r="X70" s="17"/>
    </row>
    <row r="71" spans="1:26" x14ac:dyDescent="0.3">
      <c r="D71" s="17"/>
      <c r="E71" s="17"/>
      <c r="G71" s="17"/>
      <c r="H71" s="17"/>
      <c r="I71" s="17"/>
      <c r="J71" s="42"/>
      <c r="K71" s="17"/>
      <c r="L71" s="17"/>
      <c r="M71" s="17"/>
      <c r="P71" s="17"/>
      <c r="Q71" s="17"/>
      <c r="R71" s="42"/>
      <c r="S71" s="17"/>
      <c r="T71" s="17"/>
      <c r="U71" s="17"/>
      <c r="V71" s="42"/>
      <c r="W71" s="17"/>
      <c r="X71" s="17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rgb="FF92D050"/>
    <outlinePr summaryBelow="0" summaryRight="0"/>
  </sheetPr>
  <dimension ref="A2:Z10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","433", " - ", "Hillside Dining Hall")</f>
        <v>Department 433 - Hillside Dining Hall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414220.14</v>
      </c>
      <c r="E12" s="4"/>
      <c r="F12" s="12"/>
      <c r="G12" s="4"/>
      <c r="H12" s="4">
        <f>SUM(OSRRefH13x_0)</f>
        <v>324000</v>
      </c>
      <c r="I12" s="4"/>
      <c r="J12" s="12"/>
      <c r="K12" s="4"/>
      <c r="L12" s="4">
        <f t="shared" ref="L12:L16" si="0">+D12-H12</f>
        <v>90220.140000000014</v>
      </c>
      <c r="M12" s="4"/>
      <c r="N12" s="12">
        <f t="shared" ref="N12:N16" si="1">IF(H12=0,0,L12/H12)</f>
        <v>0.27845722222222224</v>
      </c>
      <c r="O12" s="10"/>
      <c r="P12" s="4">
        <f>SUM(OSRRefP13x_0)</f>
        <v>1723765.06</v>
      </c>
      <c r="Q12" s="4"/>
      <c r="R12" s="12"/>
      <c r="S12" s="4"/>
      <c r="T12" s="4">
        <f>SUM(OSRRefT13x_0)</f>
        <v>1458000</v>
      </c>
      <c r="U12" s="4"/>
      <c r="V12" s="12"/>
      <c r="W12" s="4"/>
      <c r="X12" s="4">
        <f t="shared" ref="X12:X16" si="2">+P12-T12</f>
        <v>265765.06000000006</v>
      </c>
      <c r="Y12" s="4"/>
      <c r="Z12" s="12">
        <f t="shared" ref="Z12:Z16" si="3">IF(T12=0,0,X12/T12)</f>
        <v>0.18228056241426616</v>
      </c>
    </row>
    <row r="13" spans="1:26" s="24" customFormat="1" hidden="1" outlineLevel="1" x14ac:dyDescent="0.3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--359.71</f>
        <v>359.71</v>
      </c>
      <c r="E13" s="2"/>
      <c r="F13" s="19"/>
      <c r="G13" s="2"/>
      <c r="H13" s="2"/>
      <c r="I13" s="2"/>
      <c r="J13" s="19"/>
      <c r="K13" s="2"/>
      <c r="L13" s="2">
        <f t="shared" si="0"/>
        <v>359.71</v>
      </c>
      <c r="M13" s="2"/>
      <c r="N13" s="19">
        <f t="shared" si="1"/>
        <v>0</v>
      </c>
      <c r="O13" s="11"/>
      <c r="P13" s="2">
        <f>--1672.28</f>
        <v>1672.28</v>
      </c>
      <c r="Q13" s="2"/>
      <c r="R13" s="19"/>
      <c r="S13" s="2"/>
      <c r="T13" s="2"/>
      <c r="U13" s="2"/>
      <c r="V13" s="19"/>
      <c r="W13" s="2"/>
      <c r="X13" s="2">
        <f t="shared" si="2"/>
        <v>1672.28</v>
      </c>
      <c r="Y13" s="2"/>
      <c r="Z13" s="19">
        <f t="shared" si="3"/>
        <v>0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324000</v>
      </c>
      <c r="I14" s="2"/>
      <c r="J14" s="19"/>
      <c r="K14" s="2"/>
      <c r="L14" s="2">
        <f t="shared" si="0"/>
        <v>-324000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1458000</v>
      </c>
      <c r="U14" s="2"/>
      <c r="V14" s="19"/>
      <c r="W14" s="2"/>
      <c r="X14" s="2">
        <f t="shared" si="2"/>
        <v>-1458000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--410089.14</f>
        <v>410089.14</v>
      </c>
      <c r="E15" s="2"/>
      <c r="F15" s="19"/>
      <c r="G15" s="2"/>
      <c r="H15" s="2"/>
      <c r="I15" s="2"/>
      <c r="J15" s="19"/>
      <c r="K15" s="2"/>
      <c r="L15" s="2">
        <f t="shared" si="0"/>
        <v>410089.14</v>
      </c>
      <c r="M15" s="2"/>
      <c r="N15" s="19">
        <f t="shared" si="1"/>
        <v>0</v>
      </c>
      <c r="O15" s="11"/>
      <c r="P15" s="2">
        <f>--1687562.66</f>
        <v>1687562.66</v>
      </c>
      <c r="Q15" s="2"/>
      <c r="R15" s="19"/>
      <c r="S15" s="2"/>
      <c r="T15" s="2"/>
      <c r="U15" s="2"/>
      <c r="V15" s="19"/>
      <c r="W15" s="2"/>
      <c r="X15" s="2">
        <f t="shared" si="2"/>
        <v>1687562.66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--3771.29</f>
        <v>3771.29</v>
      </c>
      <c r="E16" s="2"/>
      <c r="F16" s="19"/>
      <c r="G16" s="2"/>
      <c r="H16" s="2"/>
      <c r="I16" s="2"/>
      <c r="J16" s="19"/>
      <c r="K16" s="2"/>
      <c r="L16" s="2">
        <f t="shared" si="0"/>
        <v>3771.29</v>
      </c>
      <c r="M16" s="2"/>
      <c r="N16" s="19">
        <f t="shared" si="1"/>
        <v>0</v>
      </c>
      <c r="O16" s="11"/>
      <c r="P16" s="2">
        <f>--34530.12</f>
        <v>34530.120000000003</v>
      </c>
      <c r="Q16" s="2"/>
      <c r="R16" s="19"/>
      <c r="S16" s="2"/>
      <c r="T16" s="2"/>
      <c r="U16" s="2"/>
      <c r="V16" s="19"/>
      <c r="W16" s="2"/>
      <c r="X16" s="2">
        <f t="shared" si="2"/>
        <v>34530.120000000003</v>
      </c>
      <c r="Y16" s="2"/>
      <c r="Z16" s="19">
        <f t="shared" si="3"/>
        <v>0</v>
      </c>
    </row>
    <row r="17" spans="1:26" x14ac:dyDescent="0.3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">
      <c r="A18" s="10"/>
      <c r="B18" s="25" t="s">
        <v>257</v>
      </c>
      <c r="C18" s="10"/>
      <c r="D18" s="4">
        <f>SUM(OSRRefD16x_0)</f>
        <v>116164.23</v>
      </c>
      <c r="E18" s="4"/>
      <c r="F18" s="12">
        <f t="shared" ref="F18:F21" si="4">IF(D$12=0,0,D18/D$12)</f>
        <v>0.28044080618581219</v>
      </c>
      <c r="G18" s="4"/>
      <c r="H18" s="4">
        <f>SUM(OSRRefH16x_0)</f>
        <v>90720</v>
      </c>
      <c r="I18" s="4"/>
      <c r="J18" s="12">
        <f t="shared" ref="J18:J21" si="5">IF(H$12=0,0,H18/H$12)</f>
        <v>0.28000000000000003</v>
      </c>
      <c r="K18" s="4"/>
      <c r="L18" s="4">
        <f t="shared" ref="L18:L21" si="6">+D18-H18</f>
        <v>25444.229999999996</v>
      </c>
      <c r="M18" s="4"/>
      <c r="N18" s="12">
        <f t="shared" ref="N18:N21" si="7">IF(H18=0,0,L18/H18)</f>
        <v>0.28046990740740735</v>
      </c>
      <c r="O18" s="10"/>
      <c r="P18" s="4">
        <f>SUM(OSRRefP16x_0)</f>
        <v>456346.17</v>
      </c>
      <c r="Q18" s="4"/>
      <c r="R18" s="12">
        <f t="shared" ref="R18:R21" si="8">IF(P$12=0,0,P18/P$12)</f>
        <v>0.26473803222348641</v>
      </c>
      <c r="S18" s="4"/>
      <c r="T18" s="4">
        <f>SUM(OSRRefT16x_0)</f>
        <v>427518</v>
      </c>
      <c r="U18" s="4"/>
      <c r="V18" s="12">
        <f t="shared" ref="V18:V21" si="9">IF(T$12=0,0,T18/T$12)</f>
        <v>0.29322222222222222</v>
      </c>
      <c r="W18" s="4"/>
      <c r="X18" s="4">
        <f t="shared" ref="X18:X21" si="10">+P18-T18</f>
        <v>28828.169999999984</v>
      </c>
      <c r="Y18" s="4"/>
      <c r="Z18" s="12">
        <f t="shared" ref="Z18:Z21" si="11">IF(T18=0,0,X18/T18)</f>
        <v>6.7431476569407567E-2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90720</v>
      </c>
      <c r="I19" s="2"/>
      <c r="J19" s="19">
        <f t="shared" si="5"/>
        <v>0.28000000000000003</v>
      </c>
      <c r="K19" s="2"/>
      <c r="L19" s="2">
        <f t="shared" si="6"/>
        <v>-90720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427518</v>
      </c>
      <c r="U19" s="2"/>
      <c r="V19" s="19">
        <f t="shared" si="9"/>
        <v>0.29322222222222222</v>
      </c>
      <c r="W19" s="2"/>
      <c r="X19" s="2">
        <f t="shared" si="10"/>
        <v>-427518</v>
      </c>
      <c r="Y19" s="2"/>
      <c r="Z19" s="19">
        <f t="shared" si="11"/>
        <v>-1</v>
      </c>
    </row>
    <row r="20" spans="1:26" s="24" customFormat="1" hidden="1" outlineLevel="1" x14ac:dyDescent="0.3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113694.23</v>
      </c>
      <c r="E20" s="2"/>
      <c r="F20" s="19">
        <f t="shared" si="4"/>
        <v>0.27447779337817807</v>
      </c>
      <c r="G20" s="2"/>
      <c r="H20" s="2"/>
      <c r="I20" s="2"/>
      <c r="J20" s="19">
        <f t="shared" si="5"/>
        <v>0</v>
      </c>
      <c r="K20" s="2"/>
      <c r="L20" s="2">
        <f t="shared" si="6"/>
        <v>113694.23</v>
      </c>
      <c r="M20" s="2"/>
      <c r="N20" s="19">
        <f t="shared" si="7"/>
        <v>0</v>
      </c>
      <c r="O20" s="11"/>
      <c r="P20" s="2">
        <v>480184.17</v>
      </c>
      <c r="Q20" s="2"/>
      <c r="R20" s="19">
        <f t="shared" si="8"/>
        <v>0.27856706296158479</v>
      </c>
      <c r="S20" s="2"/>
      <c r="T20" s="2"/>
      <c r="U20" s="2"/>
      <c r="V20" s="19">
        <f t="shared" si="9"/>
        <v>0</v>
      </c>
      <c r="W20" s="2"/>
      <c r="X20" s="2">
        <f t="shared" si="10"/>
        <v>480184.17</v>
      </c>
      <c r="Y20" s="2"/>
      <c r="Z20" s="19">
        <f t="shared" si="11"/>
        <v>0</v>
      </c>
    </row>
    <row r="21" spans="1:26" s="24" customFormat="1" hidden="1" outlineLevel="1" x14ac:dyDescent="0.3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2470</v>
      </c>
      <c r="E21" s="2"/>
      <c r="F21" s="19">
        <f t="shared" si="4"/>
        <v>5.9630128076341238E-3</v>
      </c>
      <c r="G21" s="2"/>
      <c r="H21" s="2"/>
      <c r="I21" s="2"/>
      <c r="J21" s="19">
        <f t="shared" si="5"/>
        <v>0</v>
      </c>
      <c r="K21" s="2"/>
      <c r="L21" s="2">
        <f t="shared" si="6"/>
        <v>2470</v>
      </c>
      <c r="M21" s="2"/>
      <c r="N21" s="19">
        <f t="shared" si="7"/>
        <v>0</v>
      </c>
      <c r="O21" s="11"/>
      <c r="P21" s="2">
        <v>-23838</v>
      </c>
      <c r="Q21" s="2"/>
      <c r="R21" s="19">
        <f t="shared" si="8"/>
        <v>-1.382903073809838E-2</v>
      </c>
      <c r="S21" s="2"/>
      <c r="T21" s="2"/>
      <c r="U21" s="2"/>
      <c r="V21" s="19">
        <f t="shared" si="9"/>
        <v>0</v>
      </c>
      <c r="W21" s="2"/>
      <c r="X21" s="2">
        <f t="shared" si="10"/>
        <v>-23838</v>
      </c>
      <c r="Y21" s="2"/>
      <c r="Z21" s="19">
        <f t="shared" si="11"/>
        <v>0</v>
      </c>
    </row>
    <row r="22" spans="1:26" x14ac:dyDescent="0.3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3">
      <c r="A23" s="10"/>
      <c r="B23" s="26" t="s">
        <v>108</v>
      </c>
      <c r="C23" s="26"/>
      <c r="D23" s="20">
        <f>D12-D18</f>
        <v>298055.91000000003</v>
      </c>
      <c r="E23" s="13"/>
      <c r="F23" s="22">
        <f>IF(D$12=0,0,D23/D$12)</f>
        <v>0.71955919381418787</v>
      </c>
      <c r="G23" s="13"/>
      <c r="H23" s="20">
        <f>H12-H18</f>
        <v>233280</v>
      </c>
      <c r="I23" s="13"/>
      <c r="J23" s="22">
        <f>IF(H$12=0,0,H23/H$12)</f>
        <v>0.72</v>
      </c>
      <c r="K23" s="15"/>
      <c r="L23" s="20">
        <f>+D23-H23</f>
        <v>64775.910000000033</v>
      </c>
      <c r="M23" s="15"/>
      <c r="N23" s="22">
        <f>IF(H23=0,0,L23/H23)</f>
        <v>0.27767451131687254</v>
      </c>
      <c r="O23" s="25"/>
      <c r="P23" s="20">
        <f>P12-P18</f>
        <v>1267418.8900000001</v>
      </c>
      <c r="Q23" s="13"/>
      <c r="R23" s="22">
        <f>IF(P$12=0,0,P23/P$12)</f>
        <v>0.73526196777651365</v>
      </c>
      <c r="S23" s="13"/>
      <c r="T23" s="20">
        <f>T12-T18</f>
        <v>1030482</v>
      </c>
      <c r="U23" s="13"/>
      <c r="V23" s="22">
        <f>IF(T$12=0,0,T23/T$12)</f>
        <v>0.70677777777777773</v>
      </c>
      <c r="W23" s="15"/>
      <c r="X23" s="20">
        <f>+P23-T23</f>
        <v>236936.89000000013</v>
      </c>
      <c r="Y23" s="15"/>
      <c r="Z23" s="22">
        <f>IF(T23=0,0,X23/T23)</f>
        <v>0.22992821805718114</v>
      </c>
    </row>
    <row r="24" spans="1:26" x14ac:dyDescent="0.3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">
      <c r="A25" s="10"/>
      <c r="B25" s="25" t="s">
        <v>295</v>
      </c>
      <c r="C25" s="10"/>
      <c r="D25" s="21">
        <f>SUM(OSRRefD22x_0)</f>
        <v>149818.18</v>
      </c>
      <c r="E25" s="21"/>
      <c r="F25" s="30">
        <f t="shared" ref="F25:F36" si="12">IF(D$12=0,0,D25/D$12)</f>
        <v>0.36168733852487228</v>
      </c>
      <c r="G25" s="21"/>
      <c r="H25" s="21">
        <f>SUM(OSRRefH22x_0)</f>
        <v>164629.42189692304</v>
      </c>
      <c r="I25" s="21"/>
      <c r="J25" s="30">
        <f t="shared" ref="J25:J36" si="13">IF(H$12=0,0,H25/H$12)</f>
        <v>0.5081154996818612</v>
      </c>
      <c r="K25" s="4"/>
      <c r="L25" s="21">
        <f t="shared" ref="L25:L36" si="14">+D25-H25</f>
        <v>-14811.241896923049</v>
      </c>
      <c r="M25" s="4"/>
      <c r="N25" s="30">
        <f t="shared" ref="N25:N36" si="15">IF(H25=0,0,L25/H25)</f>
        <v>-8.9967162164953665E-2</v>
      </c>
      <c r="O25" s="10"/>
      <c r="P25" s="21">
        <f>SUM(OSRRefP22x_0)</f>
        <v>663856.28</v>
      </c>
      <c r="Q25" s="21"/>
      <c r="R25" s="30">
        <f t="shared" ref="R25:R36" si="16">IF(P$12=0,0,P25/P$12)</f>
        <v>0.38511993043878034</v>
      </c>
      <c r="S25" s="21"/>
      <c r="T25" s="21">
        <f>SUM(OSRRefT22x_0)</f>
        <v>791814.30543307634</v>
      </c>
      <c r="U25" s="21"/>
      <c r="V25" s="30">
        <f t="shared" ref="V25:V36" si="17">IF(T$12=0,0,T25/T$12)</f>
        <v>0.54308251401445562</v>
      </c>
      <c r="W25" s="4"/>
      <c r="X25" s="21">
        <f t="shared" ref="X25:X36" si="18">+P25-T25</f>
        <v>-127958.02543307631</v>
      </c>
      <c r="Y25" s="4"/>
      <c r="Z25" s="30">
        <f t="shared" ref="Z25:Z36" si="19">IF(T25=0,0,X25/T25)</f>
        <v>-0.16160105286692278</v>
      </c>
    </row>
    <row r="26" spans="1:26" s="29" customFormat="1" outlineLevel="1" collapsed="1" x14ac:dyDescent="0.3">
      <c r="A26" s="28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29454.489999999998</v>
      </c>
      <c r="E26" s="1"/>
      <c r="F26" s="5">
        <f t="shared" si="12"/>
        <v>7.1108300045478232E-2</v>
      </c>
      <c r="G26" s="1"/>
      <c r="H26" s="1">
        <f>SUM(OSRRefH22_0x_0)</f>
        <v>33585.000358461526</v>
      </c>
      <c r="I26" s="1"/>
      <c r="J26" s="5">
        <f t="shared" si="13"/>
        <v>0.10365740851377014</v>
      </c>
      <c r="K26" s="1"/>
      <c r="L26" s="1">
        <f t="shared" si="14"/>
        <v>-4130.5103584615281</v>
      </c>
      <c r="M26" s="1"/>
      <c r="N26" s="5">
        <f t="shared" si="15"/>
        <v>-0.12298675939781172</v>
      </c>
      <c r="O26" s="14"/>
      <c r="P26" s="1">
        <f>SUM(OSRRefP22_0x_0)</f>
        <v>126072.80000000002</v>
      </c>
      <c r="Q26" s="1"/>
      <c r="R26" s="5">
        <f t="shared" si="16"/>
        <v>7.3138041213110572E-2</v>
      </c>
      <c r="S26" s="1"/>
      <c r="T26" s="1">
        <f>SUM(OSRRefT22_0x_0)</f>
        <v>175932.98697153808</v>
      </c>
      <c r="U26" s="1"/>
      <c r="V26" s="5">
        <f t="shared" si="17"/>
        <v>0.12066734360187797</v>
      </c>
      <c r="W26" s="1"/>
      <c r="X26" s="1">
        <f t="shared" si="18"/>
        <v>-49860.18697153806</v>
      </c>
      <c r="Y26" s="1"/>
      <c r="Z26" s="5">
        <f t="shared" si="19"/>
        <v>-0.28340442477455519</v>
      </c>
    </row>
    <row r="27" spans="1:26" s="24" customFormat="1" hidden="1" outlineLevel="2" x14ac:dyDescent="0.3">
      <c r="A27" s="27"/>
      <c r="B27" s="11" t="str">
        <f>CONCATENATE("          ", "6111", " - ", "F.I.C.A.")</f>
        <v xml:space="preserve">          6111 - F.I.C.A.</v>
      </c>
      <c r="C27" s="11"/>
      <c r="D27" s="6">
        <v>3790.53</v>
      </c>
      <c r="E27" s="2"/>
      <c r="F27" s="7">
        <f t="shared" si="12"/>
        <v>9.1510036185106797E-3</v>
      </c>
      <c r="G27" s="2"/>
      <c r="H27" s="6">
        <v>4776.19020461538</v>
      </c>
      <c r="I27" s="2"/>
      <c r="J27" s="7">
        <f t="shared" si="13"/>
        <v>1.4741327792022777E-2</v>
      </c>
      <c r="K27" s="2"/>
      <c r="L27" s="6">
        <f t="shared" si="14"/>
        <v>-985.66020461537983</v>
      </c>
      <c r="M27" s="2"/>
      <c r="N27" s="7">
        <f t="shared" si="15"/>
        <v>-0.20636954610034289</v>
      </c>
      <c r="O27" s="11"/>
      <c r="P27" s="6">
        <v>16877.689999999999</v>
      </c>
      <c r="Q27" s="2"/>
      <c r="R27" s="7">
        <f t="shared" si="16"/>
        <v>9.7911776910015787E-3</v>
      </c>
      <c r="S27" s="2"/>
      <c r="T27" s="6">
        <v>24317.531125384601</v>
      </c>
      <c r="U27" s="2"/>
      <c r="V27" s="7">
        <f t="shared" si="17"/>
        <v>1.6678690758151305E-2</v>
      </c>
      <c r="W27" s="2"/>
      <c r="X27" s="6">
        <f t="shared" si="18"/>
        <v>-7439.8411253846025</v>
      </c>
      <c r="Y27" s="2"/>
      <c r="Z27" s="7">
        <f t="shared" si="19"/>
        <v>-0.30594557839871728</v>
      </c>
    </row>
    <row r="28" spans="1:26" s="24" customFormat="1" hidden="1" outlineLevel="2" x14ac:dyDescent="0.3">
      <c r="A28" s="27"/>
      <c r="B28" s="11" t="str">
        <f>CONCATENATE("          ", "6112", " - ", "COMPENSATION INSURANCE")</f>
        <v xml:space="preserve">          6112 - COMPENSATION INSURANCE</v>
      </c>
      <c r="C28" s="11"/>
      <c r="D28" s="6">
        <v>2683.52</v>
      </c>
      <c r="E28" s="2"/>
      <c r="F28" s="7">
        <f t="shared" si="12"/>
        <v>6.4784875018389981E-3</v>
      </c>
      <c r="G28" s="2"/>
      <c r="H28" s="6">
        <v>3028.56567692308</v>
      </c>
      <c r="I28" s="2"/>
      <c r="J28" s="7">
        <f t="shared" si="13"/>
        <v>9.3474249287749389E-3</v>
      </c>
      <c r="K28" s="2"/>
      <c r="L28" s="6">
        <f t="shared" si="14"/>
        <v>-345.04567692308001</v>
      </c>
      <c r="M28" s="2"/>
      <c r="N28" s="7">
        <f t="shared" si="15"/>
        <v>-0.11393039271105876</v>
      </c>
      <c r="O28" s="11"/>
      <c r="P28" s="6">
        <v>10192.370000000001</v>
      </c>
      <c r="Q28" s="2"/>
      <c r="R28" s="7">
        <f t="shared" si="16"/>
        <v>5.9128533444111004E-3</v>
      </c>
      <c r="S28" s="2"/>
      <c r="T28" s="6">
        <v>14563.136223076899</v>
      </c>
      <c r="U28" s="2"/>
      <c r="V28" s="7">
        <f t="shared" si="17"/>
        <v>9.9884336235095336E-3</v>
      </c>
      <c r="W28" s="2"/>
      <c r="X28" s="6">
        <f t="shared" si="18"/>
        <v>-4370.7662230768983</v>
      </c>
      <c r="Y28" s="2"/>
      <c r="Z28" s="7">
        <f t="shared" si="19"/>
        <v>-0.30012534086929271</v>
      </c>
    </row>
    <row r="29" spans="1:26" s="24" customFormat="1" hidden="1" outlineLevel="2" x14ac:dyDescent="0.3">
      <c r="A29" s="27"/>
      <c r="B29" s="11" t="str">
        <f>CONCATENATE("          ", "6113", " - ", "GROUP INSURANCE")</f>
        <v xml:space="preserve">          6113 - GROUP INSURANCE</v>
      </c>
      <c r="C29" s="11"/>
      <c r="D29" s="6">
        <v>15085.96</v>
      </c>
      <c r="E29" s="2"/>
      <c r="F29" s="7">
        <f t="shared" si="12"/>
        <v>3.6420150888848618E-2</v>
      </c>
      <c r="G29" s="2"/>
      <c r="H29" s="6">
        <v>20158.384615384599</v>
      </c>
      <c r="I29" s="2"/>
      <c r="J29" s="7">
        <f t="shared" si="13"/>
        <v>6.2217236467236418E-2</v>
      </c>
      <c r="K29" s="2"/>
      <c r="L29" s="6">
        <f t="shared" si="14"/>
        <v>-5072.4246153845997</v>
      </c>
      <c r="M29" s="2"/>
      <c r="N29" s="7">
        <f t="shared" si="15"/>
        <v>-0.25162852640054284</v>
      </c>
      <c r="O29" s="11"/>
      <c r="P29" s="6">
        <v>64463.85</v>
      </c>
      <c r="Q29" s="2"/>
      <c r="R29" s="7">
        <f t="shared" si="16"/>
        <v>3.7397120695786698E-2</v>
      </c>
      <c r="S29" s="2"/>
      <c r="T29" s="6">
        <v>107905.615384615</v>
      </c>
      <c r="U29" s="2"/>
      <c r="V29" s="7">
        <f t="shared" si="17"/>
        <v>7.4009338398227015E-2</v>
      </c>
      <c r="W29" s="2"/>
      <c r="X29" s="6">
        <f t="shared" si="18"/>
        <v>-43441.765384614999</v>
      </c>
      <c r="Y29" s="2"/>
      <c r="Z29" s="7">
        <f t="shared" si="19"/>
        <v>-0.40259040486236691</v>
      </c>
    </row>
    <row r="30" spans="1:26" s="24" customFormat="1" hidden="1" outlineLevel="2" x14ac:dyDescent="0.3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193.82</v>
      </c>
      <c r="E30" s="2"/>
      <c r="F30" s="7">
        <f t="shared" si="12"/>
        <v>4.6791544225734653E-4</v>
      </c>
      <c r="G30" s="2"/>
      <c r="H30" s="6">
        <v>167.809707692308</v>
      </c>
      <c r="I30" s="2"/>
      <c r="J30" s="7">
        <f t="shared" si="13"/>
        <v>5.1793119658119751E-4</v>
      </c>
      <c r="K30" s="2"/>
      <c r="L30" s="6">
        <f t="shared" si="14"/>
        <v>26.010292307691998</v>
      </c>
      <c r="M30" s="2"/>
      <c r="N30" s="7">
        <f t="shared" si="15"/>
        <v>0.15499873437229192</v>
      </c>
      <c r="O30" s="11"/>
      <c r="P30" s="6">
        <v>736.13</v>
      </c>
      <c r="Q30" s="2"/>
      <c r="R30" s="7">
        <f t="shared" si="16"/>
        <v>4.2704775556826752E-4</v>
      </c>
      <c r="S30" s="2"/>
      <c r="T30" s="6">
        <v>806.92839230769403</v>
      </c>
      <c r="U30" s="2"/>
      <c r="V30" s="7">
        <f t="shared" si="17"/>
        <v>5.5344882874327431E-4</v>
      </c>
      <c r="W30" s="2"/>
      <c r="X30" s="6">
        <f t="shared" si="18"/>
        <v>-70.79839230769403</v>
      </c>
      <c r="Y30" s="2"/>
      <c r="Z30" s="7">
        <f t="shared" si="19"/>
        <v>-8.7738135109140553E-2</v>
      </c>
    </row>
    <row r="31" spans="1:26" s="24" customFormat="1" hidden="1" outlineLevel="2" x14ac:dyDescent="0.3">
      <c r="A31" s="27"/>
      <c r="B31" s="11" t="str">
        <f>CONCATENATE("          ", "6115", " - ", "P.E.R.S.")</f>
        <v xml:space="preserve">          6115 - P.E.R.S.</v>
      </c>
      <c r="C31" s="11"/>
      <c r="D31" s="6">
        <v>1479.93</v>
      </c>
      <c r="E31" s="2"/>
      <c r="F31" s="7">
        <f t="shared" si="12"/>
        <v>3.5728103418631455E-3</v>
      </c>
      <c r="G31" s="2"/>
      <c r="H31" s="6">
        <v>1246.0870769230801</v>
      </c>
      <c r="I31" s="2"/>
      <c r="J31" s="7">
        <f t="shared" si="13"/>
        <v>3.8459477682811112E-3</v>
      </c>
      <c r="K31" s="2"/>
      <c r="L31" s="6">
        <f t="shared" si="14"/>
        <v>233.84292307691999</v>
      </c>
      <c r="M31" s="2"/>
      <c r="N31" s="7">
        <f t="shared" si="15"/>
        <v>0.18766178335974742</v>
      </c>
      <c r="O31" s="11"/>
      <c r="P31" s="6">
        <v>6664.89</v>
      </c>
      <c r="Q31" s="2"/>
      <c r="R31" s="7">
        <f t="shared" si="16"/>
        <v>3.8664723834232954E-3</v>
      </c>
      <c r="S31" s="2"/>
      <c r="T31" s="6">
        <v>6853.4789230769402</v>
      </c>
      <c r="U31" s="2"/>
      <c r="V31" s="7">
        <f t="shared" si="17"/>
        <v>4.7006028278991363E-3</v>
      </c>
      <c r="W31" s="2"/>
      <c r="X31" s="6">
        <f t="shared" si="18"/>
        <v>-188.58892307693986</v>
      </c>
      <c r="Y31" s="2"/>
      <c r="Z31" s="7">
        <f t="shared" si="19"/>
        <v>-2.7517254403734405E-2</v>
      </c>
    </row>
    <row r="32" spans="1:26" s="24" customFormat="1" hidden="1" outlineLevel="2" x14ac:dyDescent="0.3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3">
      <c r="A33" s="27"/>
      <c r="B33" s="11" t="str">
        <f>CONCATENATE("          ", "6117", " - ", "RETIREMENT STAFF HOURLY")</f>
        <v xml:space="preserve">          6117 - RETIREMENT STAFF HOURLY</v>
      </c>
      <c r="C33" s="11"/>
      <c r="D33" s="6">
        <v>585.89</v>
      </c>
      <c r="E33" s="2"/>
      <c r="F33" s="7">
        <f t="shared" si="12"/>
        <v>1.4144411230221688E-3</v>
      </c>
      <c r="G33" s="2"/>
      <c r="H33" s="6"/>
      <c r="I33" s="2"/>
      <c r="J33" s="7">
        <f t="shared" si="13"/>
        <v>0</v>
      </c>
      <c r="K33" s="2"/>
      <c r="L33" s="6">
        <f t="shared" si="14"/>
        <v>585.89</v>
      </c>
      <c r="M33" s="2"/>
      <c r="N33" s="7">
        <f t="shared" si="15"/>
        <v>0</v>
      </c>
      <c r="O33" s="11"/>
      <c r="P33" s="6">
        <v>2295.19</v>
      </c>
      <c r="Q33" s="2"/>
      <c r="R33" s="7">
        <f t="shared" si="16"/>
        <v>1.3314981567151617E-3</v>
      </c>
      <c r="S33" s="2"/>
      <c r="T33" s="6"/>
      <c r="U33" s="2"/>
      <c r="V33" s="7">
        <f t="shared" si="17"/>
        <v>0</v>
      </c>
      <c r="W33" s="2"/>
      <c r="X33" s="6">
        <f t="shared" si="18"/>
        <v>2295.19</v>
      </c>
      <c r="Y33" s="2"/>
      <c r="Z33" s="7">
        <f t="shared" si="19"/>
        <v>0</v>
      </c>
    </row>
    <row r="34" spans="1:26" s="24" customFormat="1" hidden="1" outlineLevel="2" x14ac:dyDescent="0.3">
      <c r="A34" s="27"/>
      <c r="B34" s="11" t="str">
        <f>CONCATENATE("          ", "6118", " - ", "VACATION")</f>
        <v xml:space="preserve">          6118 - VACATION</v>
      </c>
      <c r="C34" s="11"/>
      <c r="D34" s="6">
        <v>2143.64</v>
      </c>
      <c r="E34" s="2"/>
      <c r="F34" s="7">
        <f t="shared" si="12"/>
        <v>5.1751225809541753E-3</v>
      </c>
      <c r="G34" s="2"/>
      <c r="H34" s="6">
        <v>1810.68153846154</v>
      </c>
      <c r="I34" s="2"/>
      <c r="J34" s="7">
        <f t="shared" si="13"/>
        <v>5.5885232668566051E-3</v>
      </c>
      <c r="K34" s="2"/>
      <c r="L34" s="6">
        <f t="shared" si="14"/>
        <v>332.95846153845991</v>
      </c>
      <c r="M34" s="2"/>
      <c r="N34" s="7">
        <f t="shared" si="15"/>
        <v>0.18388571069287024</v>
      </c>
      <c r="O34" s="11"/>
      <c r="P34" s="6">
        <v>10884.42</v>
      </c>
      <c r="Q34" s="2"/>
      <c r="R34" s="7">
        <f t="shared" si="16"/>
        <v>6.3143291696607425E-3</v>
      </c>
      <c r="S34" s="2"/>
      <c r="T34" s="6">
        <v>9958.7484615384601</v>
      </c>
      <c r="U34" s="2"/>
      <c r="V34" s="7">
        <f t="shared" si="17"/>
        <v>6.8304173261580659E-3</v>
      </c>
      <c r="W34" s="2"/>
      <c r="X34" s="6">
        <f t="shared" si="18"/>
        <v>925.67153846153997</v>
      </c>
      <c r="Y34" s="2"/>
      <c r="Z34" s="7">
        <f t="shared" si="19"/>
        <v>9.295058932721946E-2</v>
      </c>
    </row>
    <row r="35" spans="1:26" s="24" customFormat="1" hidden="1" outlineLevel="2" x14ac:dyDescent="0.3">
      <c r="A35" s="27"/>
      <c r="B35" s="11" t="str">
        <f>CONCATENATE("          ", "6119", " - ", "SICK LEAVE")</f>
        <v xml:space="preserve">          6119 - SICK LEAVE</v>
      </c>
      <c r="C35" s="11"/>
      <c r="D35" s="6">
        <v>1837.25</v>
      </c>
      <c r="E35" s="2"/>
      <c r="F35" s="7">
        <f t="shared" si="12"/>
        <v>4.4354434335327104E-3</v>
      </c>
      <c r="G35" s="2"/>
      <c r="H35" s="6">
        <v>2397.2815384615401</v>
      </c>
      <c r="I35" s="2"/>
      <c r="J35" s="7">
        <f t="shared" si="13"/>
        <v>7.3990170940170987E-3</v>
      </c>
      <c r="K35" s="2"/>
      <c r="L35" s="6">
        <f t="shared" si="14"/>
        <v>-560.03153846154009</v>
      </c>
      <c r="M35" s="2"/>
      <c r="N35" s="7">
        <f t="shared" si="15"/>
        <v>-0.23361108383662829</v>
      </c>
      <c r="O35" s="11"/>
      <c r="P35" s="6">
        <v>8101.21</v>
      </c>
      <c r="Q35" s="2"/>
      <c r="R35" s="7">
        <f t="shared" si="16"/>
        <v>4.6997181854933293E-3</v>
      </c>
      <c r="S35" s="2"/>
      <c r="T35" s="6">
        <v>11527.548461538499</v>
      </c>
      <c r="U35" s="2"/>
      <c r="V35" s="7">
        <f t="shared" si="17"/>
        <v>7.9064118391896435E-3</v>
      </c>
      <c r="W35" s="2"/>
      <c r="X35" s="6">
        <f t="shared" si="18"/>
        <v>-3426.3384615384994</v>
      </c>
      <c r="Y35" s="2"/>
      <c r="Z35" s="7">
        <f t="shared" si="19"/>
        <v>-0.29723045389663105</v>
      </c>
    </row>
    <row r="36" spans="1:26" s="24" customFormat="1" hidden="1" outlineLevel="2" x14ac:dyDescent="0.3">
      <c r="A36" s="27"/>
      <c r="B36" s="11" t="str">
        <f>CONCATENATE("          ", "6156", " - ", "EMPLOYEE MEALS")</f>
        <v xml:space="preserve">          6156 - EMPLOYEE MEALS</v>
      </c>
      <c r="C36" s="11"/>
      <c r="D36" s="6">
        <v>1653.95</v>
      </c>
      <c r="E36" s="2"/>
      <c r="F36" s="7">
        <f t="shared" si="12"/>
        <v>3.9929251146503886E-3</v>
      </c>
      <c r="G36" s="2"/>
      <c r="H36" s="6"/>
      <c r="I36" s="2"/>
      <c r="J36" s="7">
        <f t="shared" si="13"/>
        <v>0</v>
      </c>
      <c r="K36" s="2"/>
      <c r="L36" s="6">
        <f t="shared" si="14"/>
        <v>1653.95</v>
      </c>
      <c r="M36" s="2"/>
      <c r="N36" s="7">
        <f t="shared" si="15"/>
        <v>0</v>
      </c>
      <c r="O36" s="11"/>
      <c r="P36" s="6">
        <v>5857.05</v>
      </c>
      <c r="Q36" s="2"/>
      <c r="R36" s="7">
        <f t="shared" si="16"/>
        <v>3.3978238310503868E-3</v>
      </c>
      <c r="S36" s="2"/>
      <c r="T36" s="6"/>
      <c r="U36" s="2"/>
      <c r="V36" s="7">
        <f t="shared" si="17"/>
        <v>0</v>
      </c>
      <c r="W36" s="2"/>
      <c r="X36" s="6">
        <f t="shared" si="18"/>
        <v>5857.05</v>
      </c>
      <c r="Y36" s="2"/>
      <c r="Z36" s="7">
        <f t="shared" si="19"/>
        <v>0</v>
      </c>
    </row>
    <row r="37" spans="1:26" s="29" customFormat="1" outlineLevel="1" collapsed="1" x14ac:dyDescent="0.3">
      <c r="A37" s="28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73015.17</v>
      </c>
      <c r="E37" s="1"/>
      <c r="F37" s="5">
        <f t="shared" ref="F37:F47" si="20">IF(D$12=0,0,D37/D$12)</f>
        <v>0.17627141451885944</v>
      </c>
      <c r="G37" s="1"/>
      <c r="H37" s="1">
        <f>SUM(OSRRefH22_1x_0)</f>
        <v>76838.421538461494</v>
      </c>
      <c r="I37" s="1"/>
      <c r="J37" s="5">
        <f t="shared" ref="J37:J47" si="21">IF(H$12=0,0,H37/H$12)</f>
        <v>0.23715562203228857</v>
      </c>
      <c r="K37" s="1"/>
      <c r="L37" s="1">
        <f t="shared" ref="L37:L47" si="22">+D37-H37</f>
        <v>-3823.2515384614962</v>
      </c>
      <c r="M37" s="1"/>
      <c r="N37" s="5">
        <f t="shared" ref="N37:N47" si="23">IF(H37=0,0,L37/H37)</f>
        <v>-4.9757028605119984E-2</v>
      </c>
      <c r="O37" s="14"/>
      <c r="P37" s="1">
        <f>SUM(OSRRefP22_1x_0)</f>
        <v>303184.05</v>
      </c>
      <c r="Q37" s="1"/>
      <c r="R37" s="5">
        <f t="shared" ref="R37:R47" si="24">IF(P$12=0,0,P37/P$12)</f>
        <v>0.17588478675858529</v>
      </c>
      <c r="S37" s="1"/>
      <c r="T37" s="1">
        <f>SUM(OSRRefT22_1x_0)</f>
        <v>367361.31846153829</v>
      </c>
      <c r="U37" s="1"/>
      <c r="V37" s="5">
        <f t="shared" ref="V37:V47" si="25">IF(T$12=0,0,T37/T$12)</f>
        <v>0.25196249551545835</v>
      </c>
      <c r="W37" s="1"/>
      <c r="X37" s="1">
        <f t="shared" ref="X37:X47" si="26">+P37-T37</f>
        <v>-64177.268461538304</v>
      </c>
      <c r="Y37" s="1"/>
      <c r="Z37" s="5">
        <f t="shared" ref="Z37:Z47" si="27">IF(T37=0,0,X37/T37)</f>
        <v>-0.17469794786861179</v>
      </c>
    </row>
    <row r="38" spans="1:26" s="24" customFormat="1" hidden="1" outlineLevel="2" x14ac:dyDescent="0.3">
      <c r="A38" s="27"/>
      <c r="B38" s="11" t="str">
        <f>CONCATENATE("          ", "6001", " - ", "ADMINISTRATIVE SALARIES")</f>
        <v xml:space="preserve">          6001 - ADMINISTRATIVE SALARIES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3">
      <c r="A39" s="27"/>
      <c r="B39" s="11" t="str">
        <f>CONCATENATE("          ", "6002", " - ", "STAFF SALARIES")</f>
        <v xml:space="preserve">          6002 - STAFF SALARIES</v>
      </c>
      <c r="C39" s="11"/>
      <c r="D39" s="6">
        <v>15887.18</v>
      </c>
      <c r="E39" s="2"/>
      <c r="F39" s="7">
        <f t="shared" si="20"/>
        <v>3.8354436363234296E-2</v>
      </c>
      <c r="G39" s="2"/>
      <c r="H39" s="6">
        <v>13620.0215384615</v>
      </c>
      <c r="I39" s="2"/>
      <c r="J39" s="7">
        <f t="shared" si="21"/>
        <v>4.203710351377006E-2</v>
      </c>
      <c r="K39" s="2"/>
      <c r="L39" s="6">
        <f t="shared" si="22"/>
        <v>2267.1584615385</v>
      </c>
      <c r="M39" s="2"/>
      <c r="N39" s="7">
        <f t="shared" si="23"/>
        <v>0.16645777358987901</v>
      </c>
      <c r="O39" s="11"/>
      <c r="P39" s="6">
        <v>71476.240000000005</v>
      </c>
      <c r="Q39" s="2"/>
      <c r="R39" s="7">
        <f t="shared" si="24"/>
        <v>4.1465186676889719E-2</v>
      </c>
      <c r="S39" s="2"/>
      <c r="T39" s="6">
        <v>74910.118461538295</v>
      </c>
      <c r="U39" s="2"/>
      <c r="V39" s="7">
        <f t="shared" si="25"/>
        <v>5.1378682072385662E-2</v>
      </c>
      <c r="W39" s="2"/>
      <c r="X39" s="6">
        <f t="shared" si="26"/>
        <v>-3433.8784615382901</v>
      </c>
      <c r="Y39" s="2"/>
      <c r="Z39" s="7">
        <f t="shared" si="27"/>
        <v>-4.5839981728254431E-2</v>
      </c>
    </row>
    <row r="40" spans="1:26" s="24" customFormat="1" hidden="1" outlineLevel="2" x14ac:dyDescent="0.3">
      <c r="A40" s="27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3">
      <c r="A41" s="27"/>
      <c r="B41" s="11" t="str">
        <f>CONCATENATE("          ", "6004", " - ", "STAFF HOURLY")</f>
        <v xml:space="preserve">          6004 - STAFF HOURLY</v>
      </c>
      <c r="C41" s="11"/>
      <c r="D41" s="6">
        <v>24904.15</v>
      </c>
      <c r="E41" s="2"/>
      <c r="F41" s="7">
        <f t="shared" si="20"/>
        <v>6.0122981948680723E-2</v>
      </c>
      <c r="G41" s="2"/>
      <c r="H41" s="6">
        <v>45718.400000000001</v>
      </c>
      <c r="I41" s="2"/>
      <c r="J41" s="7">
        <f t="shared" si="21"/>
        <v>0.14110617283950619</v>
      </c>
      <c r="K41" s="2"/>
      <c r="L41" s="6">
        <f t="shared" si="22"/>
        <v>-20814.25</v>
      </c>
      <c r="M41" s="2"/>
      <c r="N41" s="7">
        <f t="shared" si="23"/>
        <v>-0.45527074438300552</v>
      </c>
      <c r="O41" s="11"/>
      <c r="P41" s="6">
        <v>108805.27</v>
      </c>
      <c r="Q41" s="2"/>
      <c r="R41" s="7">
        <f t="shared" si="24"/>
        <v>6.3120707412412685E-2</v>
      </c>
      <c r="S41" s="2"/>
      <c r="T41" s="6">
        <v>225951.2</v>
      </c>
      <c r="U41" s="2"/>
      <c r="V41" s="7">
        <f t="shared" si="25"/>
        <v>0.15497338820301784</v>
      </c>
      <c r="W41" s="2"/>
      <c r="X41" s="6">
        <f t="shared" si="26"/>
        <v>-117145.93000000001</v>
      </c>
      <c r="Y41" s="2"/>
      <c r="Z41" s="7">
        <f t="shared" si="27"/>
        <v>-0.51845677296690618</v>
      </c>
    </row>
    <row r="42" spans="1:26" s="24" customFormat="1" hidden="1" outlineLevel="2" x14ac:dyDescent="0.3">
      <c r="A42" s="27"/>
      <c r="B42" s="11" t="str">
        <f>CONCATENATE("          ", "6005", " - ", "TEMPORARY WAGES-HOURLY")</f>
        <v xml:space="preserve">          6005 - TEMPORARY WAGES-HOURLY</v>
      </c>
      <c r="C42" s="11"/>
      <c r="D42" s="6">
        <v>7163.2</v>
      </c>
      <c r="E42" s="2"/>
      <c r="F42" s="7">
        <f t="shared" si="20"/>
        <v>1.7293219977184113E-2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7163.2</v>
      </c>
      <c r="M42" s="2"/>
      <c r="N42" s="7">
        <f t="shared" si="23"/>
        <v>0</v>
      </c>
      <c r="O42" s="11"/>
      <c r="P42" s="6">
        <v>53548.24</v>
      </c>
      <c r="Q42" s="2"/>
      <c r="R42" s="7">
        <f t="shared" si="24"/>
        <v>3.106469741299896E-2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53548.24</v>
      </c>
      <c r="Y42" s="2"/>
      <c r="Z42" s="7">
        <f t="shared" si="27"/>
        <v>0</v>
      </c>
    </row>
    <row r="43" spans="1:26" s="24" customFormat="1" hidden="1" outlineLevel="2" x14ac:dyDescent="0.3">
      <c r="A43" s="27"/>
      <c r="B43" s="11" t="str">
        <f>CONCATENATE("          ", "6006", " - ", "TEMPORARY PART TIME")</f>
        <v xml:space="preserve">          6006 - TEMPORARY PART TIME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4" customFormat="1" hidden="1" outlineLevel="2" x14ac:dyDescent="0.3">
      <c r="A44" s="27"/>
      <c r="B44" s="11" t="str">
        <f>CONCATENATE("          ", "6007", " - ", "STUDENT HOURLY")</f>
        <v xml:space="preserve">          6007 - STUDENT HOURLY</v>
      </c>
      <c r="C44" s="11"/>
      <c r="D44" s="6">
        <v>17741.580000000002</v>
      </c>
      <c r="E44" s="2"/>
      <c r="F44" s="7">
        <f t="shared" si="20"/>
        <v>4.283128290188884E-2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17741.580000000002</v>
      </c>
      <c r="M44" s="2"/>
      <c r="N44" s="7">
        <f t="shared" si="23"/>
        <v>0</v>
      </c>
      <c r="O44" s="11"/>
      <c r="P44" s="6">
        <v>59600.08</v>
      </c>
      <c r="Q44" s="2"/>
      <c r="R44" s="7">
        <f t="shared" si="24"/>
        <v>3.4575523882587569E-2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59600.08</v>
      </c>
      <c r="Y44" s="2"/>
      <c r="Z44" s="7">
        <f t="shared" si="27"/>
        <v>0</v>
      </c>
    </row>
    <row r="45" spans="1:26" s="24" customFormat="1" hidden="1" outlineLevel="2" x14ac:dyDescent="0.3">
      <c r="A45" s="27"/>
      <c r="B45" s="11" t="str">
        <f>CONCATENATE("          ", "6008", " - ", "STUDENT HOURLY-FICA EXEMPT")</f>
        <v xml:space="preserve">          6008 - STUDENT HOURLY-FICA EXEMPT</v>
      </c>
      <c r="C45" s="11"/>
      <c r="D45" s="6">
        <v>7319.06</v>
      </c>
      <c r="E45" s="2"/>
      <c r="F45" s="7">
        <f t="shared" si="20"/>
        <v>1.7669493327871502E-2</v>
      </c>
      <c r="G45" s="2"/>
      <c r="H45" s="6">
        <v>17500</v>
      </c>
      <c r="I45" s="2"/>
      <c r="J45" s="7">
        <f t="shared" si="21"/>
        <v>5.4012345679012343E-2</v>
      </c>
      <c r="K45" s="2"/>
      <c r="L45" s="6">
        <f t="shared" si="22"/>
        <v>-10180.939999999999</v>
      </c>
      <c r="M45" s="2"/>
      <c r="N45" s="7">
        <f t="shared" si="23"/>
        <v>-0.58176799999999995</v>
      </c>
      <c r="O45" s="11"/>
      <c r="P45" s="6">
        <v>9754.2199999999993</v>
      </c>
      <c r="Q45" s="2"/>
      <c r="R45" s="7">
        <f t="shared" si="24"/>
        <v>5.6586713736963661E-3</v>
      </c>
      <c r="S45" s="2"/>
      <c r="T45" s="6">
        <v>66500</v>
      </c>
      <c r="U45" s="2"/>
      <c r="V45" s="7">
        <f t="shared" si="25"/>
        <v>4.5610425240054868E-2</v>
      </c>
      <c r="W45" s="2"/>
      <c r="X45" s="6">
        <f t="shared" si="26"/>
        <v>-56745.78</v>
      </c>
      <c r="Y45" s="2"/>
      <c r="Z45" s="7">
        <f t="shared" si="27"/>
        <v>-0.85331999999999997</v>
      </c>
    </row>
    <row r="46" spans="1:26" s="24" customFormat="1" hidden="1" outlineLevel="2" x14ac:dyDescent="0.3">
      <c r="A46" s="27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3">
      <c r="A47" s="27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9" customFormat="1" outlineLevel="1" collapsed="1" x14ac:dyDescent="0.3">
      <c r="A48" s="28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123.48</v>
      </c>
      <c r="E48" s="1"/>
      <c r="F48" s="5">
        <f t="shared" ref="F48:F69" si="28">IF(D$12=0,0,D48/D$12)</f>
        <v>2.9810235687719095E-4</v>
      </c>
      <c r="G48" s="1"/>
      <c r="H48" s="1">
        <f>SUM(OSRRefH22_2x_0)</f>
        <v>600</v>
      </c>
      <c r="I48" s="1"/>
      <c r="J48" s="5">
        <f t="shared" ref="J48:J69" si="29">IF(H$12=0,0,H48/H$12)</f>
        <v>1.8518518518518519E-3</v>
      </c>
      <c r="K48" s="1"/>
      <c r="L48" s="1">
        <f t="shared" ref="L48:L69" si="30">+D48-H48</f>
        <v>-476.52</v>
      </c>
      <c r="M48" s="1"/>
      <c r="N48" s="5">
        <f t="shared" ref="N48:N69" si="31">IF(H48=0,0,L48/H48)</f>
        <v>-0.79420000000000002</v>
      </c>
      <c r="O48" s="14"/>
      <c r="P48" s="1">
        <f>SUM(OSRRefP22_2x_0)</f>
        <v>1137.8499999999999</v>
      </c>
      <c r="Q48" s="1"/>
      <c r="R48" s="5">
        <f t="shared" ref="R48:R69" si="32">IF(P$12=0,0,P48/P$12)</f>
        <v>6.6009575574063433E-4</v>
      </c>
      <c r="S48" s="1"/>
      <c r="T48" s="1">
        <f>SUM(OSRRefT22_2x_0)</f>
        <v>3000</v>
      </c>
      <c r="U48" s="1"/>
      <c r="V48" s="5">
        <f t="shared" ref="V48:V69" si="33">IF(T$12=0,0,T48/T$12)</f>
        <v>2.05761316872428E-3</v>
      </c>
      <c r="W48" s="1"/>
      <c r="X48" s="1">
        <f t="shared" ref="X48:X69" si="34">+P48-T48</f>
        <v>-1862.15</v>
      </c>
      <c r="Y48" s="1"/>
      <c r="Z48" s="5">
        <f t="shared" ref="Z48:Z69" si="35">IF(T48=0,0,X48/T48)</f>
        <v>-0.62071666666666669</v>
      </c>
    </row>
    <row r="49" spans="1:26" s="24" customFormat="1" hidden="1" outlineLevel="2" x14ac:dyDescent="0.3">
      <c r="A49" s="27"/>
      <c r="B49" s="11" t="str">
        <f>CONCATENATE("          ", "6362", " - ", "ADVERTISING EXPENSE")</f>
        <v xml:space="preserve">          6362 - ADVERTISING EXPENSE</v>
      </c>
      <c r="C49" s="11"/>
      <c r="D49" s="6">
        <v>123.48</v>
      </c>
      <c r="E49" s="2"/>
      <c r="F49" s="7">
        <f t="shared" si="28"/>
        <v>2.9810235687719095E-4</v>
      </c>
      <c r="G49" s="2"/>
      <c r="H49" s="6">
        <v>600</v>
      </c>
      <c r="I49" s="2"/>
      <c r="J49" s="7">
        <f t="shared" si="29"/>
        <v>1.8518518518518519E-3</v>
      </c>
      <c r="K49" s="2"/>
      <c r="L49" s="6">
        <f t="shared" si="30"/>
        <v>-476.52</v>
      </c>
      <c r="M49" s="2"/>
      <c r="N49" s="7">
        <f t="shared" si="31"/>
        <v>-0.79420000000000002</v>
      </c>
      <c r="O49" s="11"/>
      <c r="P49" s="6">
        <v>1137.8499999999999</v>
      </c>
      <c r="Q49" s="2"/>
      <c r="R49" s="7">
        <f t="shared" si="32"/>
        <v>6.6009575574063433E-4</v>
      </c>
      <c r="S49" s="2"/>
      <c r="T49" s="6">
        <v>3000</v>
      </c>
      <c r="U49" s="2"/>
      <c r="V49" s="7">
        <f t="shared" si="33"/>
        <v>2.05761316872428E-3</v>
      </c>
      <c r="W49" s="2"/>
      <c r="X49" s="6">
        <f t="shared" si="34"/>
        <v>-1862.15</v>
      </c>
      <c r="Y49" s="2"/>
      <c r="Z49" s="7">
        <f t="shared" si="35"/>
        <v>-0.62071666666666669</v>
      </c>
    </row>
    <row r="50" spans="1:26" s="29" customFormat="1" outlineLevel="1" collapsed="1" x14ac:dyDescent="0.3">
      <c r="A50" s="28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-8</v>
      </c>
      <c r="E50" s="1"/>
      <c r="F50" s="5">
        <f t="shared" si="28"/>
        <v>-1.9313401806102425E-5</v>
      </c>
      <c r="G50" s="1"/>
      <c r="H50" s="1">
        <f>SUM(OSRRefH22_3x_0)</f>
        <v>15</v>
      </c>
      <c r="I50" s="1"/>
      <c r="J50" s="5">
        <f t="shared" si="29"/>
        <v>4.6296296296296294E-5</v>
      </c>
      <c r="K50" s="1"/>
      <c r="L50" s="1">
        <f t="shared" si="30"/>
        <v>-23</v>
      </c>
      <c r="M50" s="1"/>
      <c r="N50" s="5">
        <f t="shared" si="31"/>
        <v>-1.5333333333333334</v>
      </c>
      <c r="O50" s="14"/>
      <c r="P50" s="1">
        <f>SUM(OSRRefP22_3x_0)</f>
        <v>-23.9</v>
      </c>
      <c r="Q50" s="1"/>
      <c r="R50" s="5">
        <f t="shared" si="32"/>
        <v>-1.3864998516677207E-5</v>
      </c>
      <c r="S50" s="1"/>
      <c r="T50" s="1">
        <f>SUM(OSRRefT22_3x_0)</f>
        <v>75</v>
      </c>
      <c r="U50" s="1"/>
      <c r="V50" s="5">
        <f t="shared" si="33"/>
        <v>5.1440329218106995E-5</v>
      </c>
      <c r="W50" s="1"/>
      <c r="X50" s="1">
        <f t="shared" si="34"/>
        <v>-98.9</v>
      </c>
      <c r="Y50" s="1"/>
      <c r="Z50" s="5">
        <f t="shared" si="35"/>
        <v>-1.3186666666666667</v>
      </c>
    </row>
    <row r="51" spans="1:26" s="24" customFormat="1" hidden="1" outlineLevel="2" x14ac:dyDescent="0.3">
      <c r="A51" s="27"/>
      <c r="B51" s="11" t="str">
        <f>CONCATENATE("          ", "6272", " - ", "CASH (OVER/SHORT)")</f>
        <v xml:space="preserve">          6272 - CASH (OVER/SHORT)</v>
      </c>
      <c r="C51" s="11"/>
      <c r="D51" s="6">
        <v>-8</v>
      </c>
      <c r="E51" s="2"/>
      <c r="F51" s="7">
        <f t="shared" si="28"/>
        <v>-1.9313401806102425E-5</v>
      </c>
      <c r="G51" s="2"/>
      <c r="H51" s="6">
        <v>15</v>
      </c>
      <c r="I51" s="2"/>
      <c r="J51" s="7">
        <f t="shared" si="29"/>
        <v>4.6296296296296294E-5</v>
      </c>
      <c r="K51" s="2"/>
      <c r="L51" s="6">
        <f t="shared" si="30"/>
        <v>-23</v>
      </c>
      <c r="M51" s="2"/>
      <c r="N51" s="7">
        <f t="shared" si="31"/>
        <v>-1.5333333333333334</v>
      </c>
      <c r="O51" s="11"/>
      <c r="P51" s="6">
        <v>-23.9</v>
      </c>
      <c r="Q51" s="2"/>
      <c r="R51" s="7">
        <f t="shared" si="32"/>
        <v>-1.3864998516677207E-5</v>
      </c>
      <c r="S51" s="2"/>
      <c r="T51" s="6">
        <v>75</v>
      </c>
      <c r="U51" s="2"/>
      <c r="V51" s="7">
        <f t="shared" si="33"/>
        <v>5.1440329218106995E-5</v>
      </c>
      <c r="W51" s="2"/>
      <c r="X51" s="6">
        <f t="shared" si="34"/>
        <v>-98.9</v>
      </c>
      <c r="Y51" s="2"/>
      <c r="Z51" s="7">
        <f t="shared" si="35"/>
        <v>-1.3186666666666667</v>
      </c>
    </row>
    <row r="52" spans="1:26" s="29" customFormat="1" outlineLevel="1" collapsed="1" x14ac:dyDescent="0.3">
      <c r="A52" s="28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41.17</v>
      </c>
      <c r="E52" s="1"/>
      <c r="F52" s="5">
        <f t="shared" si="28"/>
        <v>9.9391594044654611E-5</v>
      </c>
      <c r="G52" s="1"/>
      <c r="H52" s="1">
        <f>SUM(OSRRefH22_4x_0)</f>
        <v>250</v>
      </c>
      <c r="I52" s="1"/>
      <c r="J52" s="5">
        <f t="shared" si="29"/>
        <v>7.716049382716049E-4</v>
      </c>
      <c r="K52" s="1"/>
      <c r="L52" s="1">
        <f t="shared" si="30"/>
        <v>-208.82999999999998</v>
      </c>
      <c r="M52" s="1"/>
      <c r="N52" s="5">
        <f t="shared" si="31"/>
        <v>-0.83531999999999995</v>
      </c>
      <c r="O52" s="14"/>
      <c r="P52" s="1">
        <f>SUM(OSRRefP22_4x_0)</f>
        <v>187.25</v>
      </c>
      <c r="Q52" s="1"/>
      <c r="R52" s="5">
        <f t="shared" si="32"/>
        <v>1.0862849256266976E-4</v>
      </c>
      <c r="S52" s="1"/>
      <c r="T52" s="1">
        <f>SUM(OSRRefT22_4x_0)</f>
        <v>1250</v>
      </c>
      <c r="U52" s="1"/>
      <c r="V52" s="5">
        <f t="shared" si="33"/>
        <v>8.5733882030178323E-4</v>
      </c>
      <c r="W52" s="1"/>
      <c r="X52" s="1">
        <f t="shared" si="34"/>
        <v>-1062.75</v>
      </c>
      <c r="Y52" s="1"/>
      <c r="Z52" s="5">
        <f t="shared" si="35"/>
        <v>-0.85019999999999996</v>
      </c>
    </row>
    <row r="53" spans="1:26" s="24" customFormat="1" hidden="1" outlineLevel="2" x14ac:dyDescent="0.3">
      <c r="A53" s="27"/>
      <c r="B53" s="11" t="str">
        <f>CONCATENATE("          ", "6381", " - ", "BANK/CREDIT CARD FEES")</f>
        <v xml:space="preserve">          6381 - BANK/CREDIT CARD FEES</v>
      </c>
      <c r="C53" s="11"/>
      <c r="D53" s="6">
        <v>41.17</v>
      </c>
      <c r="E53" s="2"/>
      <c r="F53" s="7">
        <f t="shared" si="28"/>
        <v>9.9391594044654611E-5</v>
      </c>
      <c r="G53" s="2"/>
      <c r="H53" s="6">
        <v>250</v>
      </c>
      <c r="I53" s="2"/>
      <c r="J53" s="7">
        <f t="shared" si="29"/>
        <v>7.716049382716049E-4</v>
      </c>
      <c r="K53" s="2"/>
      <c r="L53" s="6">
        <f t="shared" si="30"/>
        <v>-208.82999999999998</v>
      </c>
      <c r="M53" s="2"/>
      <c r="N53" s="7">
        <f t="shared" si="31"/>
        <v>-0.83531999999999995</v>
      </c>
      <c r="O53" s="11"/>
      <c r="P53" s="6">
        <v>187.25</v>
      </c>
      <c r="Q53" s="2"/>
      <c r="R53" s="7">
        <f t="shared" si="32"/>
        <v>1.0862849256266976E-4</v>
      </c>
      <c r="S53" s="2"/>
      <c r="T53" s="6">
        <v>1250</v>
      </c>
      <c r="U53" s="2"/>
      <c r="V53" s="7">
        <f t="shared" si="33"/>
        <v>8.5733882030178323E-4</v>
      </c>
      <c r="W53" s="2"/>
      <c r="X53" s="6">
        <f t="shared" si="34"/>
        <v>-1062.75</v>
      </c>
      <c r="Y53" s="2"/>
      <c r="Z53" s="7">
        <f t="shared" si="35"/>
        <v>-0.85019999999999996</v>
      </c>
    </row>
    <row r="54" spans="1:26" s="29" customFormat="1" outlineLevel="1" collapsed="1" x14ac:dyDescent="0.3">
      <c r="A54" s="28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273.51</v>
      </c>
      <c r="E54" s="1"/>
      <c r="F54" s="5">
        <f t="shared" si="28"/>
        <v>6.6030106599838424E-4</v>
      </c>
      <c r="G54" s="1"/>
      <c r="H54" s="1">
        <f>SUM(OSRRefH22_5x_0)</f>
        <v>0</v>
      </c>
      <c r="I54" s="1"/>
      <c r="J54" s="5">
        <f t="shared" si="29"/>
        <v>0</v>
      </c>
      <c r="K54" s="1"/>
      <c r="L54" s="1">
        <f t="shared" si="30"/>
        <v>273.51</v>
      </c>
      <c r="M54" s="1"/>
      <c r="N54" s="5">
        <f t="shared" si="31"/>
        <v>0</v>
      </c>
      <c r="O54" s="14"/>
      <c r="P54" s="1">
        <f>SUM(OSRRefP22_5x_0)</f>
        <v>1367.55</v>
      </c>
      <c r="Q54" s="1"/>
      <c r="R54" s="5">
        <f t="shared" si="32"/>
        <v>7.933505741205822E-4</v>
      </c>
      <c r="S54" s="1"/>
      <c r="T54" s="1">
        <f>SUM(OSRRefT22_5x_0)</f>
        <v>0</v>
      </c>
      <c r="U54" s="1"/>
      <c r="V54" s="5">
        <f t="shared" si="33"/>
        <v>0</v>
      </c>
      <c r="W54" s="1"/>
      <c r="X54" s="1">
        <f t="shared" si="34"/>
        <v>1367.55</v>
      </c>
      <c r="Y54" s="1"/>
      <c r="Z54" s="5">
        <f t="shared" si="35"/>
        <v>0</v>
      </c>
    </row>
    <row r="55" spans="1:26" s="24" customFormat="1" hidden="1" outlineLevel="2" x14ac:dyDescent="0.3">
      <c r="A55" s="27"/>
      <c r="B55" s="11" t="str">
        <f>CONCATENATE("          ", "6322", " - ", "EQUIPMENT DEPRECIATION EXPENSE")</f>
        <v xml:space="preserve">          6322 - EQUIPMENT DEPRECIATION EXPENSE</v>
      </c>
      <c r="C55" s="11"/>
      <c r="D55" s="6">
        <v>273.51</v>
      </c>
      <c r="E55" s="2"/>
      <c r="F55" s="7">
        <f t="shared" si="28"/>
        <v>6.6030106599838424E-4</v>
      </c>
      <c r="G55" s="2"/>
      <c r="H55" s="6"/>
      <c r="I55" s="2"/>
      <c r="J55" s="7">
        <f t="shared" si="29"/>
        <v>0</v>
      </c>
      <c r="K55" s="2"/>
      <c r="L55" s="6">
        <f t="shared" si="30"/>
        <v>273.51</v>
      </c>
      <c r="M55" s="2"/>
      <c r="N55" s="7">
        <f t="shared" si="31"/>
        <v>0</v>
      </c>
      <c r="O55" s="11"/>
      <c r="P55" s="6">
        <v>1367.55</v>
      </c>
      <c r="Q55" s="2"/>
      <c r="R55" s="7">
        <f t="shared" si="32"/>
        <v>7.933505741205822E-4</v>
      </c>
      <c r="S55" s="2"/>
      <c r="T55" s="6"/>
      <c r="U55" s="2"/>
      <c r="V55" s="7">
        <f t="shared" si="33"/>
        <v>0</v>
      </c>
      <c r="W55" s="2"/>
      <c r="X55" s="6">
        <f t="shared" si="34"/>
        <v>1367.55</v>
      </c>
      <c r="Y55" s="2"/>
      <c r="Z55" s="7">
        <f t="shared" si="35"/>
        <v>0</v>
      </c>
    </row>
    <row r="56" spans="1:26" s="29" customFormat="1" outlineLevel="1" collapsed="1" x14ac:dyDescent="0.3">
      <c r="A56" s="28"/>
      <c r="B56" s="14" t="str">
        <f>CONCATENATE("     ","Donations                                         ")</f>
        <v xml:space="preserve">     Donations                                         </v>
      </c>
      <c r="C56" s="14"/>
      <c r="D56" s="1">
        <f>SUM(OSRRefD22_6x_0)</f>
        <v>4226.3900000000003</v>
      </c>
      <c r="E56" s="1"/>
      <c r="F56" s="5">
        <f t="shared" si="28"/>
        <v>1.0203246032411654E-2</v>
      </c>
      <c r="G56" s="1"/>
      <c r="H56" s="1">
        <f>SUM(OSRRefH22_6x_0)</f>
        <v>6000</v>
      </c>
      <c r="I56" s="1"/>
      <c r="J56" s="5">
        <f t="shared" si="29"/>
        <v>1.8518518518518517E-2</v>
      </c>
      <c r="K56" s="1"/>
      <c r="L56" s="1">
        <f t="shared" si="30"/>
        <v>-1773.6099999999997</v>
      </c>
      <c r="M56" s="1"/>
      <c r="N56" s="5">
        <f t="shared" si="31"/>
        <v>-0.2956016666666666</v>
      </c>
      <c r="O56" s="14"/>
      <c r="P56" s="1">
        <f>SUM(OSRRefP22_6x_0)</f>
        <v>16503.560000000001</v>
      </c>
      <c r="Q56" s="1"/>
      <c r="R56" s="5">
        <f t="shared" si="32"/>
        <v>9.5741353522967917E-3</v>
      </c>
      <c r="S56" s="1"/>
      <c r="T56" s="1">
        <f>SUM(OSRRefT22_6x_0)</f>
        <v>24000</v>
      </c>
      <c r="U56" s="1"/>
      <c r="V56" s="5">
        <f t="shared" si="33"/>
        <v>1.646090534979424E-2</v>
      </c>
      <c r="W56" s="1"/>
      <c r="X56" s="1">
        <f t="shared" si="34"/>
        <v>-7496.4399999999987</v>
      </c>
      <c r="Y56" s="1"/>
      <c r="Z56" s="5">
        <f t="shared" si="35"/>
        <v>-0.31235166666666664</v>
      </c>
    </row>
    <row r="57" spans="1:26" s="24" customFormat="1" hidden="1" outlineLevel="2" x14ac:dyDescent="0.3">
      <c r="A57" s="27"/>
      <c r="B57" s="11" t="str">
        <f>CONCATENATE("          ", "6399", " - ", "DONATION-ON CAMPUS")</f>
        <v xml:space="preserve">          6399 - DONATION-ON CAMPUS</v>
      </c>
      <c r="C57" s="11"/>
      <c r="D57" s="6">
        <v>4226.3900000000003</v>
      </c>
      <c r="E57" s="2"/>
      <c r="F57" s="7">
        <f t="shared" si="28"/>
        <v>1.0203246032411654E-2</v>
      </c>
      <c r="G57" s="2"/>
      <c r="H57" s="6">
        <v>6000</v>
      </c>
      <c r="I57" s="2"/>
      <c r="J57" s="7">
        <f t="shared" si="29"/>
        <v>1.8518518518518517E-2</v>
      </c>
      <c r="K57" s="2"/>
      <c r="L57" s="6">
        <f t="shared" si="30"/>
        <v>-1773.6099999999997</v>
      </c>
      <c r="M57" s="2"/>
      <c r="N57" s="7">
        <f t="shared" si="31"/>
        <v>-0.2956016666666666</v>
      </c>
      <c r="O57" s="11"/>
      <c r="P57" s="6">
        <v>16503.560000000001</v>
      </c>
      <c r="Q57" s="2"/>
      <c r="R57" s="7">
        <f t="shared" si="32"/>
        <v>9.5741353522967917E-3</v>
      </c>
      <c r="S57" s="2"/>
      <c r="T57" s="6">
        <v>24000</v>
      </c>
      <c r="U57" s="2"/>
      <c r="V57" s="7">
        <f t="shared" si="33"/>
        <v>1.646090534979424E-2</v>
      </c>
      <c r="W57" s="2"/>
      <c r="X57" s="6">
        <f t="shared" si="34"/>
        <v>-7496.4399999999987</v>
      </c>
      <c r="Y57" s="2"/>
      <c r="Z57" s="7">
        <f t="shared" si="35"/>
        <v>-0.31235166666666664</v>
      </c>
    </row>
    <row r="58" spans="1:26" s="29" customFormat="1" outlineLevel="1" collapsed="1" x14ac:dyDescent="0.3">
      <c r="A58" s="28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SUM(OSRRefD22_7x_0)</f>
        <v>34.47</v>
      </c>
      <c r="E58" s="1"/>
      <c r="F58" s="5">
        <f t="shared" si="28"/>
        <v>8.3216620032043826E-5</v>
      </c>
      <c r="G58" s="1"/>
      <c r="H58" s="1">
        <f>SUM(OSRRefH22_7x_0)</f>
        <v>0</v>
      </c>
      <c r="I58" s="1"/>
      <c r="J58" s="5">
        <f t="shared" si="29"/>
        <v>0</v>
      </c>
      <c r="K58" s="1"/>
      <c r="L58" s="1">
        <f t="shared" si="30"/>
        <v>34.47</v>
      </c>
      <c r="M58" s="1"/>
      <c r="N58" s="5">
        <f t="shared" si="31"/>
        <v>0</v>
      </c>
      <c r="O58" s="14"/>
      <c r="P58" s="1">
        <f>SUM(OSRRefP22_7x_0)</f>
        <v>34.47</v>
      </c>
      <c r="Q58" s="1"/>
      <c r="R58" s="5">
        <f t="shared" si="32"/>
        <v>1.9996924638906416E-5</v>
      </c>
      <c r="S58" s="1"/>
      <c r="T58" s="1">
        <f>SUM(OSRRefT22_7x_0)</f>
        <v>200</v>
      </c>
      <c r="U58" s="1"/>
      <c r="V58" s="5">
        <f t="shared" si="33"/>
        <v>1.3717421124828533E-4</v>
      </c>
      <c r="W58" s="1"/>
      <c r="X58" s="1">
        <f t="shared" si="34"/>
        <v>-165.53</v>
      </c>
      <c r="Y58" s="1"/>
      <c r="Z58" s="5">
        <f t="shared" si="35"/>
        <v>-0.82765</v>
      </c>
    </row>
    <row r="59" spans="1:26" s="24" customFormat="1" hidden="1" outlineLevel="2" x14ac:dyDescent="0.3">
      <c r="A59" s="27"/>
      <c r="B59" s="11" t="str">
        <f>CONCATENATE("          ", "6277", " - ", "EMPLOYEE APPRECIATION")</f>
        <v xml:space="preserve">          6277 - EMPLOYEE APPRECIATION</v>
      </c>
      <c r="C59" s="11"/>
      <c r="D59" s="6">
        <v>34.47</v>
      </c>
      <c r="E59" s="2"/>
      <c r="F59" s="7">
        <f t="shared" si="28"/>
        <v>8.3216620032043826E-5</v>
      </c>
      <c r="G59" s="2"/>
      <c r="H59" s="6"/>
      <c r="I59" s="2"/>
      <c r="J59" s="7">
        <f t="shared" si="29"/>
        <v>0</v>
      </c>
      <c r="K59" s="2"/>
      <c r="L59" s="6">
        <f t="shared" si="30"/>
        <v>34.47</v>
      </c>
      <c r="M59" s="2"/>
      <c r="N59" s="7">
        <f t="shared" si="31"/>
        <v>0</v>
      </c>
      <c r="O59" s="11"/>
      <c r="P59" s="6">
        <v>34.47</v>
      </c>
      <c r="Q59" s="2"/>
      <c r="R59" s="7">
        <f t="shared" si="32"/>
        <v>1.9996924638906416E-5</v>
      </c>
      <c r="S59" s="2"/>
      <c r="T59" s="6">
        <v>200</v>
      </c>
      <c r="U59" s="2"/>
      <c r="V59" s="7">
        <f t="shared" si="33"/>
        <v>1.3717421124828533E-4</v>
      </c>
      <c r="W59" s="2"/>
      <c r="X59" s="6">
        <f t="shared" si="34"/>
        <v>-165.53</v>
      </c>
      <c r="Y59" s="2"/>
      <c r="Z59" s="7">
        <f t="shared" si="35"/>
        <v>-0.82765</v>
      </c>
    </row>
    <row r="60" spans="1:26" s="29" customFormat="1" outlineLevel="1" collapsed="1" x14ac:dyDescent="0.3">
      <c r="A60" s="28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SUM(OSRRefD22_8x_0)</f>
        <v>466.67</v>
      </c>
      <c r="E60" s="1"/>
      <c r="F60" s="5">
        <f t="shared" si="28"/>
        <v>1.1266231526067274E-3</v>
      </c>
      <c r="G60" s="1"/>
      <c r="H60" s="1">
        <f>SUM(OSRRefH22_8x_0)</f>
        <v>500</v>
      </c>
      <c r="I60" s="1"/>
      <c r="J60" s="5">
        <f t="shared" si="29"/>
        <v>1.5432098765432098E-3</v>
      </c>
      <c r="K60" s="1"/>
      <c r="L60" s="1">
        <f t="shared" si="30"/>
        <v>-33.329999999999984</v>
      </c>
      <c r="M60" s="1"/>
      <c r="N60" s="5">
        <f t="shared" si="31"/>
        <v>-6.6659999999999969E-2</v>
      </c>
      <c r="O60" s="14"/>
      <c r="P60" s="1">
        <f>SUM(OSRRefP22_8x_0)</f>
        <v>5977.01</v>
      </c>
      <c r="Q60" s="1"/>
      <c r="R60" s="5">
        <f t="shared" si="32"/>
        <v>3.4674156813458094E-3</v>
      </c>
      <c r="S60" s="1"/>
      <c r="T60" s="1">
        <f>SUM(OSRRefT22_8x_0)</f>
        <v>2500</v>
      </c>
      <c r="U60" s="1"/>
      <c r="V60" s="5">
        <f t="shared" si="33"/>
        <v>1.7146776406035665E-3</v>
      </c>
      <c r="W60" s="1"/>
      <c r="X60" s="1">
        <f t="shared" si="34"/>
        <v>3477.01</v>
      </c>
      <c r="Y60" s="1"/>
      <c r="Z60" s="5">
        <f t="shared" si="35"/>
        <v>1.3908040000000002</v>
      </c>
    </row>
    <row r="61" spans="1:26" s="24" customFormat="1" hidden="1" outlineLevel="2" x14ac:dyDescent="0.3">
      <c r="A61" s="27"/>
      <c r="B61" s="11" t="str">
        <f>CONCATENATE("          ", "6351", " - ", "EQUIPMENT RENTAL")</f>
        <v xml:space="preserve">          6351 - EQUIPMENT RENTAL</v>
      </c>
      <c r="C61" s="11"/>
      <c r="D61" s="6">
        <v>466.67</v>
      </c>
      <c r="E61" s="2"/>
      <c r="F61" s="7">
        <f t="shared" si="28"/>
        <v>1.1266231526067274E-3</v>
      </c>
      <c r="G61" s="2"/>
      <c r="H61" s="6">
        <v>500</v>
      </c>
      <c r="I61" s="2"/>
      <c r="J61" s="7">
        <f t="shared" si="29"/>
        <v>1.5432098765432098E-3</v>
      </c>
      <c r="K61" s="2"/>
      <c r="L61" s="6">
        <f t="shared" si="30"/>
        <v>-33.329999999999984</v>
      </c>
      <c r="M61" s="2"/>
      <c r="N61" s="7">
        <f t="shared" si="31"/>
        <v>-6.6659999999999969E-2</v>
      </c>
      <c r="O61" s="11"/>
      <c r="P61" s="6">
        <v>5977.01</v>
      </c>
      <c r="Q61" s="2"/>
      <c r="R61" s="7">
        <f t="shared" si="32"/>
        <v>3.4674156813458094E-3</v>
      </c>
      <c r="S61" s="2"/>
      <c r="T61" s="6">
        <v>2500</v>
      </c>
      <c r="U61" s="2"/>
      <c r="V61" s="7">
        <f t="shared" si="33"/>
        <v>1.7146776406035665E-3</v>
      </c>
      <c r="W61" s="2"/>
      <c r="X61" s="6">
        <f t="shared" si="34"/>
        <v>3477.01</v>
      </c>
      <c r="Y61" s="2"/>
      <c r="Z61" s="7">
        <f t="shared" si="35"/>
        <v>1.3908040000000002</v>
      </c>
    </row>
    <row r="62" spans="1:26" s="29" customFormat="1" outlineLevel="1" collapsed="1" x14ac:dyDescent="0.3">
      <c r="A62" s="28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SUM(OSRRefD22_9x_0)</f>
        <v>0</v>
      </c>
      <c r="E62" s="1"/>
      <c r="F62" s="5">
        <f t="shared" si="28"/>
        <v>0</v>
      </c>
      <c r="G62" s="1"/>
      <c r="H62" s="1">
        <f>SUM(OSRRefH22_9x_0)</f>
        <v>150</v>
      </c>
      <c r="I62" s="1"/>
      <c r="J62" s="5">
        <f t="shared" si="29"/>
        <v>4.6296296296296298E-4</v>
      </c>
      <c r="K62" s="1"/>
      <c r="L62" s="1">
        <f t="shared" si="30"/>
        <v>-150</v>
      </c>
      <c r="M62" s="1"/>
      <c r="N62" s="5">
        <f t="shared" si="31"/>
        <v>-1</v>
      </c>
      <c r="O62" s="14"/>
      <c r="P62" s="1">
        <f>SUM(OSRRefP22_9x_0)</f>
        <v>7677.62</v>
      </c>
      <c r="Q62" s="1"/>
      <c r="R62" s="5">
        <f t="shared" si="32"/>
        <v>4.4539828414900109E-3</v>
      </c>
      <c r="S62" s="1"/>
      <c r="T62" s="1">
        <f>SUM(OSRRefT22_9x_0)</f>
        <v>2400</v>
      </c>
      <c r="U62" s="1"/>
      <c r="V62" s="5">
        <f t="shared" si="33"/>
        <v>1.6460905349794238E-3</v>
      </c>
      <c r="W62" s="1"/>
      <c r="X62" s="1">
        <f t="shared" si="34"/>
        <v>5277.62</v>
      </c>
      <c r="Y62" s="1"/>
      <c r="Z62" s="5">
        <f t="shared" si="35"/>
        <v>2.1990083333333335</v>
      </c>
    </row>
    <row r="63" spans="1:26" s="24" customFormat="1" hidden="1" outlineLevel="2" x14ac:dyDescent="0.3">
      <c r="A63" s="27"/>
      <c r="B63" s="11" t="str">
        <f>CONCATENATE("          ", "6279", " - ", "GENERAL EXPENSE")</f>
        <v xml:space="preserve">          6279 - GENERAL EXPENSE</v>
      </c>
      <c r="C63" s="11"/>
      <c r="D63" s="6"/>
      <c r="E63" s="2"/>
      <c r="F63" s="7">
        <f t="shared" si="28"/>
        <v>0</v>
      </c>
      <c r="G63" s="2"/>
      <c r="H63" s="6">
        <v>150</v>
      </c>
      <c r="I63" s="2"/>
      <c r="J63" s="7">
        <f t="shared" si="29"/>
        <v>4.6296296296296298E-4</v>
      </c>
      <c r="K63" s="2"/>
      <c r="L63" s="6">
        <f t="shared" si="30"/>
        <v>-150</v>
      </c>
      <c r="M63" s="2"/>
      <c r="N63" s="7">
        <f t="shared" si="31"/>
        <v>-1</v>
      </c>
      <c r="O63" s="11"/>
      <c r="P63" s="6">
        <v>7677.62</v>
      </c>
      <c r="Q63" s="2"/>
      <c r="R63" s="7">
        <f t="shared" si="32"/>
        <v>4.4539828414900109E-3</v>
      </c>
      <c r="S63" s="2"/>
      <c r="T63" s="6">
        <v>2400</v>
      </c>
      <c r="U63" s="2"/>
      <c r="V63" s="7">
        <f t="shared" si="33"/>
        <v>1.6460905349794238E-3</v>
      </c>
      <c r="W63" s="2"/>
      <c r="X63" s="6">
        <f t="shared" si="34"/>
        <v>5277.62</v>
      </c>
      <c r="Y63" s="2"/>
      <c r="Z63" s="7">
        <f t="shared" si="35"/>
        <v>2.1990083333333335</v>
      </c>
    </row>
    <row r="64" spans="1:26" s="29" customFormat="1" outlineLevel="1" collapsed="1" x14ac:dyDescent="0.3">
      <c r="A64" s="28"/>
      <c r="B64" s="14" t="str">
        <f>CONCATENATE("     ","R/H Commissions                                   ")</f>
        <v xml:space="preserve">     R/H Commissions                                   </v>
      </c>
      <c r="C64" s="14"/>
      <c r="D64" s="1">
        <f>SUM(OSRRefD22_10x_0)</f>
        <v>32799.5</v>
      </c>
      <c r="E64" s="1"/>
      <c r="F64" s="5">
        <f t="shared" si="28"/>
        <v>7.9183740317407061E-2</v>
      </c>
      <c r="G64" s="1"/>
      <c r="H64" s="1">
        <f>SUM(OSRRefH22_10x_0)</f>
        <v>25920</v>
      </c>
      <c r="I64" s="1"/>
      <c r="J64" s="5">
        <f t="shared" si="29"/>
        <v>0.08</v>
      </c>
      <c r="K64" s="1"/>
      <c r="L64" s="1">
        <f t="shared" si="30"/>
        <v>6879.5</v>
      </c>
      <c r="M64" s="1"/>
      <c r="N64" s="5">
        <f t="shared" si="31"/>
        <v>0.26541280864197531</v>
      </c>
      <c r="O64" s="14"/>
      <c r="P64" s="1">
        <f>SUM(OSRRefP22_10x_0)</f>
        <v>133011.51</v>
      </c>
      <c r="Q64" s="1"/>
      <c r="R64" s="5">
        <f t="shared" si="32"/>
        <v>7.7163363550250871E-2</v>
      </c>
      <c r="S64" s="1"/>
      <c r="T64" s="1">
        <f>SUM(OSRRefT22_10x_0)</f>
        <v>116640</v>
      </c>
      <c r="U64" s="1"/>
      <c r="V64" s="5">
        <f t="shared" si="33"/>
        <v>0.08</v>
      </c>
      <c r="W64" s="1"/>
      <c r="X64" s="1">
        <f t="shared" si="34"/>
        <v>16371.510000000009</v>
      </c>
      <c r="Y64" s="1"/>
      <c r="Z64" s="5">
        <f t="shared" si="35"/>
        <v>0.14035931069958857</v>
      </c>
    </row>
    <row r="65" spans="1:26" s="24" customFormat="1" hidden="1" outlineLevel="2" x14ac:dyDescent="0.3">
      <c r="A65" s="27"/>
      <c r="B65" s="11" t="str">
        <f>CONCATENATE("          ", "6387", " - ", "COMMISSION DUE HOUSING")</f>
        <v xml:space="preserve">          6387 - COMMISSION DUE HOUSING</v>
      </c>
      <c r="C65" s="11"/>
      <c r="D65" s="6">
        <v>32799.5</v>
      </c>
      <c r="E65" s="2"/>
      <c r="F65" s="7">
        <f t="shared" si="28"/>
        <v>7.9183740317407061E-2</v>
      </c>
      <c r="G65" s="2"/>
      <c r="H65" s="6">
        <v>25920</v>
      </c>
      <c r="I65" s="2"/>
      <c r="J65" s="7">
        <f t="shared" si="29"/>
        <v>0.08</v>
      </c>
      <c r="K65" s="2"/>
      <c r="L65" s="6">
        <f t="shared" si="30"/>
        <v>6879.5</v>
      </c>
      <c r="M65" s="2"/>
      <c r="N65" s="7">
        <f t="shared" si="31"/>
        <v>0.26541280864197531</v>
      </c>
      <c r="O65" s="11"/>
      <c r="P65" s="6">
        <v>133011.51</v>
      </c>
      <c r="Q65" s="2"/>
      <c r="R65" s="7">
        <f t="shared" si="32"/>
        <v>7.7163363550250871E-2</v>
      </c>
      <c r="S65" s="2"/>
      <c r="T65" s="6">
        <v>116640</v>
      </c>
      <c r="U65" s="2"/>
      <c r="V65" s="7">
        <f t="shared" si="33"/>
        <v>0.08</v>
      </c>
      <c r="W65" s="2"/>
      <c r="X65" s="6">
        <f t="shared" si="34"/>
        <v>16371.510000000009</v>
      </c>
      <c r="Y65" s="2"/>
      <c r="Z65" s="7">
        <f t="shared" si="35"/>
        <v>0.14035931069958857</v>
      </c>
    </row>
    <row r="66" spans="1:26" s="29" customFormat="1" outlineLevel="1" collapsed="1" x14ac:dyDescent="0.3">
      <c r="A66" s="28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SUM(OSRRefD22_11x_0)</f>
        <v>348.04</v>
      </c>
      <c r="E66" s="1"/>
      <c r="F66" s="5">
        <f t="shared" si="28"/>
        <v>8.4022954557448604E-4</v>
      </c>
      <c r="G66" s="1"/>
      <c r="H66" s="1">
        <f>SUM(OSRRefH22_11x_0)</f>
        <v>2050</v>
      </c>
      <c r="I66" s="1"/>
      <c r="J66" s="5">
        <f t="shared" si="29"/>
        <v>6.3271604938271607E-3</v>
      </c>
      <c r="K66" s="1"/>
      <c r="L66" s="1">
        <f t="shared" si="30"/>
        <v>-1701.96</v>
      </c>
      <c r="M66" s="1"/>
      <c r="N66" s="5">
        <f t="shared" si="31"/>
        <v>-0.83022439024390249</v>
      </c>
      <c r="O66" s="14"/>
      <c r="P66" s="1">
        <f>SUM(OSRRefP22_11x_0)</f>
        <v>2023.8</v>
      </c>
      <c r="Q66" s="1"/>
      <c r="R66" s="5">
        <f t="shared" si="32"/>
        <v>1.1740579078682568E-3</v>
      </c>
      <c r="S66" s="1"/>
      <c r="T66" s="1">
        <f>SUM(OSRRefT22_11x_0)</f>
        <v>4850</v>
      </c>
      <c r="U66" s="1"/>
      <c r="V66" s="5">
        <f t="shared" si="33"/>
        <v>3.3264746227709189E-3</v>
      </c>
      <c r="W66" s="1"/>
      <c r="X66" s="1">
        <f t="shared" si="34"/>
        <v>-2826.2</v>
      </c>
      <c r="Y66" s="1"/>
      <c r="Z66" s="5">
        <f t="shared" si="35"/>
        <v>-0.58272164948453609</v>
      </c>
    </row>
    <row r="67" spans="1:26" s="24" customFormat="1" hidden="1" outlineLevel="2" x14ac:dyDescent="0.3">
      <c r="A67" s="27"/>
      <c r="B67" s="11" t="str">
        <f>CONCATENATE("          ", "6371", " - ", "COMPUTER SOFTWARE MAINTENANCE")</f>
        <v xml:space="preserve">          6371 - COMPUTER SOFTWARE MAINTENANCE</v>
      </c>
      <c r="C67" s="11"/>
      <c r="D67" s="6"/>
      <c r="E67" s="2"/>
      <c r="F67" s="7">
        <f t="shared" si="28"/>
        <v>0</v>
      </c>
      <c r="G67" s="2"/>
      <c r="H67" s="6">
        <v>0</v>
      </c>
      <c r="I67" s="2"/>
      <c r="J67" s="7">
        <f t="shared" si="29"/>
        <v>0</v>
      </c>
      <c r="K67" s="2"/>
      <c r="L67" s="6">
        <f t="shared" si="30"/>
        <v>0</v>
      </c>
      <c r="M67" s="2"/>
      <c r="N67" s="7">
        <f t="shared" si="31"/>
        <v>0</v>
      </c>
      <c r="O67" s="11"/>
      <c r="P67" s="6"/>
      <c r="Q67" s="2"/>
      <c r="R67" s="7">
        <f t="shared" si="32"/>
        <v>0</v>
      </c>
      <c r="S67" s="2"/>
      <c r="T67" s="6">
        <v>0</v>
      </c>
      <c r="U67" s="2"/>
      <c r="V67" s="7">
        <f t="shared" si="33"/>
        <v>0</v>
      </c>
      <c r="W67" s="2"/>
      <c r="X67" s="6">
        <f t="shared" si="34"/>
        <v>0</v>
      </c>
      <c r="Y67" s="2"/>
      <c r="Z67" s="7">
        <f t="shared" si="35"/>
        <v>0</v>
      </c>
    </row>
    <row r="68" spans="1:26" s="24" customFormat="1" hidden="1" outlineLevel="2" x14ac:dyDescent="0.3">
      <c r="A68" s="27"/>
      <c r="B68" s="11" t="str">
        <f>CONCATENATE("          ", "6373", " - ", "MAINTENANCE CONTRACTS")</f>
        <v xml:space="preserve">          6373 - MAINTENANCE CONTRACTS</v>
      </c>
      <c r="C68" s="11"/>
      <c r="D68" s="6">
        <v>19</v>
      </c>
      <c r="E68" s="2"/>
      <c r="F68" s="7">
        <f t="shared" si="28"/>
        <v>4.586932928949326E-5</v>
      </c>
      <c r="G68" s="2"/>
      <c r="H68" s="6">
        <v>1800</v>
      </c>
      <c r="I68" s="2"/>
      <c r="J68" s="7">
        <f t="shared" si="29"/>
        <v>5.5555555555555558E-3</v>
      </c>
      <c r="K68" s="2"/>
      <c r="L68" s="6">
        <f t="shared" si="30"/>
        <v>-1781</v>
      </c>
      <c r="M68" s="2"/>
      <c r="N68" s="7">
        <f t="shared" si="31"/>
        <v>-0.98944444444444446</v>
      </c>
      <c r="O68" s="11"/>
      <c r="P68" s="6">
        <v>102.83</v>
      </c>
      <c r="Q68" s="2"/>
      <c r="R68" s="7">
        <f t="shared" si="32"/>
        <v>5.9654301149368926E-5</v>
      </c>
      <c r="S68" s="2"/>
      <c r="T68" s="6">
        <v>3600</v>
      </c>
      <c r="U68" s="2"/>
      <c r="V68" s="7">
        <f t="shared" si="33"/>
        <v>2.4691358024691358E-3</v>
      </c>
      <c r="W68" s="2"/>
      <c r="X68" s="6">
        <f t="shared" si="34"/>
        <v>-3497.17</v>
      </c>
      <c r="Y68" s="2"/>
      <c r="Z68" s="7">
        <f t="shared" si="35"/>
        <v>-0.97143611111111117</v>
      </c>
    </row>
    <row r="69" spans="1:26" s="24" customFormat="1" hidden="1" outlineLevel="2" x14ac:dyDescent="0.3">
      <c r="A69" s="27"/>
      <c r="B69" s="11" t="str">
        <f>CONCATENATE("          ", "6375", " - ", "OUTSIDE REPAIRS &amp; MAINTENANCE")</f>
        <v xml:space="preserve">          6375 - OUTSIDE REPAIRS &amp; MAINTENANCE</v>
      </c>
      <c r="C69" s="11"/>
      <c r="D69" s="6">
        <v>329.04</v>
      </c>
      <c r="E69" s="2"/>
      <c r="F69" s="7">
        <f t="shared" si="28"/>
        <v>7.9436021628499288E-4</v>
      </c>
      <c r="G69" s="2"/>
      <c r="H69" s="6">
        <v>250</v>
      </c>
      <c r="I69" s="2"/>
      <c r="J69" s="7">
        <f t="shared" si="29"/>
        <v>7.716049382716049E-4</v>
      </c>
      <c r="K69" s="2"/>
      <c r="L69" s="6">
        <f t="shared" si="30"/>
        <v>79.04000000000002</v>
      </c>
      <c r="M69" s="2"/>
      <c r="N69" s="7">
        <f t="shared" si="31"/>
        <v>0.31616000000000011</v>
      </c>
      <c r="O69" s="11"/>
      <c r="P69" s="6">
        <v>1920.97</v>
      </c>
      <c r="Q69" s="2"/>
      <c r="R69" s="7">
        <f t="shared" si="32"/>
        <v>1.1144036067188877E-3</v>
      </c>
      <c r="S69" s="2"/>
      <c r="T69" s="6">
        <v>1250</v>
      </c>
      <c r="U69" s="2"/>
      <c r="V69" s="7">
        <f t="shared" si="33"/>
        <v>8.5733882030178323E-4</v>
      </c>
      <c r="W69" s="2"/>
      <c r="X69" s="6">
        <f t="shared" si="34"/>
        <v>670.97</v>
      </c>
      <c r="Y69" s="2"/>
      <c r="Z69" s="7">
        <f t="shared" si="35"/>
        <v>0.53677600000000003</v>
      </c>
    </row>
    <row r="70" spans="1:26" s="29" customFormat="1" outlineLevel="1" collapsed="1" x14ac:dyDescent="0.3">
      <c r="A70" s="28"/>
      <c r="B70" s="14" t="str">
        <f>CONCATENATE("     ","Services                                          ")</f>
        <v xml:space="preserve">     Services                                          </v>
      </c>
      <c r="C70" s="14"/>
      <c r="D70" s="1">
        <f>SUM(OSRRefD22_12x_0)</f>
        <v>5187.8599999999997</v>
      </c>
      <c r="E70" s="1"/>
      <c r="F70" s="5">
        <f t="shared" ref="F70:F74" si="36">IF(D$12=0,0,D70/D$12)</f>
        <v>1.2524403086725816E-2</v>
      </c>
      <c r="G70" s="1"/>
      <c r="H70" s="1">
        <f>SUM(OSRRefH22_12x_0)</f>
        <v>7150</v>
      </c>
      <c r="I70" s="1"/>
      <c r="J70" s="5">
        <f t="shared" ref="J70:J74" si="37">IF(H$12=0,0,H70/H$12)</f>
        <v>2.2067901234567901E-2</v>
      </c>
      <c r="K70" s="1"/>
      <c r="L70" s="1">
        <f t="shared" ref="L70:L74" si="38">+D70-H70</f>
        <v>-1962.1400000000003</v>
      </c>
      <c r="M70" s="1"/>
      <c r="N70" s="5">
        <f t="shared" ref="N70:N74" si="39">IF(H70=0,0,L70/H70)</f>
        <v>-0.27442517482517487</v>
      </c>
      <c r="O70" s="14"/>
      <c r="P70" s="1">
        <f>SUM(OSRRefP22_12x_0)</f>
        <v>26613.339999999997</v>
      </c>
      <c r="Q70" s="1"/>
      <c r="R70" s="5">
        <f t="shared" ref="R70:R74" si="40">IF(P$12=0,0,P70/P$12)</f>
        <v>1.5439076134888124E-2</v>
      </c>
      <c r="S70" s="1"/>
      <c r="T70" s="1">
        <f>SUM(OSRRefT22_12x_0)</f>
        <v>35750</v>
      </c>
      <c r="U70" s="1"/>
      <c r="V70" s="5">
        <f t="shared" ref="V70:V74" si="41">IF(T$12=0,0,T70/T$12)</f>
        <v>2.4519890260631002E-2</v>
      </c>
      <c r="W70" s="1"/>
      <c r="X70" s="1">
        <f t="shared" ref="X70:X74" si="42">+P70-T70</f>
        <v>-9136.6600000000035</v>
      </c>
      <c r="Y70" s="1"/>
      <c r="Z70" s="5">
        <f t="shared" ref="Z70:Z74" si="43">IF(T70=0,0,X70/T70)</f>
        <v>-0.25557090909090918</v>
      </c>
    </row>
    <row r="71" spans="1:26" s="24" customFormat="1" hidden="1" outlineLevel="2" x14ac:dyDescent="0.3">
      <c r="A71" s="27"/>
      <c r="B71" s="11" t="str">
        <f>CONCATENATE("          ", "6282", " - ", "JANITORIAL/EXTERMINATOR EXPENS")</f>
        <v xml:space="preserve">          6282 - JANITORIAL/EXTERMINATOR EXPENS</v>
      </c>
      <c r="C71" s="11"/>
      <c r="D71" s="6">
        <v>417.32</v>
      </c>
      <c r="E71" s="2"/>
      <c r="F71" s="7">
        <f t="shared" si="36"/>
        <v>1.0074836052153331E-3</v>
      </c>
      <c r="G71" s="2"/>
      <c r="H71" s="6">
        <v>450</v>
      </c>
      <c r="I71" s="2"/>
      <c r="J71" s="7">
        <f t="shared" si="37"/>
        <v>1.3888888888888889E-3</v>
      </c>
      <c r="K71" s="2"/>
      <c r="L71" s="6">
        <f t="shared" si="38"/>
        <v>-32.680000000000007</v>
      </c>
      <c r="M71" s="2"/>
      <c r="N71" s="7">
        <f t="shared" si="39"/>
        <v>-7.2622222222222241E-2</v>
      </c>
      <c r="O71" s="11"/>
      <c r="P71" s="6">
        <v>2504.12</v>
      </c>
      <c r="Q71" s="2"/>
      <c r="R71" s="7">
        <f t="shared" si="40"/>
        <v>1.4527037692712021E-3</v>
      </c>
      <c r="S71" s="2"/>
      <c r="T71" s="6">
        <v>2250</v>
      </c>
      <c r="U71" s="2"/>
      <c r="V71" s="7">
        <f t="shared" si="41"/>
        <v>1.5432098765432098E-3</v>
      </c>
      <c r="W71" s="2"/>
      <c r="X71" s="6">
        <f t="shared" si="42"/>
        <v>254.11999999999989</v>
      </c>
      <c r="Y71" s="2"/>
      <c r="Z71" s="7">
        <f t="shared" si="43"/>
        <v>0.11294222222222218</v>
      </c>
    </row>
    <row r="72" spans="1:26" s="24" customFormat="1" hidden="1" outlineLevel="2" x14ac:dyDescent="0.3">
      <c r="A72" s="27"/>
      <c r="B72" s="11" t="str">
        <f>CONCATENATE("          ", "6284", " - ", "TRASH REMOVAL EXPENSE")</f>
        <v xml:space="preserve">          6284 - TRASH REMOVAL EXPENSE</v>
      </c>
      <c r="C72" s="11"/>
      <c r="D72" s="6"/>
      <c r="E72" s="2"/>
      <c r="F72" s="7">
        <f t="shared" si="36"/>
        <v>0</v>
      </c>
      <c r="G72" s="2"/>
      <c r="H72" s="6">
        <v>500</v>
      </c>
      <c r="I72" s="2"/>
      <c r="J72" s="7">
        <f t="shared" si="37"/>
        <v>1.5432098765432098E-3</v>
      </c>
      <c r="K72" s="2"/>
      <c r="L72" s="6">
        <f t="shared" si="38"/>
        <v>-500</v>
      </c>
      <c r="M72" s="2"/>
      <c r="N72" s="7">
        <f t="shared" si="39"/>
        <v>-1</v>
      </c>
      <c r="O72" s="11"/>
      <c r="P72" s="6"/>
      <c r="Q72" s="2"/>
      <c r="R72" s="7">
        <f t="shared" si="40"/>
        <v>0</v>
      </c>
      <c r="S72" s="2"/>
      <c r="T72" s="6">
        <v>2500</v>
      </c>
      <c r="U72" s="2"/>
      <c r="V72" s="7">
        <f t="shared" si="41"/>
        <v>1.7146776406035665E-3</v>
      </c>
      <c r="W72" s="2"/>
      <c r="X72" s="6">
        <f t="shared" si="42"/>
        <v>-2500</v>
      </c>
      <c r="Y72" s="2"/>
      <c r="Z72" s="7">
        <f t="shared" si="43"/>
        <v>-1</v>
      </c>
    </row>
    <row r="73" spans="1:26" s="24" customFormat="1" hidden="1" outlineLevel="2" x14ac:dyDescent="0.3">
      <c r="A73" s="27"/>
      <c r="B73" s="11" t="str">
        <f>CONCATENATE("          ", "6285", " - ", "JANITORIAL SERVICES")</f>
        <v xml:space="preserve">          6285 - JANITORIAL SERVICES</v>
      </c>
      <c r="C73" s="11"/>
      <c r="D73" s="6">
        <v>4601</v>
      </c>
      <c r="E73" s="2"/>
      <c r="F73" s="7">
        <f t="shared" si="36"/>
        <v>1.1107620213734657E-2</v>
      </c>
      <c r="G73" s="2"/>
      <c r="H73" s="6">
        <v>4700</v>
      </c>
      <c r="I73" s="2"/>
      <c r="J73" s="7">
        <f t="shared" si="37"/>
        <v>1.4506172839506172E-2</v>
      </c>
      <c r="K73" s="2"/>
      <c r="L73" s="6">
        <f t="shared" si="38"/>
        <v>-99</v>
      </c>
      <c r="M73" s="2"/>
      <c r="N73" s="7">
        <f t="shared" si="39"/>
        <v>-2.1063829787234041E-2</v>
      </c>
      <c r="O73" s="11"/>
      <c r="P73" s="6">
        <v>22627.3</v>
      </c>
      <c r="Q73" s="2"/>
      <c r="R73" s="7">
        <f t="shared" si="40"/>
        <v>1.3126672842527623E-2</v>
      </c>
      <c r="S73" s="2"/>
      <c r="T73" s="6">
        <v>23500</v>
      </c>
      <c r="U73" s="2"/>
      <c r="V73" s="7">
        <f t="shared" si="41"/>
        <v>1.6117969821673524E-2</v>
      </c>
      <c r="W73" s="2"/>
      <c r="X73" s="6">
        <f t="shared" si="42"/>
        <v>-872.70000000000073</v>
      </c>
      <c r="Y73" s="2"/>
      <c r="Z73" s="7">
        <f t="shared" si="43"/>
        <v>-3.7136170212765988E-2</v>
      </c>
    </row>
    <row r="74" spans="1:26" s="24" customFormat="1" hidden="1" outlineLevel="2" x14ac:dyDescent="0.3">
      <c r="A74" s="27"/>
      <c r="B74" s="11" t="str">
        <f>CONCATENATE("          ", "6286", " - ", "LAUNDRY EXPENSE")</f>
        <v xml:space="preserve">          6286 - LAUNDRY EXPENSE</v>
      </c>
      <c r="C74" s="11"/>
      <c r="D74" s="6">
        <v>169.54</v>
      </c>
      <c r="E74" s="2"/>
      <c r="F74" s="7">
        <f t="shared" si="36"/>
        <v>4.0929926777582567E-4</v>
      </c>
      <c r="G74" s="2"/>
      <c r="H74" s="6">
        <v>1500</v>
      </c>
      <c r="I74" s="2"/>
      <c r="J74" s="7">
        <f t="shared" si="37"/>
        <v>4.6296296296296294E-3</v>
      </c>
      <c r="K74" s="2"/>
      <c r="L74" s="6">
        <f t="shared" si="38"/>
        <v>-1330.46</v>
      </c>
      <c r="M74" s="2"/>
      <c r="N74" s="7">
        <f t="shared" si="39"/>
        <v>-0.88697333333333339</v>
      </c>
      <c r="O74" s="11"/>
      <c r="P74" s="6">
        <v>1481.92</v>
      </c>
      <c r="Q74" s="2"/>
      <c r="R74" s="7">
        <f t="shared" si="40"/>
        <v>8.5969952308930083E-4</v>
      </c>
      <c r="S74" s="2"/>
      <c r="T74" s="6">
        <v>7500</v>
      </c>
      <c r="U74" s="2"/>
      <c r="V74" s="7">
        <f t="shared" si="41"/>
        <v>5.1440329218106996E-3</v>
      </c>
      <c r="W74" s="2"/>
      <c r="X74" s="6">
        <f t="shared" si="42"/>
        <v>-6018.08</v>
      </c>
      <c r="Y74" s="2"/>
      <c r="Z74" s="7">
        <f t="shared" si="43"/>
        <v>-0.80241066666666661</v>
      </c>
    </row>
    <row r="75" spans="1:26" s="29" customFormat="1" outlineLevel="1" collapsed="1" x14ac:dyDescent="0.3">
      <c r="A75" s="28"/>
      <c r="B75" s="14" t="str">
        <f>CONCATENATE("     ","Supplies                                          ")</f>
        <v xml:space="preserve">     Supplies                                          </v>
      </c>
      <c r="C75" s="14"/>
      <c r="D75" s="1">
        <f>SUM(OSRRefD22_13x_0)</f>
        <v>3616.43</v>
      </c>
      <c r="E75" s="1"/>
      <c r="F75" s="5">
        <f t="shared" ref="F75:F83" si="44">IF(D$12=0,0,D75/D$12)</f>
        <v>8.7306957117053736E-3</v>
      </c>
      <c r="G75" s="1"/>
      <c r="H75" s="1">
        <f>SUM(OSRRefH22_13x_0)</f>
        <v>11396</v>
      </c>
      <c r="I75" s="1"/>
      <c r="J75" s="5">
        <f t="shared" ref="J75:J83" si="45">IF(H$12=0,0,H75/H$12)</f>
        <v>3.5172839506172837E-2</v>
      </c>
      <c r="K75" s="1"/>
      <c r="L75" s="1">
        <f t="shared" ref="L75:L83" si="46">+D75-H75</f>
        <v>-7779.57</v>
      </c>
      <c r="M75" s="1"/>
      <c r="N75" s="5">
        <f t="shared" ref="N75:N83" si="47">IF(H75=0,0,L75/H75)</f>
        <v>-0.68265795015795017</v>
      </c>
      <c r="O75" s="14"/>
      <c r="P75" s="1">
        <f>SUM(OSRRefP22_13x_0)</f>
        <v>38894.370000000003</v>
      </c>
      <c r="Q75" s="1"/>
      <c r="R75" s="5">
        <f t="shared" ref="R75:R83" si="48">IF(P$12=0,0,P75/P$12)</f>
        <v>2.2563614324564624E-2</v>
      </c>
      <c r="S75" s="1"/>
      <c r="T75" s="1">
        <f>SUM(OSRRefT22_13x_0)</f>
        <v>56980</v>
      </c>
      <c r="U75" s="1"/>
      <c r="V75" s="5">
        <f t="shared" ref="V75:V83" si="49">IF(T$12=0,0,T75/T$12)</f>
        <v>3.9080932784636487E-2</v>
      </c>
      <c r="W75" s="1"/>
      <c r="X75" s="1">
        <f t="shared" ref="X75:X83" si="50">+P75-T75</f>
        <v>-18085.629999999997</v>
      </c>
      <c r="Y75" s="1"/>
      <c r="Z75" s="5">
        <f t="shared" ref="Z75:Z83" si="51">IF(T75=0,0,X75/T75)</f>
        <v>-0.31740312390312386</v>
      </c>
    </row>
    <row r="76" spans="1:26" s="24" customFormat="1" hidden="1" outlineLevel="2" x14ac:dyDescent="0.3">
      <c r="A76" s="27"/>
      <c r="B76" s="11" t="str">
        <f>CONCATENATE("          ", "6234", " - ", "EXPENDABLE SUPPLIES &amp; EQUIPMEN")</f>
        <v xml:space="preserve">          6234 - EXPENDABLE SUPPLIES &amp; EQUIPMEN</v>
      </c>
      <c r="C76" s="11"/>
      <c r="D76" s="6"/>
      <c r="E76" s="2"/>
      <c r="F76" s="7">
        <f t="shared" si="44"/>
        <v>0</v>
      </c>
      <c r="G76" s="2"/>
      <c r="H76" s="6"/>
      <c r="I76" s="2"/>
      <c r="J76" s="7">
        <f t="shared" si="45"/>
        <v>0</v>
      </c>
      <c r="K76" s="2"/>
      <c r="L76" s="6">
        <f t="shared" si="46"/>
        <v>0</v>
      </c>
      <c r="M76" s="2"/>
      <c r="N76" s="7">
        <f t="shared" si="47"/>
        <v>0</v>
      </c>
      <c r="O76" s="11"/>
      <c r="P76" s="6">
        <v>21.98</v>
      </c>
      <c r="Q76" s="2"/>
      <c r="R76" s="7">
        <f t="shared" si="48"/>
        <v>1.2751157631655442E-5</v>
      </c>
      <c r="S76" s="2"/>
      <c r="T76" s="6"/>
      <c r="U76" s="2"/>
      <c r="V76" s="7">
        <f t="shared" si="49"/>
        <v>0</v>
      </c>
      <c r="W76" s="2"/>
      <c r="X76" s="6">
        <f t="shared" si="50"/>
        <v>21.98</v>
      </c>
      <c r="Y76" s="2"/>
      <c r="Z76" s="7">
        <f t="shared" si="51"/>
        <v>0</v>
      </c>
    </row>
    <row r="77" spans="1:26" s="24" customFormat="1" hidden="1" outlineLevel="2" x14ac:dyDescent="0.3">
      <c r="A77" s="27"/>
      <c r="B77" s="11" t="str">
        <f>CONCATENATE("          ", "6237", " - ", "JANITORIAL SUPPLIES")</f>
        <v xml:space="preserve">          6237 - JANITORIAL SUPPLIES</v>
      </c>
      <c r="C77" s="11"/>
      <c r="D77" s="6">
        <v>971.16</v>
      </c>
      <c r="E77" s="2"/>
      <c r="F77" s="7">
        <f t="shared" si="44"/>
        <v>2.3445504122518038E-3</v>
      </c>
      <c r="G77" s="2"/>
      <c r="H77" s="6">
        <v>4000</v>
      </c>
      <c r="I77" s="2"/>
      <c r="J77" s="7">
        <f t="shared" si="45"/>
        <v>1.2345679012345678E-2</v>
      </c>
      <c r="K77" s="2"/>
      <c r="L77" s="6">
        <f t="shared" si="46"/>
        <v>-3028.84</v>
      </c>
      <c r="M77" s="2"/>
      <c r="N77" s="7">
        <f t="shared" si="47"/>
        <v>-0.75721000000000005</v>
      </c>
      <c r="O77" s="11"/>
      <c r="P77" s="6">
        <v>6423.2</v>
      </c>
      <c r="Q77" s="2"/>
      <c r="R77" s="7">
        <f t="shared" si="48"/>
        <v>3.7262618607665707E-3</v>
      </c>
      <c r="S77" s="2"/>
      <c r="T77" s="6">
        <v>20000</v>
      </c>
      <c r="U77" s="2"/>
      <c r="V77" s="7">
        <f t="shared" si="49"/>
        <v>1.3717421124828532E-2</v>
      </c>
      <c r="W77" s="2"/>
      <c r="X77" s="6">
        <f t="shared" si="50"/>
        <v>-13576.8</v>
      </c>
      <c r="Y77" s="2"/>
      <c r="Z77" s="7">
        <f t="shared" si="51"/>
        <v>-0.67884</v>
      </c>
    </row>
    <row r="78" spans="1:26" s="24" customFormat="1" hidden="1" outlineLevel="2" x14ac:dyDescent="0.3">
      <c r="A78" s="27"/>
      <c r="B78" s="11" t="str">
        <f>CONCATENATE("          ", "6239", " - ", "KITCHEN SUPPLIES")</f>
        <v xml:space="preserve">          6239 - KITCHEN SUPPLIES</v>
      </c>
      <c r="C78" s="11"/>
      <c r="D78" s="6"/>
      <c r="E78" s="2"/>
      <c r="F78" s="7">
        <f t="shared" si="44"/>
        <v>0</v>
      </c>
      <c r="G78" s="2"/>
      <c r="H78" s="6">
        <v>1500</v>
      </c>
      <c r="I78" s="2"/>
      <c r="J78" s="7">
        <f t="shared" si="45"/>
        <v>4.6296296296296294E-3</v>
      </c>
      <c r="K78" s="2"/>
      <c r="L78" s="6">
        <f t="shared" si="46"/>
        <v>-1500</v>
      </c>
      <c r="M78" s="2"/>
      <c r="N78" s="7">
        <f t="shared" si="47"/>
        <v>-1</v>
      </c>
      <c r="O78" s="11"/>
      <c r="P78" s="6">
        <v>5556.93</v>
      </c>
      <c r="Q78" s="2"/>
      <c r="R78" s="7">
        <f t="shared" si="48"/>
        <v>3.2237165777104218E-3</v>
      </c>
      <c r="S78" s="2"/>
      <c r="T78" s="6">
        <v>7500</v>
      </c>
      <c r="U78" s="2"/>
      <c r="V78" s="7">
        <f t="shared" si="49"/>
        <v>5.1440329218106996E-3</v>
      </c>
      <c r="W78" s="2"/>
      <c r="X78" s="6">
        <f t="shared" si="50"/>
        <v>-1943.0699999999997</v>
      </c>
      <c r="Y78" s="2"/>
      <c r="Z78" s="7">
        <f t="shared" si="51"/>
        <v>-0.25907599999999997</v>
      </c>
    </row>
    <row r="79" spans="1:26" s="24" customFormat="1" hidden="1" outlineLevel="2" x14ac:dyDescent="0.3">
      <c r="A79" s="27"/>
      <c r="B79" s="11" t="str">
        <f>CONCATENATE("          ", "6241", " - ", "OFFICE EXPENSE")</f>
        <v xml:space="preserve">          6241 - OFFICE EXPENSE</v>
      </c>
      <c r="C79" s="11"/>
      <c r="D79" s="6">
        <v>39.69</v>
      </c>
      <c r="E79" s="2"/>
      <c r="F79" s="7">
        <f t="shared" si="44"/>
        <v>9.5818614710525656E-5</v>
      </c>
      <c r="G79" s="2"/>
      <c r="H79" s="6">
        <v>500</v>
      </c>
      <c r="I79" s="2"/>
      <c r="J79" s="7">
        <f t="shared" si="45"/>
        <v>1.5432098765432098E-3</v>
      </c>
      <c r="K79" s="2"/>
      <c r="L79" s="6">
        <f t="shared" si="46"/>
        <v>-460.31</v>
      </c>
      <c r="M79" s="2"/>
      <c r="N79" s="7">
        <f t="shared" si="47"/>
        <v>-0.92061999999999999</v>
      </c>
      <c r="O79" s="11"/>
      <c r="P79" s="6">
        <v>2797.45</v>
      </c>
      <c r="Q79" s="2"/>
      <c r="R79" s="7">
        <f t="shared" si="48"/>
        <v>1.6228719707313244E-3</v>
      </c>
      <c r="S79" s="2"/>
      <c r="T79" s="6">
        <v>2500</v>
      </c>
      <c r="U79" s="2"/>
      <c r="V79" s="7">
        <f t="shared" si="49"/>
        <v>1.7146776406035665E-3</v>
      </c>
      <c r="W79" s="2"/>
      <c r="X79" s="6">
        <f t="shared" si="50"/>
        <v>297.44999999999982</v>
      </c>
      <c r="Y79" s="2"/>
      <c r="Z79" s="7">
        <f t="shared" si="51"/>
        <v>0.11897999999999993</v>
      </c>
    </row>
    <row r="80" spans="1:26" s="24" customFormat="1" hidden="1" outlineLevel="2" x14ac:dyDescent="0.3">
      <c r="A80" s="27"/>
      <c r="B80" s="11" t="str">
        <f>CONCATENATE("          ", "6243", " - ", "PAPER SUPPLIES")</f>
        <v xml:space="preserve">          6243 - PAPER SUPPLIES</v>
      </c>
      <c r="C80" s="11"/>
      <c r="D80" s="6">
        <v>2605.58</v>
      </c>
      <c r="E80" s="2"/>
      <c r="F80" s="7">
        <f t="shared" si="44"/>
        <v>6.290326684743045E-3</v>
      </c>
      <c r="G80" s="2"/>
      <c r="H80" s="6">
        <v>5000</v>
      </c>
      <c r="I80" s="2"/>
      <c r="J80" s="7">
        <f t="shared" si="45"/>
        <v>1.5432098765432098E-2</v>
      </c>
      <c r="K80" s="2"/>
      <c r="L80" s="6">
        <f t="shared" si="46"/>
        <v>-2394.42</v>
      </c>
      <c r="M80" s="2"/>
      <c r="N80" s="7">
        <f t="shared" si="47"/>
        <v>-0.47888400000000003</v>
      </c>
      <c r="O80" s="11"/>
      <c r="P80" s="6">
        <v>22016.48</v>
      </c>
      <c r="Q80" s="2"/>
      <c r="R80" s="7">
        <f t="shared" si="48"/>
        <v>1.2772320608470854E-2</v>
      </c>
      <c r="S80" s="2"/>
      <c r="T80" s="6">
        <v>25000</v>
      </c>
      <c r="U80" s="2"/>
      <c r="V80" s="7">
        <f t="shared" si="49"/>
        <v>1.7146776406035666E-2</v>
      </c>
      <c r="W80" s="2"/>
      <c r="X80" s="6">
        <f t="shared" si="50"/>
        <v>-2983.5200000000004</v>
      </c>
      <c r="Y80" s="2"/>
      <c r="Z80" s="7">
        <f t="shared" si="51"/>
        <v>-0.11934080000000001</v>
      </c>
    </row>
    <row r="81" spans="1:26" s="24" customFormat="1" hidden="1" outlineLevel="2" x14ac:dyDescent="0.3">
      <c r="A81" s="27"/>
      <c r="B81" s="11" t="str">
        <f>CONCATENATE("          ", "6244", " - ", "SAFETY SUPPLY EXPENSE")</f>
        <v xml:space="preserve">          6244 - SAFETY SUPPLY EXPENSE</v>
      </c>
      <c r="C81" s="11"/>
      <c r="D81" s="6"/>
      <c r="E81" s="2"/>
      <c r="F81" s="7">
        <f t="shared" si="44"/>
        <v>0</v>
      </c>
      <c r="G81" s="2"/>
      <c r="H81" s="6">
        <v>200</v>
      </c>
      <c r="I81" s="2"/>
      <c r="J81" s="7">
        <f t="shared" si="45"/>
        <v>6.1728395061728394E-4</v>
      </c>
      <c r="K81" s="2"/>
      <c r="L81" s="6">
        <f t="shared" si="46"/>
        <v>-200</v>
      </c>
      <c r="M81" s="2"/>
      <c r="N81" s="7">
        <f t="shared" si="47"/>
        <v>-1</v>
      </c>
      <c r="O81" s="11"/>
      <c r="P81" s="6"/>
      <c r="Q81" s="2"/>
      <c r="R81" s="7">
        <f t="shared" si="48"/>
        <v>0</v>
      </c>
      <c r="S81" s="2"/>
      <c r="T81" s="6">
        <v>1000</v>
      </c>
      <c r="U81" s="2"/>
      <c r="V81" s="7">
        <f t="shared" si="49"/>
        <v>6.8587105624142656E-4</v>
      </c>
      <c r="W81" s="2"/>
      <c r="X81" s="6">
        <f t="shared" si="50"/>
        <v>-1000</v>
      </c>
      <c r="Y81" s="2"/>
      <c r="Z81" s="7">
        <f t="shared" si="51"/>
        <v>-1</v>
      </c>
    </row>
    <row r="82" spans="1:26" s="24" customFormat="1" hidden="1" outlineLevel="2" x14ac:dyDescent="0.3">
      <c r="A82" s="27"/>
      <c r="B82" s="11" t="str">
        <f>CONCATENATE("          ", "6247", " - ", "STORE SUPPLIES")</f>
        <v xml:space="preserve">          6247 - STORE SUPPLIES</v>
      </c>
      <c r="C82" s="11"/>
      <c r="D82" s="6"/>
      <c r="E82" s="2"/>
      <c r="F82" s="7">
        <f t="shared" si="44"/>
        <v>0</v>
      </c>
      <c r="G82" s="2"/>
      <c r="H82" s="6"/>
      <c r="I82" s="2"/>
      <c r="J82" s="7">
        <f t="shared" si="45"/>
        <v>0</v>
      </c>
      <c r="K82" s="2"/>
      <c r="L82" s="6">
        <f t="shared" si="46"/>
        <v>0</v>
      </c>
      <c r="M82" s="2"/>
      <c r="N82" s="7">
        <f t="shared" si="47"/>
        <v>0</v>
      </c>
      <c r="O82" s="11"/>
      <c r="P82" s="6">
        <v>207.93</v>
      </c>
      <c r="Q82" s="2"/>
      <c r="R82" s="7">
        <f t="shared" si="48"/>
        <v>1.2062548709509172E-4</v>
      </c>
      <c r="S82" s="2"/>
      <c r="T82" s="6"/>
      <c r="U82" s="2"/>
      <c r="V82" s="7">
        <f t="shared" si="49"/>
        <v>0</v>
      </c>
      <c r="W82" s="2"/>
      <c r="X82" s="6">
        <f t="shared" si="50"/>
        <v>207.93</v>
      </c>
      <c r="Y82" s="2"/>
      <c r="Z82" s="7">
        <f t="shared" si="51"/>
        <v>0</v>
      </c>
    </row>
    <row r="83" spans="1:26" s="24" customFormat="1" hidden="1" outlineLevel="2" x14ac:dyDescent="0.3">
      <c r="A83" s="27"/>
      <c r="B83" s="11" t="str">
        <f>CONCATENATE("          ", "6248", " - ", "UNIFORMS")</f>
        <v xml:space="preserve">          6248 - UNIFORMS</v>
      </c>
      <c r="C83" s="11"/>
      <c r="D83" s="6"/>
      <c r="E83" s="2"/>
      <c r="F83" s="7">
        <f t="shared" si="44"/>
        <v>0</v>
      </c>
      <c r="G83" s="2"/>
      <c r="H83" s="6">
        <v>196</v>
      </c>
      <c r="I83" s="2"/>
      <c r="J83" s="7">
        <f t="shared" si="45"/>
        <v>6.0493827160493826E-4</v>
      </c>
      <c r="K83" s="2"/>
      <c r="L83" s="6">
        <f t="shared" si="46"/>
        <v>-196</v>
      </c>
      <c r="M83" s="2"/>
      <c r="N83" s="7">
        <f t="shared" si="47"/>
        <v>-1</v>
      </c>
      <c r="O83" s="11"/>
      <c r="P83" s="6">
        <v>1870.4</v>
      </c>
      <c r="Q83" s="2"/>
      <c r="R83" s="7">
        <f t="shared" si="48"/>
        <v>1.085066662158705E-3</v>
      </c>
      <c r="S83" s="2"/>
      <c r="T83" s="6">
        <v>980</v>
      </c>
      <c r="U83" s="2"/>
      <c r="V83" s="7">
        <f t="shared" si="49"/>
        <v>6.7215363511659808E-4</v>
      </c>
      <c r="W83" s="2"/>
      <c r="X83" s="6">
        <f t="shared" si="50"/>
        <v>890.40000000000009</v>
      </c>
      <c r="Y83" s="2"/>
      <c r="Z83" s="7">
        <f t="shared" si="51"/>
        <v>0.9085714285714287</v>
      </c>
    </row>
    <row r="84" spans="1:26" s="29" customFormat="1" outlineLevel="1" collapsed="1" x14ac:dyDescent="0.3">
      <c r="A84" s="28"/>
      <c r="B84" s="14" t="str">
        <f>CONCATENATE("     ","Telephone/Data Lines                              ")</f>
        <v xml:space="preserve">     Telephone/Data Lines                              </v>
      </c>
      <c r="C84" s="14"/>
      <c r="D84" s="1">
        <f>SUM(OSRRefD22_14x_0)</f>
        <v>239</v>
      </c>
      <c r="E84" s="1"/>
      <c r="F84" s="5">
        <f t="shared" ref="F84:F85" si="52">IF(D$12=0,0,D84/D$12)</f>
        <v>5.7698787895730998E-4</v>
      </c>
      <c r="G84" s="1"/>
      <c r="H84" s="1">
        <f>SUM(OSRRefH22_14x_0)</f>
        <v>175</v>
      </c>
      <c r="I84" s="1"/>
      <c r="J84" s="5">
        <f t="shared" ref="J84:J85" si="53">IF(H$12=0,0,H84/H$12)</f>
        <v>5.4012345679012341E-4</v>
      </c>
      <c r="K84" s="1"/>
      <c r="L84" s="1">
        <f t="shared" ref="L84:L85" si="54">+D84-H84</f>
        <v>64</v>
      </c>
      <c r="M84" s="1"/>
      <c r="N84" s="5">
        <f t="shared" ref="N84:N85" si="55">IF(H84=0,0,L84/H84)</f>
        <v>0.36571428571428571</v>
      </c>
      <c r="O84" s="14"/>
      <c r="P84" s="1">
        <f>SUM(OSRRefP22_14x_0)</f>
        <v>1195</v>
      </c>
      <c r="Q84" s="1"/>
      <c r="R84" s="5">
        <f t="shared" ref="R84:R85" si="56">IF(P$12=0,0,P84/P$12)</f>
        <v>6.9324992583386037E-4</v>
      </c>
      <c r="S84" s="1"/>
      <c r="T84" s="1">
        <f>SUM(OSRRefT22_14x_0)</f>
        <v>875</v>
      </c>
      <c r="U84" s="1"/>
      <c r="V84" s="5">
        <f t="shared" ref="V84:V85" si="57">IF(T$12=0,0,T84/T$12)</f>
        <v>6.0013717421124834E-4</v>
      </c>
      <c r="W84" s="1"/>
      <c r="X84" s="1">
        <f t="shared" ref="X84:X85" si="58">+P84-T84</f>
        <v>320</v>
      </c>
      <c r="Y84" s="1"/>
      <c r="Z84" s="5">
        <f t="shared" ref="Z84:Z85" si="59">IF(T84=0,0,X84/T84)</f>
        <v>0.36571428571428571</v>
      </c>
    </row>
    <row r="85" spans="1:26" s="24" customFormat="1" hidden="1" outlineLevel="2" x14ac:dyDescent="0.3">
      <c r="A85" s="27"/>
      <c r="B85" s="11" t="str">
        <f>CONCATENATE("          ", "6309", " - ", "TELEPHONE")</f>
        <v xml:space="preserve">          6309 - TELEPHONE</v>
      </c>
      <c r="C85" s="11"/>
      <c r="D85" s="6">
        <v>239</v>
      </c>
      <c r="E85" s="2"/>
      <c r="F85" s="7">
        <f t="shared" si="52"/>
        <v>5.7698787895730998E-4</v>
      </c>
      <c r="G85" s="2"/>
      <c r="H85" s="6">
        <v>175</v>
      </c>
      <c r="I85" s="2"/>
      <c r="J85" s="7">
        <f t="shared" si="53"/>
        <v>5.4012345679012341E-4</v>
      </c>
      <c r="K85" s="2"/>
      <c r="L85" s="6">
        <f t="shared" si="54"/>
        <v>64</v>
      </c>
      <c r="M85" s="2"/>
      <c r="N85" s="7">
        <f t="shared" si="55"/>
        <v>0.36571428571428571</v>
      </c>
      <c r="O85" s="11"/>
      <c r="P85" s="6">
        <v>1195</v>
      </c>
      <c r="Q85" s="2"/>
      <c r="R85" s="7">
        <f t="shared" si="56"/>
        <v>6.9324992583386037E-4</v>
      </c>
      <c r="S85" s="2"/>
      <c r="T85" s="6">
        <v>875</v>
      </c>
      <c r="U85" s="2"/>
      <c r="V85" s="7">
        <f t="shared" si="57"/>
        <v>6.0013717421124834E-4</v>
      </c>
      <c r="W85" s="2"/>
      <c r="X85" s="6">
        <f t="shared" si="58"/>
        <v>320</v>
      </c>
      <c r="Y85" s="2"/>
      <c r="Z85" s="7">
        <f t="shared" si="59"/>
        <v>0.36571428571428571</v>
      </c>
    </row>
    <row r="86" spans="1:26" s="63" customFormat="1" x14ac:dyDescent="0.3">
      <c r="A86" s="36"/>
      <c r="B86" s="36"/>
      <c r="C86" s="36"/>
      <c r="D86" s="1"/>
      <c r="E86" s="1"/>
      <c r="F86" s="5"/>
      <c r="G86" s="1"/>
      <c r="H86" s="1"/>
      <c r="I86" s="1"/>
      <c r="J86" s="5"/>
      <c r="K86" s="1"/>
      <c r="L86" s="1"/>
      <c r="M86" s="1"/>
      <c r="N86" s="5"/>
      <c r="O86" s="36"/>
      <c r="P86" s="1"/>
      <c r="Q86" s="1"/>
      <c r="R86" s="5"/>
      <c r="S86" s="1"/>
      <c r="T86" s="1"/>
      <c r="U86" s="1"/>
      <c r="V86" s="5"/>
      <c r="W86" s="1"/>
      <c r="X86" s="1"/>
      <c r="Y86" s="1"/>
      <c r="Z86" s="5"/>
    </row>
    <row r="87" spans="1:26" s="23" customFormat="1" x14ac:dyDescent="0.3">
      <c r="A87" s="10"/>
      <c r="B87" s="25" t="s">
        <v>293</v>
      </c>
      <c r="C87" s="10"/>
      <c r="D87" s="4">
        <f>SUM(0)</f>
        <v>0</v>
      </c>
      <c r="E87" s="4"/>
      <c r="F87" s="12">
        <f>IF(D$12=0,0,D87/D$12)</f>
        <v>0</v>
      </c>
      <c r="G87" s="4"/>
      <c r="H87" s="4">
        <f>SUM(0)</f>
        <v>0</v>
      </c>
      <c r="I87" s="4"/>
      <c r="J87" s="12">
        <f>IF(H$12=0,0,H87/H$12)</f>
        <v>0</v>
      </c>
      <c r="K87" s="4"/>
      <c r="L87" s="4">
        <f>+D87-H87</f>
        <v>0</v>
      </c>
      <c r="M87" s="4"/>
      <c r="N87" s="12">
        <f>IF(H87=0,0,L87/H87)</f>
        <v>0</v>
      </c>
      <c r="O87" s="10"/>
      <c r="P87" s="4">
        <f>SUM(0)</f>
        <v>0</v>
      </c>
      <c r="Q87" s="4"/>
      <c r="R87" s="12">
        <f>IF(P$12=0,0,P87/P$12)</f>
        <v>0</v>
      </c>
      <c r="S87" s="4"/>
      <c r="T87" s="4">
        <f>SUM(0)</f>
        <v>0</v>
      </c>
      <c r="U87" s="4"/>
      <c r="V87" s="12">
        <f>IF(T$12=0,0,T87/T$12)</f>
        <v>0</v>
      </c>
      <c r="W87" s="4"/>
      <c r="X87" s="4">
        <f>+P87-T87</f>
        <v>0</v>
      </c>
      <c r="Y87" s="4"/>
      <c r="Z87" s="12">
        <f>IF(T87=0,0,X87/T87)</f>
        <v>0</v>
      </c>
    </row>
    <row r="88" spans="1:26" x14ac:dyDescent="0.3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3">
      <c r="A89" s="10"/>
      <c r="B89" s="26" t="s">
        <v>277</v>
      </c>
      <c r="C89" s="26"/>
      <c r="D89" s="20">
        <f>+D23-D25+D87</f>
        <v>148237.73000000004</v>
      </c>
      <c r="E89" s="13"/>
      <c r="F89" s="22">
        <f>IF(D$12=0,0,D89/D$12)</f>
        <v>0.35787185528931559</v>
      </c>
      <c r="G89" s="13"/>
      <c r="H89" s="20">
        <f>+H23-H25+H87</f>
        <v>68650.578103076958</v>
      </c>
      <c r="I89" s="13"/>
      <c r="J89" s="22">
        <f>IF(H$12=0,0,H89/H$12)</f>
        <v>0.21188450031813877</v>
      </c>
      <c r="K89" s="15"/>
      <c r="L89" s="20">
        <f>+D89-H89</f>
        <v>79587.151896923082</v>
      </c>
      <c r="M89" s="15"/>
      <c r="N89" s="22">
        <f>IF(H89=0,0,L89/H89)</f>
        <v>1.1593078178806471</v>
      </c>
      <c r="O89" s="25"/>
      <c r="P89" s="20">
        <f>+P23-P25+P87</f>
        <v>603562.6100000001</v>
      </c>
      <c r="Q89" s="13"/>
      <c r="R89" s="22">
        <f>IF(P$12=0,0,P89/P$12)</f>
        <v>0.3501420373377333</v>
      </c>
      <c r="S89" s="13"/>
      <c r="T89" s="20">
        <f>+T23-T25+T87</f>
        <v>238667.69456692366</v>
      </c>
      <c r="U89" s="13"/>
      <c r="V89" s="22">
        <f>IF(T$12=0,0,T89/T$12)</f>
        <v>0.16369526376332214</v>
      </c>
      <c r="W89" s="15"/>
      <c r="X89" s="20">
        <f>+P89-T89</f>
        <v>364894.91543307644</v>
      </c>
      <c r="Y89" s="15"/>
      <c r="Z89" s="22">
        <f>IF(T89=0,0,X89/T89)</f>
        <v>1.5288827258133926</v>
      </c>
    </row>
    <row r="90" spans="1:26" x14ac:dyDescent="0.3">
      <c r="A90" s="9"/>
      <c r="B90" s="10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3">
      <c r="A91" s="52"/>
      <c r="B91" s="10" t="s">
        <v>128</v>
      </c>
      <c r="C91" s="10"/>
      <c r="D91" s="4">
        <v>53948.09</v>
      </c>
      <c r="E91" s="4"/>
      <c r="F91" s="12">
        <f>IF(D$12=0,0,D91/D$12)</f>
        <v>0.13024014235522202</v>
      </c>
      <c r="G91" s="4"/>
      <c r="H91" s="4">
        <v>51869</v>
      </c>
      <c r="I91" s="4"/>
      <c r="J91" s="12">
        <f>IF(H$12=0,0,H91/H$12)</f>
        <v>0.16008950617283951</v>
      </c>
      <c r="K91" s="4"/>
      <c r="L91" s="4">
        <f>+D91-H91</f>
        <v>2079.0899999999965</v>
      </c>
      <c r="M91" s="4"/>
      <c r="N91" s="12">
        <f>IF(H91=0,0,L91/H91)</f>
        <v>4.0083479534982293E-2</v>
      </c>
      <c r="O91" s="10"/>
      <c r="P91" s="4">
        <v>205320.66</v>
      </c>
      <c r="Q91" s="4"/>
      <c r="R91" s="12">
        <f>IF(P$12=0,0,P91/P$12)</f>
        <v>0.11911174252481947</v>
      </c>
      <c r="S91" s="4"/>
      <c r="T91" s="4">
        <v>182268</v>
      </c>
      <c r="U91" s="4"/>
      <c r="V91" s="12">
        <f>IF(T$12=0,0,T91/T$12)</f>
        <v>0.12501234567901234</v>
      </c>
      <c r="W91" s="4"/>
      <c r="X91" s="4">
        <f>+P91-T91</f>
        <v>23052.660000000003</v>
      </c>
      <c r="Y91" s="4"/>
      <c r="Z91" s="12">
        <f>IF(T91=0,0,X91/T91)</f>
        <v>0.12647672657844494</v>
      </c>
    </row>
    <row r="92" spans="1:26" x14ac:dyDescent="0.3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" thickBot="1" x14ac:dyDescent="0.35">
      <c r="A93" s="10"/>
      <c r="B93" s="26" t="s">
        <v>126</v>
      </c>
      <c r="C93" s="26"/>
      <c r="D93" s="33">
        <f>+D89-D91</f>
        <v>94289.640000000043</v>
      </c>
      <c r="E93" s="13"/>
      <c r="F93" s="34">
        <f>IF(D$12=0,0,D93/D$12)</f>
        <v>0.22763171293409354</v>
      </c>
      <c r="G93" s="13"/>
      <c r="H93" s="33">
        <f>+H89-H91</f>
        <v>16781.578103076958</v>
      </c>
      <c r="I93" s="13"/>
      <c r="J93" s="34">
        <f>IF(H$12=0,0,H93/H$12)</f>
        <v>5.1794994145299249E-2</v>
      </c>
      <c r="K93" s="15"/>
      <c r="L93" s="33">
        <f>D93-H93</f>
        <v>77508.061896923085</v>
      </c>
      <c r="M93" s="15"/>
      <c r="N93" s="34">
        <f>IF(H93=0,0,L93/H93)</f>
        <v>4.6186396428779082</v>
      </c>
      <c r="O93" s="25"/>
      <c r="P93" s="33">
        <f>+P89-P91</f>
        <v>398241.95000000007</v>
      </c>
      <c r="Q93" s="13"/>
      <c r="R93" s="34">
        <f>IF(P$12=0,0,P93/P$12)</f>
        <v>0.23103029481291382</v>
      </c>
      <c r="S93" s="13"/>
      <c r="T93" s="33">
        <f>+T89-T91</f>
        <v>56399.694566923659</v>
      </c>
      <c r="U93" s="13"/>
      <c r="V93" s="34">
        <f>IF(T$12=0,0,T93/T$12)</f>
        <v>3.8682918084309778E-2</v>
      </c>
      <c r="W93" s="15"/>
      <c r="X93" s="33">
        <f>P93-T93</f>
        <v>341842.25543307641</v>
      </c>
      <c r="Y93" s="15"/>
      <c r="Z93" s="34">
        <f>IF(T93=0,0,X93/T93)</f>
        <v>6.061065721330241</v>
      </c>
    </row>
    <row r="94" spans="1:26" ht="15" thickTop="1" x14ac:dyDescent="0.3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x14ac:dyDescent="0.3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" thickBot="1" x14ac:dyDescent="0.35">
      <c r="A96" s="10"/>
      <c r="B96" s="26" t="s">
        <v>294</v>
      </c>
      <c r="C96" s="26"/>
      <c r="D96" s="35">
        <f>SUM(D93:D95)</f>
        <v>94289.640000000043</v>
      </c>
      <c r="E96" s="13"/>
      <c r="F96" s="32">
        <f>IF(D$12=0,0,D96/D$12)</f>
        <v>0.22763171293409354</v>
      </c>
      <c r="G96" s="13"/>
      <c r="H96" s="35">
        <f>SUM(H93:H95)</f>
        <v>16781.578103076958</v>
      </c>
      <c r="I96" s="13"/>
      <c r="J96" s="32">
        <f>IF(H$12=0,0,H96/H$12)</f>
        <v>5.1794994145299249E-2</v>
      </c>
      <c r="K96" s="15"/>
      <c r="L96" s="35">
        <f>+D96-H96</f>
        <v>77508.061896923085</v>
      </c>
      <c r="M96" s="15"/>
      <c r="N96" s="32">
        <f>IF(H96=0,0,L96/H96)</f>
        <v>4.6186396428779082</v>
      </c>
      <c r="O96" s="25"/>
      <c r="P96" s="35">
        <f>SUM(P93:P95)</f>
        <v>398241.95000000007</v>
      </c>
      <c r="Q96" s="13"/>
      <c r="R96" s="32">
        <f>IF(P$12=0,0,P96/P$12)</f>
        <v>0.23103029481291382</v>
      </c>
      <c r="S96" s="13"/>
      <c r="T96" s="35">
        <f>SUM(T93:T95)</f>
        <v>56399.694566923659</v>
      </c>
      <c r="U96" s="13"/>
      <c r="V96" s="32">
        <f>IF(T$12=0,0,T96/T$12)</f>
        <v>3.8682918084309778E-2</v>
      </c>
      <c r="W96" s="15"/>
      <c r="X96" s="35">
        <f>+P96-T96</f>
        <v>341842.25543307641</v>
      </c>
      <c r="Y96" s="15"/>
      <c r="Z96" s="32">
        <f>IF(T96=0,0,X96/T96)</f>
        <v>6.061065721330241</v>
      </c>
    </row>
    <row r="97" spans="1:24" ht="15" thickTop="1" x14ac:dyDescent="0.3">
      <c r="A97" s="9"/>
      <c r="C97" s="9"/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3">
      <c r="A98" s="9"/>
      <c r="B98" s="60">
        <v>44543.753113078703</v>
      </c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  <row r="99" spans="1:24" x14ac:dyDescent="0.3">
      <c r="A99" s="9"/>
      <c r="B99" s="58" t="s">
        <v>56</v>
      </c>
      <c r="D99" s="17"/>
      <c r="E99" s="17"/>
      <c r="G99" s="17"/>
      <c r="H99" s="17"/>
      <c r="I99" s="17"/>
      <c r="J99" s="42"/>
      <c r="K99" s="17"/>
      <c r="L99" s="17"/>
      <c r="M99" s="17"/>
      <c r="P99" s="17"/>
      <c r="Q99" s="17"/>
      <c r="R99" s="42"/>
      <c r="S99" s="17"/>
      <c r="T99" s="17"/>
      <c r="U99" s="17"/>
      <c r="V99" s="42"/>
      <c r="W99" s="17"/>
      <c r="X99" s="17"/>
    </row>
    <row r="100" spans="1:24" x14ac:dyDescent="0.3">
      <c r="A100" s="9"/>
      <c r="B100" s="55"/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  <row r="101" spans="1:24" x14ac:dyDescent="0.3"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rgb="FF92D050"/>
    <outlinePr summaryBelow="0" summaryRight="0"/>
  </sheetPr>
  <dimension ref="A2:Z10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","444", " - ", "Parkside Dining Hall")</f>
        <v>Department 444 - Parkside Dining Hall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639864.36</v>
      </c>
      <c r="E12" s="4"/>
      <c r="F12" s="12"/>
      <c r="G12" s="4"/>
      <c r="H12" s="4">
        <f>SUM(OSRRefH13x_0)</f>
        <v>396000</v>
      </c>
      <c r="I12" s="4"/>
      <c r="J12" s="12"/>
      <c r="K12" s="4"/>
      <c r="L12" s="4">
        <f t="shared" ref="L12:L16" si="0">+D12-H12</f>
        <v>243864.36</v>
      </c>
      <c r="M12" s="4"/>
      <c r="N12" s="12">
        <f t="shared" ref="N12:N16" si="1">IF(H12=0,0,L12/H12)</f>
        <v>0.61581909090909093</v>
      </c>
      <c r="O12" s="10"/>
      <c r="P12" s="4">
        <f>SUM(OSRRefP13x_0)</f>
        <v>2380052.98</v>
      </c>
      <c r="Q12" s="4"/>
      <c r="R12" s="12"/>
      <c r="S12" s="4"/>
      <c r="T12" s="4">
        <f>SUM(OSRRefT13x_0)</f>
        <v>1782000</v>
      </c>
      <c r="U12" s="4"/>
      <c r="V12" s="12"/>
      <c r="W12" s="4"/>
      <c r="X12" s="4">
        <f t="shared" ref="X12:X16" si="2">+P12-T12</f>
        <v>598052.98</v>
      </c>
      <c r="Y12" s="4"/>
      <c r="Z12" s="12">
        <f t="shared" ref="Z12:Z16" si="3">IF(T12=0,0,X12/T12)</f>
        <v>0.33560773288439955</v>
      </c>
    </row>
    <row r="13" spans="1:26" s="24" customFormat="1" hidden="1" outlineLevel="1" x14ac:dyDescent="0.3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--93.84</f>
        <v>93.84</v>
      </c>
      <c r="E13" s="2"/>
      <c r="F13" s="19"/>
      <c r="G13" s="2"/>
      <c r="H13" s="2"/>
      <c r="I13" s="2"/>
      <c r="J13" s="19"/>
      <c r="K13" s="2"/>
      <c r="L13" s="2">
        <f t="shared" si="0"/>
        <v>93.84</v>
      </c>
      <c r="M13" s="2"/>
      <c r="N13" s="19">
        <f t="shared" si="1"/>
        <v>0</v>
      </c>
      <c r="O13" s="11"/>
      <c r="P13" s="2">
        <f>--487.98</f>
        <v>487.98</v>
      </c>
      <c r="Q13" s="2"/>
      <c r="R13" s="19"/>
      <c r="S13" s="2"/>
      <c r="T13" s="2"/>
      <c r="U13" s="2"/>
      <c r="V13" s="19"/>
      <c r="W13" s="2"/>
      <c r="X13" s="2">
        <f t="shared" si="2"/>
        <v>487.98</v>
      </c>
      <c r="Y13" s="2"/>
      <c r="Z13" s="19">
        <f t="shared" si="3"/>
        <v>0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396000</v>
      </c>
      <c r="I14" s="2"/>
      <c r="J14" s="19"/>
      <c r="K14" s="2"/>
      <c r="L14" s="2">
        <f t="shared" si="0"/>
        <v>-396000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1782000</v>
      </c>
      <c r="U14" s="2"/>
      <c r="V14" s="19"/>
      <c r="W14" s="2"/>
      <c r="X14" s="2">
        <f t="shared" si="2"/>
        <v>-1782000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--638092.16</f>
        <v>638092.16</v>
      </c>
      <c r="E15" s="2"/>
      <c r="F15" s="19"/>
      <c r="G15" s="2"/>
      <c r="H15" s="2"/>
      <c r="I15" s="2"/>
      <c r="J15" s="19"/>
      <c r="K15" s="2"/>
      <c r="L15" s="2">
        <f t="shared" si="0"/>
        <v>638092.16</v>
      </c>
      <c r="M15" s="2"/>
      <c r="N15" s="19">
        <f t="shared" si="1"/>
        <v>0</v>
      </c>
      <c r="O15" s="11"/>
      <c r="P15" s="2">
        <f>--2366875.73</f>
        <v>2366875.73</v>
      </c>
      <c r="Q15" s="2"/>
      <c r="R15" s="19"/>
      <c r="S15" s="2"/>
      <c r="T15" s="2"/>
      <c r="U15" s="2"/>
      <c r="V15" s="19"/>
      <c r="W15" s="2"/>
      <c r="X15" s="2">
        <f t="shared" si="2"/>
        <v>2366875.73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--1678.36</f>
        <v>1678.36</v>
      </c>
      <c r="E16" s="2"/>
      <c r="F16" s="19"/>
      <c r="G16" s="2"/>
      <c r="H16" s="2"/>
      <c r="I16" s="2"/>
      <c r="J16" s="19"/>
      <c r="K16" s="2"/>
      <c r="L16" s="2">
        <f t="shared" si="0"/>
        <v>1678.36</v>
      </c>
      <c r="M16" s="2"/>
      <c r="N16" s="19">
        <f t="shared" si="1"/>
        <v>0</v>
      </c>
      <c r="O16" s="11"/>
      <c r="P16" s="2">
        <f>--12689.27</f>
        <v>12689.27</v>
      </c>
      <c r="Q16" s="2"/>
      <c r="R16" s="19"/>
      <c r="S16" s="2"/>
      <c r="T16" s="2"/>
      <c r="U16" s="2"/>
      <c r="V16" s="19"/>
      <c r="W16" s="2"/>
      <c r="X16" s="2">
        <f t="shared" si="2"/>
        <v>12689.27</v>
      </c>
      <c r="Y16" s="2"/>
      <c r="Z16" s="19">
        <f t="shared" si="3"/>
        <v>0</v>
      </c>
    </row>
    <row r="17" spans="1:26" x14ac:dyDescent="0.3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">
      <c r="A18" s="10"/>
      <c r="B18" s="25" t="s">
        <v>257</v>
      </c>
      <c r="C18" s="10"/>
      <c r="D18" s="4">
        <f>SUM(OSRRefD16x_0)</f>
        <v>123227.99</v>
      </c>
      <c r="E18" s="4"/>
      <c r="F18" s="12">
        <f t="shared" ref="F18:F21" si="4">IF(D$12=0,0,D18/D$12)</f>
        <v>0.19258455026312141</v>
      </c>
      <c r="G18" s="4"/>
      <c r="H18" s="4">
        <f>SUM(OSRRefH16x_0)</f>
        <v>102960</v>
      </c>
      <c r="I18" s="4"/>
      <c r="J18" s="12">
        <f t="shared" ref="J18:J21" si="5">IF(H$12=0,0,H18/H$12)</f>
        <v>0.26</v>
      </c>
      <c r="K18" s="4"/>
      <c r="L18" s="4">
        <f t="shared" ref="L18:L21" si="6">+D18-H18</f>
        <v>20267.990000000005</v>
      </c>
      <c r="M18" s="4"/>
      <c r="N18" s="12">
        <f t="shared" ref="N18:N21" si="7">IF(H18=0,0,L18/H18)</f>
        <v>0.19685304972804979</v>
      </c>
      <c r="O18" s="10"/>
      <c r="P18" s="4">
        <f>SUM(OSRRefP16x_0)</f>
        <v>617727.22</v>
      </c>
      <c r="Q18" s="4"/>
      <c r="R18" s="12">
        <f t="shared" ref="R18:R21" si="8">IF(P$12=0,0,P18/P$12)</f>
        <v>0.25954347453223497</v>
      </c>
      <c r="S18" s="4"/>
      <c r="T18" s="4">
        <f>SUM(OSRRefT16x_0)</f>
        <v>496584</v>
      </c>
      <c r="U18" s="4"/>
      <c r="V18" s="12">
        <f t="shared" ref="V18:V21" si="9">IF(T$12=0,0,T18/T$12)</f>
        <v>0.27866666666666667</v>
      </c>
      <c r="W18" s="4"/>
      <c r="X18" s="4">
        <f t="shared" ref="X18:X21" si="10">+P18-T18</f>
        <v>121143.21999999997</v>
      </c>
      <c r="Y18" s="4"/>
      <c r="Z18" s="12">
        <f t="shared" ref="Z18:Z21" si="11">IF(T18=0,0,X18/T18)</f>
        <v>0.2439531277689172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102960</v>
      </c>
      <c r="I19" s="2"/>
      <c r="J19" s="19">
        <f t="shared" si="5"/>
        <v>0.26</v>
      </c>
      <c r="K19" s="2"/>
      <c r="L19" s="2">
        <f t="shared" si="6"/>
        <v>-102960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496584</v>
      </c>
      <c r="U19" s="2"/>
      <c r="V19" s="19">
        <f t="shared" si="9"/>
        <v>0.27866666666666667</v>
      </c>
      <c r="W19" s="2"/>
      <c r="X19" s="2">
        <f t="shared" si="10"/>
        <v>-496584</v>
      </c>
      <c r="Y19" s="2"/>
      <c r="Z19" s="19">
        <f t="shared" si="11"/>
        <v>-1</v>
      </c>
    </row>
    <row r="20" spans="1:26" s="24" customFormat="1" hidden="1" outlineLevel="1" x14ac:dyDescent="0.3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121057.99</v>
      </c>
      <c r="E20" s="2"/>
      <c r="F20" s="19">
        <f t="shared" si="4"/>
        <v>0.18919320651020477</v>
      </c>
      <c r="G20" s="2"/>
      <c r="H20" s="2"/>
      <c r="I20" s="2"/>
      <c r="J20" s="19">
        <f t="shared" si="5"/>
        <v>0</v>
      </c>
      <c r="K20" s="2"/>
      <c r="L20" s="2">
        <f t="shared" si="6"/>
        <v>121057.99</v>
      </c>
      <c r="M20" s="2"/>
      <c r="N20" s="19">
        <f t="shared" si="7"/>
        <v>0</v>
      </c>
      <c r="O20" s="11"/>
      <c r="P20" s="2">
        <v>627275.22</v>
      </c>
      <c r="Q20" s="2"/>
      <c r="R20" s="19">
        <f t="shared" si="8"/>
        <v>0.26355514993620016</v>
      </c>
      <c r="S20" s="2"/>
      <c r="T20" s="2"/>
      <c r="U20" s="2"/>
      <c r="V20" s="19">
        <f t="shared" si="9"/>
        <v>0</v>
      </c>
      <c r="W20" s="2"/>
      <c r="X20" s="2">
        <f t="shared" si="10"/>
        <v>627275.22</v>
      </c>
      <c r="Y20" s="2"/>
      <c r="Z20" s="19">
        <f t="shared" si="11"/>
        <v>0</v>
      </c>
    </row>
    <row r="21" spans="1:26" s="24" customFormat="1" hidden="1" outlineLevel="1" x14ac:dyDescent="0.3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2170</v>
      </c>
      <c r="E21" s="2"/>
      <c r="F21" s="19">
        <f t="shared" si="4"/>
        <v>3.3913437529166338E-3</v>
      </c>
      <c r="G21" s="2"/>
      <c r="H21" s="2"/>
      <c r="I21" s="2"/>
      <c r="J21" s="19">
        <f t="shared" si="5"/>
        <v>0</v>
      </c>
      <c r="K21" s="2"/>
      <c r="L21" s="2">
        <f t="shared" si="6"/>
        <v>2170</v>
      </c>
      <c r="M21" s="2"/>
      <c r="N21" s="19">
        <f t="shared" si="7"/>
        <v>0</v>
      </c>
      <c r="O21" s="11"/>
      <c r="P21" s="2">
        <v>-9548</v>
      </c>
      <c r="Q21" s="2"/>
      <c r="R21" s="19">
        <f t="shared" si="8"/>
        <v>-4.011675403965167E-3</v>
      </c>
      <c r="S21" s="2"/>
      <c r="T21" s="2"/>
      <c r="U21" s="2"/>
      <c r="V21" s="19">
        <f t="shared" si="9"/>
        <v>0</v>
      </c>
      <c r="W21" s="2"/>
      <c r="X21" s="2">
        <f t="shared" si="10"/>
        <v>-9548</v>
      </c>
      <c r="Y21" s="2"/>
      <c r="Z21" s="19">
        <f t="shared" si="11"/>
        <v>0</v>
      </c>
    </row>
    <row r="22" spans="1:26" x14ac:dyDescent="0.3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3">
      <c r="A23" s="10"/>
      <c r="B23" s="26" t="s">
        <v>108</v>
      </c>
      <c r="C23" s="26"/>
      <c r="D23" s="20">
        <f>D12-D18</f>
        <v>516636.37</v>
      </c>
      <c r="E23" s="13"/>
      <c r="F23" s="22">
        <f>IF(D$12=0,0,D23/D$12)</f>
        <v>0.80741544973687862</v>
      </c>
      <c r="G23" s="13"/>
      <c r="H23" s="20">
        <f>H12-H18</f>
        <v>293040</v>
      </c>
      <c r="I23" s="13"/>
      <c r="J23" s="22">
        <f>IF(H$12=0,0,H23/H$12)</f>
        <v>0.74</v>
      </c>
      <c r="K23" s="15"/>
      <c r="L23" s="20">
        <f>+D23-H23</f>
        <v>223596.37</v>
      </c>
      <c r="M23" s="15"/>
      <c r="N23" s="22">
        <f>IF(H23=0,0,L23/H23)</f>
        <v>0.76302337564837563</v>
      </c>
      <c r="O23" s="25"/>
      <c r="P23" s="20">
        <f>P12-P18</f>
        <v>1762325.76</v>
      </c>
      <c r="Q23" s="13"/>
      <c r="R23" s="22">
        <f>IF(P$12=0,0,P23/P$12)</f>
        <v>0.74045652546776497</v>
      </c>
      <c r="S23" s="13"/>
      <c r="T23" s="20">
        <f>T12-T18</f>
        <v>1285416</v>
      </c>
      <c r="U23" s="13"/>
      <c r="V23" s="22">
        <f>IF(T$12=0,0,T23/T$12)</f>
        <v>0.72133333333333338</v>
      </c>
      <c r="W23" s="15"/>
      <c r="X23" s="20">
        <f>+P23-T23</f>
        <v>476909.76</v>
      </c>
      <c r="Y23" s="15"/>
      <c r="Z23" s="22">
        <f>IF(T23=0,0,X23/T23)</f>
        <v>0.37101588901958588</v>
      </c>
    </row>
    <row r="24" spans="1:26" x14ac:dyDescent="0.3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">
      <c r="A25" s="10"/>
      <c r="B25" s="25" t="s">
        <v>295</v>
      </c>
      <c r="C25" s="10"/>
      <c r="D25" s="21">
        <f>SUM(OSRRefD22x_0)</f>
        <v>196578.65999999997</v>
      </c>
      <c r="E25" s="21"/>
      <c r="F25" s="30">
        <f t="shared" ref="F25:F36" si="12">IF(D$12=0,0,D25/D$12)</f>
        <v>0.30721926753351286</v>
      </c>
      <c r="G25" s="21"/>
      <c r="H25" s="21">
        <f>SUM(OSRRefH22x_0)</f>
        <v>210890.37969121995</v>
      </c>
      <c r="I25" s="21"/>
      <c r="J25" s="30">
        <f t="shared" ref="J25:J36" si="13">IF(H$12=0,0,H25/H$12)</f>
        <v>0.53255146386671703</v>
      </c>
      <c r="K25" s="4"/>
      <c r="L25" s="21">
        <f t="shared" ref="L25:L36" si="14">+D25-H25</f>
        <v>-14311.719691219972</v>
      </c>
      <c r="M25" s="4"/>
      <c r="N25" s="30">
        <f t="shared" ref="N25:N36" si="15">IF(H25=0,0,L25/H25)</f>
        <v>-6.7863312267609402E-2</v>
      </c>
      <c r="O25" s="10"/>
      <c r="P25" s="21">
        <f>SUM(OSRRefP22x_0)</f>
        <v>927621.53000000014</v>
      </c>
      <c r="Q25" s="21"/>
      <c r="R25" s="30">
        <f t="shared" ref="R25:R36" si="16">IF(P$12=0,0,P25/P$12)</f>
        <v>0.3897482693851631</v>
      </c>
      <c r="S25" s="21"/>
      <c r="T25" s="21">
        <f>SUM(OSRRefT22x_0)</f>
        <v>1013144.3443017101</v>
      </c>
      <c r="U25" s="21"/>
      <c r="V25" s="30">
        <f t="shared" ref="V25:V36" si="17">IF(T$12=0,0,T25/T$12)</f>
        <v>0.56854340308737938</v>
      </c>
      <c r="W25" s="4"/>
      <c r="X25" s="21">
        <f t="shared" ref="X25:X36" si="18">+P25-T25</f>
        <v>-85522.814301709994</v>
      </c>
      <c r="Y25" s="4"/>
      <c r="Z25" s="30">
        <f t="shared" ref="Z25:Z36" si="19">IF(T25=0,0,X25/T25)</f>
        <v>-8.4413257383038467E-2</v>
      </c>
    </row>
    <row r="26" spans="1:26" s="29" customFormat="1" outlineLevel="1" collapsed="1" x14ac:dyDescent="0.3">
      <c r="A26" s="28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30810.309999999998</v>
      </c>
      <c r="E26" s="1"/>
      <c r="F26" s="5">
        <f t="shared" si="12"/>
        <v>4.8151314444205014E-2</v>
      </c>
      <c r="G26" s="1"/>
      <c r="H26" s="1">
        <f>SUM(OSRRefH22_0x_0)</f>
        <v>39119.299660450735</v>
      </c>
      <c r="I26" s="1"/>
      <c r="J26" s="5">
        <f t="shared" si="13"/>
        <v>9.8786110253663476E-2</v>
      </c>
      <c r="K26" s="1"/>
      <c r="L26" s="1">
        <f t="shared" si="14"/>
        <v>-8308.9896604507376</v>
      </c>
      <c r="M26" s="1"/>
      <c r="N26" s="5">
        <f t="shared" si="15"/>
        <v>-0.21240128868797342</v>
      </c>
      <c r="O26" s="14"/>
      <c r="P26" s="1">
        <f>SUM(OSRRefP22_0x_0)</f>
        <v>156891.95000000001</v>
      </c>
      <c r="Q26" s="1"/>
      <c r="R26" s="5">
        <f t="shared" si="16"/>
        <v>6.5919519993206208E-2</v>
      </c>
      <c r="S26" s="1"/>
      <c r="T26" s="1">
        <f>SUM(OSRRefT22_0x_0)</f>
        <v>207450.1066324795</v>
      </c>
      <c r="U26" s="1"/>
      <c r="V26" s="5">
        <f t="shared" si="17"/>
        <v>0.11641420125279434</v>
      </c>
      <c r="W26" s="1"/>
      <c r="X26" s="1">
        <f t="shared" si="18"/>
        <v>-50558.156632479484</v>
      </c>
      <c r="Y26" s="1"/>
      <c r="Z26" s="5">
        <f t="shared" si="19"/>
        <v>-0.24371236753350423</v>
      </c>
    </row>
    <row r="27" spans="1:26" s="24" customFormat="1" hidden="1" outlineLevel="2" x14ac:dyDescent="0.3">
      <c r="A27" s="27"/>
      <c r="B27" s="11" t="str">
        <f>CONCATENATE("          ", "6111", " - ", "F.I.C.A.")</f>
        <v xml:space="preserve">          6111 - F.I.C.A.</v>
      </c>
      <c r="C27" s="11"/>
      <c r="D27" s="6">
        <v>4780.8100000000004</v>
      </c>
      <c r="E27" s="2"/>
      <c r="F27" s="7">
        <f t="shared" si="12"/>
        <v>7.4715991370421075E-3</v>
      </c>
      <c r="G27" s="2"/>
      <c r="H27" s="6">
        <v>3512.8786589123101</v>
      </c>
      <c r="I27" s="2"/>
      <c r="J27" s="7">
        <f t="shared" si="13"/>
        <v>8.8709057043240159E-3</v>
      </c>
      <c r="K27" s="2"/>
      <c r="L27" s="6">
        <f t="shared" si="14"/>
        <v>1267.9313410876903</v>
      </c>
      <c r="M27" s="2"/>
      <c r="N27" s="7">
        <f t="shared" si="15"/>
        <v>0.36093798397246057</v>
      </c>
      <c r="O27" s="11"/>
      <c r="P27" s="6">
        <v>25389.62</v>
      </c>
      <c r="Q27" s="2"/>
      <c r="R27" s="7">
        <f t="shared" si="16"/>
        <v>1.0667670095310231E-2</v>
      </c>
      <c r="S27" s="2"/>
      <c r="T27" s="6">
        <v>21708.568624017698</v>
      </c>
      <c r="U27" s="2"/>
      <c r="V27" s="7">
        <f t="shared" si="17"/>
        <v>1.2182137274981873E-2</v>
      </c>
      <c r="W27" s="2"/>
      <c r="X27" s="6">
        <f t="shared" si="18"/>
        <v>3681.0513759823007</v>
      </c>
      <c r="Y27" s="2"/>
      <c r="Z27" s="7">
        <f t="shared" si="19"/>
        <v>0.16956674757034407</v>
      </c>
    </row>
    <row r="28" spans="1:26" s="24" customFormat="1" hidden="1" outlineLevel="2" x14ac:dyDescent="0.3">
      <c r="A28" s="27"/>
      <c r="B28" s="11" t="str">
        <f>CONCATENATE("          ", "6112", " - ", "COMPENSATION INSURANCE")</f>
        <v xml:space="preserve">          6112 - COMPENSATION INSURANCE</v>
      </c>
      <c r="C28" s="11"/>
      <c r="D28" s="6">
        <v>3295.26</v>
      </c>
      <c r="E28" s="2"/>
      <c r="F28" s="7">
        <f t="shared" si="12"/>
        <v>5.1499352143945009E-3</v>
      </c>
      <c r="G28" s="2"/>
      <c r="H28" s="6">
        <v>4500.2263561384598</v>
      </c>
      <c r="I28" s="2"/>
      <c r="J28" s="7">
        <f t="shared" si="13"/>
        <v>1.1364207970046615E-2</v>
      </c>
      <c r="K28" s="2"/>
      <c r="L28" s="6">
        <f t="shared" si="14"/>
        <v>-1204.9663561384596</v>
      </c>
      <c r="M28" s="2"/>
      <c r="N28" s="7">
        <f t="shared" si="15"/>
        <v>-0.26775683283016311</v>
      </c>
      <c r="O28" s="11"/>
      <c r="P28" s="6">
        <v>14870.93</v>
      </c>
      <c r="Q28" s="2"/>
      <c r="R28" s="7">
        <f t="shared" si="16"/>
        <v>6.2481508289786054E-3</v>
      </c>
      <c r="S28" s="2"/>
      <c r="T28" s="6">
        <v>20990.873283761499</v>
      </c>
      <c r="U28" s="2"/>
      <c r="V28" s="7">
        <f t="shared" si="17"/>
        <v>1.1779390170460998E-2</v>
      </c>
      <c r="W28" s="2"/>
      <c r="X28" s="6">
        <f t="shared" si="18"/>
        <v>-6119.9432837614986</v>
      </c>
      <c r="Y28" s="2"/>
      <c r="Z28" s="7">
        <f t="shared" si="19"/>
        <v>-0.29155258102081327</v>
      </c>
    </row>
    <row r="29" spans="1:26" s="24" customFormat="1" hidden="1" outlineLevel="2" x14ac:dyDescent="0.3">
      <c r="A29" s="27"/>
      <c r="B29" s="11" t="str">
        <f>CONCATENATE("          ", "6113", " - ", "GROUP INSURANCE")</f>
        <v xml:space="preserve">          6113 - GROUP INSURANCE</v>
      </c>
      <c r="C29" s="11"/>
      <c r="D29" s="6">
        <v>15256.21</v>
      </c>
      <c r="E29" s="2"/>
      <c r="F29" s="7">
        <f t="shared" si="12"/>
        <v>2.3842881325660956E-2</v>
      </c>
      <c r="G29" s="2"/>
      <c r="H29" s="6">
        <v>21172.769230769201</v>
      </c>
      <c r="I29" s="2"/>
      <c r="J29" s="7">
        <f t="shared" si="13"/>
        <v>5.3466588966588895E-2</v>
      </c>
      <c r="K29" s="2"/>
      <c r="L29" s="6">
        <f t="shared" si="14"/>
        <v>-5916.5592307692023</v>
      </c>
      <c r="M29" s="2"/>
      <c r="N29" s="7">
        <f t="shared" si="15"/>
        <v>-0.27944191741205954</v>
      </c>
      <c r="O29" s="11"/>
      <c r="P29" s="6">
        <v>77305.23</v>
      </c>
      <c r="Q29" s="2"/>
      <c r="R29" s="7">
        <f t="shared" si="16"/>
        <v>3.2480466044079406E-2</v>
      </c>
      <c r="S29" s="2"/>
      <c r="T29" s="6">
        <v>114439.230769231</v>
      </c>
      <c r="U29" s="2"/>
      <c r="V29" s="7">
        <f t="shared" si="17"/>
        <v>6.4219545886212676E-2</v>
      </c>
      <c r="W29" s="2"/>
      <c r="X29" s="6">
        <f t="shared" si="18"/>
        <v>-37134.000769231003</v>
      </c>
      <c r="Y29" s="2"/>
      <c r="Z29" s="7">
        <f t="shared" si="19"/>
        <v>-0.32448663381976467</v>
      </c>
    </row>
    <row r="30" spans="1:26" s="24" customFormat="1" hidden="1" outlineLevel="2" x14ac:dyDescent="0.3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237.99</v>
      </c>
      <c r="E30" s="2"/>
      <c r="F30" s="7">
        <f t="shared" si="12"/>
        <v>3.7193820265282474E-4</v>
      </c>
      <c r="G30" s="2"/>
      <c r="H30" s="6">
        <v>249.35291155384601</v>
      </c>
      <c r="I30" s="2"/>
      <c r="J30" s="7">
        <f t="shared" si="13"/>
        <v>6.2967906958041919E-4</v>
      </c>
      <c r="K30" s="2"/>
      <c r="L30" s="6">
        <f t="shared" si="14"/>
        <v>-11.362911553846004</v>
      </c>
      <c r="M30" s="2"/>
      <c r="N30" s="7">
        <f t="shared" si="15"/>
        <v>-4.5569596452826114E-2</v>
      </c>
      <c r="O30" s="11"/>
      <c r="P30" s="6">
        <v>1074</v>
      </c>
      <c r="Q30" s="2"/>
      <c r="R30" s="7">
        <f t="shared" si="16"/>
        <v>4.5125045913893899E-4</v>
      </c>
      <c r="S30" s="2"/>
      <c r="T30" s="6">
        <v>1163.0826885461499</v>
      </c>
      <c r="U30" s="2"/>
      <c r="V30" s="7">
        <f t="shared" si="17"/>
        <v>6.5268388807303583E-4</v>
      </c>
      <c r="W30" s="2"/>
      <c r="X30" s="6">
        <f t="shared" si="18"/>
        <v>-89.082688546149939</v>
      </c>
      <c r="Y30" s="2"/>
      <c r="Z30" s="7">
        <f t="shared" si="19"/>
        <v>-7.6591878998304969E-2</v>
      </c>
    </row>
    <row r="31" spans="1:26" s="24" customFormat="1" hidden="1" outlineLevel="2" x14ac:dyDescent="0.3">
      <c r="A31" s="27"/>
      <c r="B31" s="11" t="str">
        <f>CONCATENATE("          ", "6115", " - ", "P.E.R.S.")</f>
        <v xml:space="preserve">          6115 - P.E.R.S.</v>
      </c>
      <c r="C31" s="11"/>
      <c r="D31" s="6">
        <v>1432.43</v>
      </c>
      <c r="E31" s="2"/>
      <c r="F31" s="7">
        <f t="shared" si="12"/>
        <v>2.2386463281061633E-3</v>
      </c>
      <c r="G31" s="2"/>
      <c r="H31" s="6">
        <v>1406.6708415384601</v>
      </c>
      <c r="I31" s="2"/>
      <c r="J31" s="7">
        <f t="shared" si="13"/>
        <v>3.5521990947940912E-3</v>
      </c>
      <c r="K31" s="2"/>
      <c r="L31" s="6">
        <f t="shared" si="14"/>
        <v>25.759158461539982</v>
      </c>
      <c r="M31" s="2"/>
      <c r="N31" s="7">
        <f t="shared" si="15"/>
        <v>1.8312143609493944E-2</v>
      </c>
      <c r="O31" s="11"/>
      <c r="P31" s="6">
        <v>7887.68</v>
      </c>
      <c r="Q31" s="2"/>
      <c r="R31" s="7">
        <f t="shared" si="16"/>
        <v>3.3140774874683672E-3</v>
      </c>
      <c r="S31" s="2"/>
      <c r="T31" s="6">
        <v>7736.6896284615405</v>
      </c>
      <c r="U31" s="2"/>
      <c r="V31" s="7">
        <f t="shared" si="17"/>
        <v>4.3415766714150058E-3</v>
      </c>
      <c r="W31" s="2"/>
      <c r="X31" s="6">
        <f t="shared" si="18"/>
        <v>150.99037153845984</v>
      </c>
      <c r="Y31" s="2"/>
      <c r="Z31" s="7">
        <f t="shared" si="19"/>
        <v>1.9516146929689442E-2</v>
      </c>
    </row>
    <row r="32" spans="1:26" s="24" customFormat="1" hidden="1" outlineLevel="2" x14ac:dyDescent="0.3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3">
      <c r="A33" s="27"/>
      <c r="B33" s="11" t="str">
        <f>CONCATENATE("          ", "6117", " - ", "RETIREMENT STAFF HOURLY")</f>
        <v xml:space="preserve">          6117 - RETIREMENT STAFF HOURLY</v>
      </c>
      <c r="C33" s="11"/>
      <c r="D33" s="6">
        <v>344.78</v>
      </c>
      <c r="E33" s="2"/>
      <c r="F33" s="7">
        <f t="shared" si="12"/>
        <v>5.3883294890810915E-4</v>
      </c>
      <c r="G33" s="2"/>
      <c r="H33" s="6"/>
      <c r="I33" s="2"/>
      <c r="J33" s="7">
        <f t="shared" si="13"/>
        <v>0</v>
      </c>
      <c r="K33" s="2"/>
      <c r="L33" s="6">
        <f t="shared" si="14"/>
        <v>344.78</v>
      </c>
      <c r="M33" s="2"/>
      <c r="N33" s="7">
        <f t="shared" si="15"/>
        <v>0</v>
      </c>
      <c r="O33" s="11"/>
      <c r="P33" s="6">
        <v>2236.96</v>
      </c>
      <c r="Q33" s="2"/>
      <c r="R33" s="7">
        <f t="shared" si="16"/>
        <v>9.3987823750041062E-4</v>
      </c>
      <c r="S33" s="2"/>
      <c r="T33" s="6"/>
      <c r="U33" s="2"/>
      <c r="V33" s="7">
        <f t="shared" si="17"/>
        <v>0</v>
      </c>
      <c r="W33" s="2"/>
      <c r="X33" s="6">
        <f t="shared" si="18"/>
        <v>2236.96</v>
      </c>
      <c r="Y33" s="2"/>
      <c r="Z33" s="7">
        <f t="shared" si="19"/>
        <v>0</v>
      </c>
    </row>
    <row r="34" spans="1:26" s="24" customFormat="1" hidden="1" outlineLevel="2" x14ac:dyDescent="0.3">
      <c r="A34" s="27"/>
      <c r="B34" s="11" t="str">
        <f>CONCATENATE("          ", "6118", " - ", "VACATION")</f>
        <v xml:space="preserve">          6118 - VACATION</v>
      </c>
      <c r="C34" s="11"/>
      <c r="D34" s="6">
        <v>2493.56</v>
      </c>
      <c r="E34" s="2"/>
      <c r="F34" s="7">
        <f t="shared" si="12"/>
        <v>3.8970134232823969E-3</v>
      </c>
      <c r="G34" s="2"/>
      <c r="H34" s="6">
        <v>1967.9663307692299</v>
      </c>
      <c r="I34" s="2"/>
      <c r="J34" s="7">
        <f t="shared" si="13"/>
        <v>4.9696119463869442E-3</v>
      </c>
      <c r="K34" s="2"/>
      <c r="L34" s="6">
        <f t="shared" si="14"/>
        <v>525.59366923077005</v>
      </c>
      <c r="M34" s="2"/>
      <c r="N34" s="7">
        <f t="shared" si="15"/>
        <v>0.26707452308156532</v>
      </c>
      <c r="O34" s="11"/>
      <c r="P34" s="6">
        <v>13399.3</v>
      </c>
      <c r="Q34" s="2"/>
      <c r="R34" s="7">
        <f t="shared" si="16"/>
        <v>5.6298326602796881E-3</v>
      </c>
      <c r="S34" s="2"/>
      <c r="T34" s="6">
        <v>10823.8148192308</v>
      </c>
      <c r="U34" s="2"/>
      <c r="V34" s="7">
        <f t="shared" si="17"/>
        <v>6.0739701566951739E-3</v>
      </c>
      <c r="W34" s="2"/>
      <c r="X34" s="6">
        <f t="shared" si="18"/>
        <v>2575.4851807691994</v>
      </c>
      <c r="Y34" s="2"/>
      <c r="Z34" s="7">
        <f t="shared" si="19"/>
        <v>0.23794616073746055</v>
      </c>
    </row>
    <row r="35" spans="1:26" s="24" customFormat="1" hidden="1" outlineLevel="2" x14ac:dyDescent="0.3">
      <c r="A35" s="27"/>
      <c r="B35" s="11" t="str">
        <f>CONCATENATE("          ", "6119", " - ", "SICK LEAVE")</f>
        <v xml:space="preserve">          6119 - SICK LEAVE</v>
      </c>
      <c r="C35" s="11"/>
      <c r="D35" s="6">
        <v>1753.35</v>
      </c>
      <c r="E35" s="2"/>
      <c r="F35" s="7">
        <f t="shared" si="12"/>
        <v>2.7401901240444145E-3</v>
      </c>
      <c r="G35" s="2"/>
      <c r="H35" s="6">
        <v>4034.4353307692299</v>
      </c>
      <c r="I35" s="2"/>
      <c r="J35" s="7">
        <f t="shared" si="13"/>
        <v>1.0187968006993006E-2</v>
      </c>
      <c r="K35" s="2"/>
      <c r="L35" s="6">
        <f t="shared" si="14"/>
        <v>-2281.08533076923</v>
      </c>
      <c r="M35" s="2"/>
      <c r="N35" s="7">
        <f t="shared" si="15"/>
        <v>-0.56540386541139687</v>
      </c>
      <c r="O35" s="11"/>
      <c r="P35" s="6">
        <v>9250</v>
      </c>
      <c r="Q35" s="2"/>
      <c r="R35" s="7">
        <f t="shared" si="16"/>
        <v>3.8864681071091116E-3</v>
      </c>
      <c r="S35" s="2"/>
      <c r="T35" s="6">
        <v>19212.846819230799</v>
      </c>
      <c r="U35" s="2"/>
      <c r="V35" s="7">
        <f t="shared" si="17"/>
        <v>1.0781619988345006E-2</v>
      </c>
      <c r="W35" s="2"/>
      <c r="X35" s="6">
        <f t="shared" si="18"/>
        <v>-9962.8468192307992</v>
      </c>
      <c r="Y35" s="2"/>
      <c r="Z35" s="7">
        <f t="shared" si="19"/>
        <v>-0.51855130647576098</v>
      </c>
    </row>
    <row r="36" spans="1:26" s="24" customFormat="1" hidden="1" outlineLevel="2" x14ac:dyDescent="0.3">
      <c r="A36" s="27"/>
      <c r="B36" s="11" t="str">
        <f>CONCATENATE("          ", "6156", " - ", "EMPLOYEE MEALS")</f>
        <v xml:space="preserve">          6156 - EMPLOYEE MEALS</v>
      </c>
      <c r="C36" s="11"/>
      <c r="D36" s="6">
        <v>1215.92</v>
      </c>
      <c r="E36" s="2"/>
      <c r="F36" s="7">
        <f t="shared" si="12"/>
        <v>1.9002777401135454E-3</v>
      </c>
      <c r="G36" s="2"/>
      <c r="H36" s="6">
        <v>2275</v>
      </c>
      <c r="I36" s="2"/>
      <c r="J36" s="7">
        <f t="shared" si="13"/>
        <v>5.7449494949494946E-3</v>
      </c>
      <c r="K36" s="2"/>
      <c r="L36" s="6">
        <f t="shared" si="14"/>
        <v>-1059.08</v>
      </c>
      <c r="M36" s="2"/>
      <c r="N36" s="7">
        <f t="shared" si="15"/>
        <v>-0.4655296703296703</v>
      </c>
      <c r="O36" s="11"/>
      <c r="P36" s="6">
        <v>5478.23</v>
      </c>
      <c r="Q36" s="2"/>
      <c r="R36" s="7">
        <f t="shared" si="16"/>
        <v>2.3017260733414428E-3</v>
      </c>
      <c r="S36" s="2"/>
      <c r="T36" s="6">
        <v>11375</v>
      </c>
      <c r="U36" s="2"/>
      <c r="V36" s="7">
        <f t="shared" si="17"/>
        <v>6.3832772166105495E-3</v>
      </c>
      <c r="W36" s="2"/>
      <c r="X36" s="6">
        <f t="shared" si="18"/>
        <v>-5896.77</v>
      </c>
      <c r="Y36" s="2"/>
      <c r="Z36" s="7">
        <f t="shared" si="19"/>
        <v>-0.51839736263736269</v>
      </c>
    </row>
    <row r="37" spans="1:26" s="29" customFormat="1" outlineLevel="1" collapsed="1" x14ac:dyDescent="0.3">
      <c r="A37" s="28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92085.890000000014</v>
      </c>
      <c r="E37" s="1"/>
      <c r="F37" s="5">
        <f t="shared" ref="F37:F47" si="20">IF(D$12=0,0,D37/D$12)</f>
        <v>0.1439147040475891</v>
      </c>
      <c r="G37" s="1"/>
      <c r="H37" s="1">
        <f>SUM(OSRRefH22_1x_0)</f>
        <v>112737.0800307692</v>
      </c>
      <c r="I37" s="1"/>
      <c r="J37" s="5">
        <f t="shared" ref="J37:J47" si="21">IF(H$12=0,0,H37/H$12)</f>
        <v>0.28468959603729593</v>
      </c>
      <c r="K37" s="1"/>
      <c r="L37" s="1">
        <f t="shared" ref="L37:L47" si="22">+D37-H37</f>
        <v>-20651.190030769183</v>
      </c>
      <c r="M37" s="1"/>
      <c r="N37" s="5">
        <f t="shared" ref="N37:N47" si="23">IF(H37=0,0,L37/H37)</f>
        <v>-0.18318010387649633</v>
      </c>
      <c r="O37" s="14"/>
      <c r="P37" s="1">
        <f>SUM(OSRRefP22_1x_0)</f>
        <v>447027.23</v>
      </c>
      <c r="Q37" s="1"/>
      <c r="R37" s="5">
        <f t="shared" ref="R37:R47" si="24">IF(P$12=0,0,P37/P$12)</f>
        <v>0.18782238620587344</v>
      </c>
      <c r="S37" s="1"/>
      <c r="T37" s="1">
        <f>SUM(OSRRefT22_1x_0)</f>
        <v>523812.23766923067</v>
      </c>
      <c r="U37" s="1"/>
      <c r="V37" s="5">
        <f t="shared" ref="V37:V47" si="25">IF(T$12=0,0,T37/T$12)</f>
        <v>0.29394626131831125</v>
      </c>
      <c r="W37" s="1"/>
      <c r="X37" s="1">
        <f t="shared" ref="X37:X47" si="26">+P37-T37</f>
        <v>-76785.00766923069</v>
      </c>
      <c r="Y37" s="1"/>
      <c r="Z37" s="5">
        <f t="shared" ref="Z37:Z47" si="27">IF(T37=0,0,X37/T37)</f>
        <v>-0.14658880061851051</v>
      </c>
    </row>
    <row r="38" spans="1:26" s="24" customFormat="1" hidden="1" outlineLevel="2" x14ac:dyDescent="0.3">
      <c r="A38" s="27"/>
      <c r="B38" s="11" t="str">
        <f>CONCATENATE("          ", "6001", " - ", "ADMINISTRATIVE SALARIES")</f>
        <v xml:space="preserve">          6001 - ADMINISTRATIVE SALARIES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3">
      <c r="A39" s="27"/>
      <c r="B39" s="11" t="str">
        <f>CONCATENATE("          ", "6002", " - ", "STAFF SALARIES")</f>
        <v xml:space="preserve">          6002 - STAFF SALARIES</v>
      </c>
      <c r="C39" s="11"/>
      <c r="D39" s="6">
        <v>14579.74</v>
      </c>
      <c r="E39" s="2"/>
      <c r="F39" s="7">
        <f t="shared" si="20"/>
        <v>2.2785672888547815E-2</v>
      </c>
      <c r="G39" s="2"/>
      <c r="H39" s="6">
        <v>15375.239430769199</v>
      </c>
      <c r="I39" s="2"/>
      <c r="J39" s="7">
        <f t="shared" si="21"/>
        <v>3.8826362198912119E-2</v>
      </c>
      <c r="K39" s="2"/>
      <c r="L39" s="6">
        <f t="shared" si="22"/>
        <v>-795.49943076919953</v>
      </c>
      <c r="M39" s="2"/>
      <c r="N39" s="7">
        <f t="shared" si="23"/>
        <v>-5.1738994657685271E-2</v>
      </c>
      <c r="O39" s="11"/>
      <c r="P39" s="6">
        <v>88988.68</v>
      </c>
      <c r="Q39" s="2"/>
      <c r="R39" s="7">
        <f t="shared" si="24"/>
        <v>3.7389369374458206E-2</v>
      </c>
      <c r="S39" s="2"/>
      <c r="T39" s="6">
        <v>84563.816869230606</v>
      </c>
      <c r="U39" s="2"/>
      <c r="V39" s="7">
        <f t="shared" si="25"/>
        <v>4.7454442687559266E-2</v>
      </c>
      <c r="W39" s="2"/>
      <c r="X39" s="6">
        <f t="shared" si="26"/>
        <v>4424.8631307693868</v>
      </c>
      <c r="Y39" s="2"/>
      <c r="Z39" s="7">
        <f t="shared" si="27"/>
        <v>5.2325726233620584E-2</v>
      </c>
    </row>
    <row r="40" spans="1:26" s="24" customFormat="1" hidden="1" outlineLevel="2" x14ac:dyDescent="0.3">
      <c r="A40" s="27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3">
      <c r="A41" s="27"/>
      <c r="B41" s="11" t="str">
        <f>CONCATENATE("          ", "6004", " - ", "STAFF HOURLY")</f>
        <v xml:space="preserve">          6004 - STAFF HOURLY</v>
      </c>
      <c r="C41" s="11"/>
      <c r="D41" s="6">
        <v>31684.03</v>
      </c>
      <c r="E41" s="2"/>
      <c r="F41" s="7">
        <f t="shared" si="20"/>
        <v>4.9516791339964616E-2</v>
      </c>
      <c r="G41" s="2"/>
      <c r="H41" s="6">
        <v>26709.4656</v>
      </c>
      <c r="I41" s="2"/>
      <c r="J41" s="7">
        <f t="shared" si="21"/>
        <v>6.7448145454545458E-2</v>
      </c>
      <c r="K41" s="2"/>
      <c r="L41" s="6">
        <f t="shared" si="22"/>
        <v>4974.5643999999993</v>
      </c>
      <c r="M41" s="2"/>
      <c r="N41" s="7">
        <f t="shared" si="23"/>
        <v>0.18624724562066863</v>
      </c>
      <c r="O41" s="11"/>
      <c r="P41" s="6">
        <v>151863.71</v>
      </c>
      <c r="Q41" s="2"/>
      <c r="R41" s="7">
        <f t="shared" si="24"/>
        <v>6.3806861139704546E-2</v>
      </c>
      <c r="S41" s="2"/>
      <c r="T41" s="6">
        <v>146902.06080000001</v>
      </c>
      <c r="U41" s="2"/>
      <c r="V41" s="7">
        <f t="shared" si="25"/>
        <v>8.2436622222222228E-2</v>
      </c>
      <c r="W41" s="2"/>
      <c r="X41" s="6">
        <f t="shared" si="26"/>
        <v>4961.6491999999853</v>
      </c>
      <c r="Y41" s="2"/>
      <c r="Z41" s="7">
        <f t="shared" si="27"/>
        <v>3.3775218488970207E-2</v>
      </c>
    </row>
    <row r="42" spans="1:26" s="24" customFormat="1" hidden="1" outlineLevel="2" x14ac:dyDescent="0.3">
      <c r="A42" s="27"/>
      <c r="B42" s="11" t="str">
        <f>CONCATENATE("          ", "6005", " - ", "TEMPORARY WAGES-HOURLY")</f>
        <v xml:space="preserve">          6005 - TEMPORARY WAGES-HOURLY</v>
      </c>
      <c r="C42" s="11"/>
      <c r="D42" s="6">
        <v>12002.98</v>
      </c>
      <c r="E42" s="2"/>
      <c r="F42" s="7">
        <f t="shared" si="20"/>
        <v>1.8758631907549905E-2</v>
      </c>
      <c r="G42" s="2"/>
      <c r="H42" s="6">
        <v>15620.395</v>
      </c>
      <c r="I42" s="2"/>
      <c r="J42" s="7">
        <f t="shared" si="21"/>
        <v>3.9445441919191922E-2</v>
      </c>
      <c r="K42" s="2"/>
      <c r="L42" s="6">
        <f t="shared" si="22"/>
        <v>-3617.4150000000009</v>
      </c>
      <c r="M42" s="2"/>
      <c r="N42" s="7">
        <f t="shared" si="23"/>
        <v>-0.23158281208637815</v>
      </c>
      <c r="O42" s="11"/>
      <c r="P42" s="6">
        <v>93662.97</v>
      </c>
      <c r="Q42" s="2"/>
      <c r="R42" s="7">
        <f t="shared" si="24"/>
        <v>3.9353313051039729E-2</v>
      </c>
      <c r="S42" s="2"/>
      <c r="T42" s="6">
        <v>65537.08</v>
      </c>
      <c r="U42" s="2"/>
      <c r="V42" s="7">
        <f t="shared" si="25"/>
        <v>3.6777261503928169E-2</v>
      </c>
      <c r="W42" s="2"/>
      <c r="X42" s="6">
        <f t="shared" si="26"/>
        <v>28125.89</v>
      </c>
      <c r="Y42" s="2"/>
      <c r="Z42" s="7">
        <f t="shared" si="27"/>
        <v>0.42915995036702886</v>
      </c>
    </row>
    <row r="43" spans="1:26" s="24" customFormat="1" hidden="1" outlineLevel="2" x14ac:dyDescent="0.3">
      <c r="A43" s="27"/>
      <c r="B43" s="11" t="str">
        <f>CONCATENATE("          ", "6006", " - ", "TEMPORARY PART TIME")</f>
        <v xml:space="preserve">          6006 - TEMPORARY PART TIME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4" customFormat="1" hidden="1" outlineLevel="2" x14ac:dyDescent="0.3">
      <c r="A44" s="27"/>
      <c r="B44" s="11" t="str">
        <f>CONCATENATE("          ", "6007", " - ", "STUDENT HOURLY")</f>
        <v xml:space="preserve">          6007 - STUDENT HOURLY</v>
      </c>
      <c r="C44" s="11"/>
      <c r="D44" s="6">
        <v>23160.1</v>
      </c>
      <c r="E44" s="2"/>
      <c r="F44" s="7">
        <f t="shared" si="20"/>
        <v>3.6195327397200244E-2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23160.1</v>
      </c>
      <c r="M44" s="2"/>
      <c r="N44" s="7">
        <f t="shared" si="23"/>
        <v>0</v>
      </c>
      <c r="O44" s="11"/>
      <c r="P44" s="6">
        <v>91903.31</v>
      </c>
      <c r="Q44" s="2"/>
      <c r="R44" s="7">
        <f t="shared" si="24"/>
        <v>3.8613976567866151E-2</v>
      </c>
      <c r="S44" s="2"/>
      <c r="T44" s="6">
        <v>30264</v>
      </c>
      <c r="U44" s="2"/>
      <c r="V44" s="7">
        <f t="shared" si="25"/>
        <v>1.6983164983164982E-2</v>
      </c>
      <c r="W44" s="2"/>
      <c r="X44" s="6">
        <f t="shared" si="26"/>
        <v>61639.31</v>
      </c>
      <c r="Y44" s="2"/>
      <c r="Z44" s="7">
        <f t="shared" si="27"/>
        <v>2.0367205260375361</v>
      </c>
    </row>
    <row r="45" spans="1:26" s="24" customFormat="1" hidden="1" outlineLevel="2" x14ac:dyDescent="0.3">
      <c r="A45" s="27"/>
      <c r="B45" s="11" t="str">
        <f>CONCATENATE("          ", "6008", " - ", "STUDENT HOURLY-FICA EXEMPT")</f>
        <v xml:space="preserve">          6008 - STUDENT HOURLY-FICA EXEMPT</v>
      </c>
      <c r="C45" s="11"/>
      <c r="D45" s="6">
        <v>10659.04</v>
      </c>
      <c r="E45" s="2"/>
      <c r="F45" s="7">
        <f t="shared" si="20"/>
        <v>1.6658280514326506E-2</v>
      </c>
      <c r="G45" s="2"/>
      <c r="H45" s="6">
        <v>55031.98</v>
      </c>
      <c r="I45" s="2"/>
      <c r="J45" s="7">
        <f t="shared" si="21"/>
        <v>0.13896964646464646</v>
      </c>
      <c r="K45" s="2"/>
      <c r="L45" s="6">
        <f t="shared" si="22"/>
        <v>-44372.94</v>
      </c>
      <c r="M45" s="2"/>
      <c r="N45" s="7">
        <f t="shared" si="23"/>
        <v>-0.80631189355716437</v>
      </c>
      <c r="O45" s="11"/>
      <c r="P45" s="6">
        <v>20608.560000000001</v>
      </c>
      <c r="Q45" s="2"/>
      <c r="R45" s="7">
        <f t="shared" si="24"/>
        <v>8.6588660728048172E-3</v>
      </c>
      <c r="S45" s="2"/>
      <c r="T45" s="6">
        <v>196545.28</v>
      </c>
      <c r="U45" s="2"/>
      <c r="V45" s="7">
        <f t="shared" si="25"/>
        <v>0.11029476992143658</v>
      </c>
      <c r="W45" s="2"/>
      <c r="X45" s="6">
        <f t="shared" si="26"/>
        <v>-175936.72</v>
      </c>
      <c r="Y45" s="2"/>
      <c r="Z45" s="7">
        <f t="shared" si="27"/>
        <v>-0.89514599383918048</v>
      </c>
    </row>
    <row r="46" spans="1:26" s="24" customFormat="1" hidden="1" outlineLevel="2" x14ac:dyDescent="0.3">
      <c r="A46" s="27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3">
      <c r="A47" s="27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9" customFormat="1" outlineLevel="1" collapsed="1" x14ac:dyDescent="0.3">
      <c r="A48" s="28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0</v>
      </c>
      <c r="E48" s="1"/>
      <c r="F48" s="5">
        <f t="shared" ref="F48:F68" si="28">IF(D$12=0,0,D48/D$12)</f>
        <v>0</v>
      </c>
      <c r="G48" s="1"/>
      <c r="H48" s="1">
        <f>SUM(OSRRefH22_2x_0)</f>
        <v>369</v>
      </c>
      <c r="I48" s="1"/>
      <c r="J48" s="5">
        <f t="shared" ref="J48:J68" si="29">IF(H$12=0,0,H48/H$12)</f>
        <v>9.3181818181818177E-4</v>
      </c>
      <c r="K48" s="1"/>
      <c r="L48" s="1">
        <f t="shared" ref="L48:L68" si="30">+D48-H48</f>
        <v>-369</v>
      </c>
      <c r="M48" s="1"/>
      <c r="N48" s="5">
        <f t="shared" ref="N48:N68" si="31">IF(H48=0,0,L48/H48)</f>
        <v>-1</v>
      </c>
      <c r="O48" s="14"/>
      <c r="P48" s="1">
        <f>SUM(OSRRefP22_2x_0)</f>
        <v>955.26</v>
      </c>
      <c r="Q48" s="1"/>
      <c r="R48" s="5">
        <f t="shared" ref="R48:R68" si="32">IF(P$12=0,0,P48/P$12)</f>
        <v>4.0136081340508647E-4</v>
      </c>
      <c r="S48" s="1"/>
      <c r="T48" s="1">
        <f>SUM(OSRRefT22_2x_0)</f>
        <v>1845</v>
      </c>
      <c r="U48" s="1"/>
      <c r="V48" s="5">
        <f t="shared" ref="V48:V68" si="33">IF(T$12=0,0,T48/T$12)</f>
        <v>1.0353535353535353E-3</v>
      </c>
      <c r="W48" s="1"/>
      <c r="X48" s="1">
        <f t="shared" ref="X48:X68" si="34">+P48-T48</f>
        <v>-889.74</v>
      </c>
      <c r="Y48" s="1"/>
      <c r="Z48" s="5">
        <f t="shared" ref="Z48:Z68" si="35">IF(T48=0,0,X48/T48)</f>
        <v>-0.48224390243902437</v>
      </c>
    </row>
    <row r="49" spans="1:26" s="24" customFormat="1" hidden="1" outlineLevel="2" x14ac:dyDescent="0.3">
      <c r="A49" s="27"/>
      <c r="B49" s="11" t="str">
        <f>CONCATENATE("          ", "6362", " - ", "ADVERTISING EXPENSE")</f>
        <v xml:space="preserve">          6362 - ADVERTISING EXPENSE</v>
      </c>
      <c r="C49" s="11"/>
      <c r="D49" s="6"/>
      <c r="E49" s="2"/>
      <c r="F49" s="7">
        <f t="shared" si="28"/>
        <v>0</v>
      </c>
      <c r="G49" s="2"/>
      <c r="H49" s="6">
        <v>369</v>
      </c>
      <c r="I49" s="2"/>
      <c r="J49" s="7">
        <f t="shared" si="29"/>
        <v>9.3181818181818177E-4</v>
      </c>
      <c r="K49" s="2"/>
      <c r="L49" s="6">
        <f t="shared" si="30"/>
        <v>-369</v>
      </c>
      <c r="M49" s="2"/>
      <c r="N49" s="7">
        <f t="shared" si="31"/>
        <v>-1</v>
      </c>
      <c r="O49" s="11"/>
      <c r="P49" s="6">
        <v>955.26</v>
      </c>
      <c r="Q49" s="2"/>
      <c r="R49" s="7">
        <f t="shared" si="32"/>
        <v>4.0136081340508647E-4</v>
      </c>
      <c r="S49" s="2"/>
      <c r="T49" s="6">
        <v>1845</v>
      </c>
      <c r="U49" s="2"/>
      <c r="V49" s="7">
        <f t="shared" si="33"/>
        <v>1.0353535353535353E-3</v>
      </c>
      <c r="W49" s="2"/>
      <c r="X49" s="6">
        <f t="shared" si="34"/>
        <v>-889.74</v>
      </c>
      <c r="Y49" s="2"/>
      <c r="Z49" s="7">
        <f t="shared" si="35"/>
        <v>-0.48224390243902437</v>
      </c>
    </row>
    <row r="50" spans="1:26" s="29" customFormat="1" outlineLevel="1" collapsed="1" x14ac:dyDescent="0.3">
      <c r="A50" s="28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0</v>
      </c>
      <c r="E50" s="1"/>
      <c r="F50" s="5">
        <f t="shared" si="28"/>
        <v>0</v>
      </c>
      <c r="G50" s="1"/>
      <c r="H50" s="1">
        <f>SUM(OSRRefH22_3x_0)</f>
        <v>8</v>
      </c>
      <c r="I50" s="1"/>
      <c r="J50" s="5">
        <f t="shared" si="29"/>
        <v>2.0202020202020203E-5</v>
      </c>
      <c r="K50" s="1"/>
      <c r="L50" s="1">
        <f t="shared" si="30"/>
        <v>-8</v>
      </c>
      <c r="M50" s="1"/>
      <c r="N50" s="5">
        <f t="shared" si="31"/>
        <v>-1</v>
      </c>
      <c r="O50" s="14"/>
      <c r="P50" s="1">
        <f>SUM(OSRRefP22_3x_0)</f>
        <v>0</v>
      </c>
      <c r="Q50" s="1"/>
      <c r="R50" s="5">
        <f t="shared" si="32"/>
        <v>0</v>
      </c>
      <c r="S50" s="1"/>
      <c r="T50" s="1">
        <f>SUM(OSRRefT22_3x_0)</f>
        <v>32</v>
      </c>
      <c r="U50" s="1"/>
      <c r="V50" s="5">
        <f t="shared" si="33"/>
        <v>1.7957351290684622E-5</v>
      </c>
      <c r="W50" s="1"/>
      <c r="X50" s="1">
        <f t="shared" si="34"/>
        <v>-32</v>
      </c>
      <c r="Y50" s="1"/>
      <c r="Z50" s="5">
        <f t="shared" si="35"/>
        <v>-1</v>
      </c>
    </row>
    <row r="51" spans="1:26" s="24" customFormat="1" hidden="1" outlineLevel="2" x14ac:dyDescent="0.3">
      <c r="A51" s="27"/>
      <c r="B51" s="11" t="str">
        <f>CONCATENATE("          ", "6272", " - ", "CASH (OVER/SHORT)")</f>
        <v xml:space="preserve">          6272 - CASH (OVER/SHORT)</v>
      </c>
      <c r="C51" s="11"/>
      <c r="D51" s="6"/>
      <c r="E51" s="2"/>
      <c r="F51" s="7">
        <f t="shared" si="28"/>
        <v>0</v>
      </c>
      <c r="G51" s="2"/>
      <c r="H51" s="6">
        <v>8</v>
      </c>
      <c r="I51" s="2"/>
      <c r="J51" s="7">
        <f t="shared" si="29"/>
        <v>2.0202020202020203E-5</v>
      </c>
      <c r="K51" s="2"/>
      <c r="L51" s="6">
        <f t="shared" si="30"/>
        <v>-8</v>
      </c>
      <c r="M51" s="2"/>
      <c r="N51" s="7">
        <f t="shared" si="31"/>
        <v>-1</v>
      </c>
      <c r="O51" s="11"/>
      <c r="P51" s="6"/>
      <c r="Q51" s="2"/>
      <c r="R51" s="7">
        <f t="shared" si="32"/>
        <v>0</v>
      </c>
      <c r="S51" s="2"/>
      <c r="T51" s="6">
        <v>32</v>
      </c>
      <c r="U51" s="2"/>
      <c r="V51" s="7">
        <f t="shared" si="33"/>
        <v>1.7957351290684622E-5</v>
      </c>
      <c r="W51" s="2"/>
      <c r="X51" s="6">
        <f t="shared" si="34"/>
        <v>-32</v>
      </c>
      <c r="Y51" s="2"/>
      <c r="Z51" s="7">
        <f t="shared" si="35"/>
        <v>-1</v>
      </c>
    </row>
    <row r="52" spans="1:26" s="29" customFormat="1" outlineLevel="1" collapsed="1" x14ac:dyDescent="0.3">
      <c r="A52" s="28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41.17</v>
      </c>
      <c r="E52" s="1"/>
      <c r="F52" s="5">
        <f t="shared" si="28"/>
        <v>6.4341761432063518E-5</v>
      </c>
      <c r="G52" s="1"/>
      <c r="H52" s="1">
        <f>SUM(OSRRefH22_4x_0)</f>
        <v>135</v>
      </c>
      <c r="I52" s="1"/>
      <c r="J52" s="5">
        <f t="shared" si="29"/>
        <v>3.4090909090909094E-4</v>
      </c>
      <c r="K52" s="1"/>
      <c r="L52" s="1">
        <f t="shared" si="30"/>
        <v>-93.83</v>
      </c>
      <c r="M52" s="1"/>
      <c r="N52" s="5">
        <f t="shared" si="31"/>
        <v>-0.69503703703703701</v>
      </c>
      <c r="O52" s="14"/>
      <c r="P52" s="1">
        <f>SUM(OSRRefP22_4x_0)</f>
        <v>264.31</v>
      </c>
      <c r="Q52" s="1"/>
      <c r="R52" s="5">
        <f t="shared" si="32"/>
        <v>1.1105214977189289E-4</v>
      </c>
      <c r="S52" s="1"/>
      <c r="T52" s="1">
        <f>SUM(OSRRefT22_4x_0)</f>
        <v>675</v>
      </c>
      <c r="U52" s="1"/>
      <c r="V52" s="5">
        <f t="shared" si="33"/>
        <v>3.7878787878787879E-4</v>
      </c>
      <c r="W52" s="1"/>
      <c r="X52" s="1">
        <f t="shared" si="34"/>
        <v>-410.69</v>
      </c>
      <c r="Y52" s="1"/>
      <c r="Z52" s="5">
        <f t="shared" si="35"/>
        <v>-0.60842962962962965</v>
      </c>
    </row>
    <row r="53" spans="1:26" s="24" customFormat="1" hidden="1" outlineLevel="2" x14ac:dyDescent="0.3">
      <c r="A53" s="27"/>
      <c r="B53" s="11" t="str">
        <f>CONCATENATE("          ", "6381", " - ", "BANK/CREDIT CARD FEES")</f>
        <v xml:space="preserve">          6381 - BANK/CREDIT CARD FEES</v>
      </c>
      <c r="C53" s="11"/>
      <c r="D53" s="6">
        <v>41.17</v>
      </c>
      <c r="E53" s="2"/>
      <c r="F53" s="7">
        <f t="shared" si="28"/>
        <v>6.4341761432063518E-5</v>
      </c>
      <c r="G53" s="2"/>
      <c r="H53" s="6">
        <v>135</v>
      </c>
      <c r="I53" s="2"/>
      <c r="J53" s="7">
        <f t="shared" si="29"/>
        <v>3.4090909090909094E-4</v>
      </c>
      <c r="K53" s="2"/>
      <c r="L53" s="6">
        <f t="shared" si="30"/>
        <v>-93.83</v>
      </c>
      <c r="M53" s="2"/>
      <c r="N53" s="7">
        <f t="shared" si="31"/>
        <v>-0.69503703703703701</v>
      </c>
      <c r="O53" s="11"/>
      <c r="P53" s="6">
        <v>264.31</v>
      </c>
      <c r="Q53" s="2"/>
      <c r="R53" s="7">
        <f t="shared" si="32"/>
        <v>1.1105214977189289E-4</v>
      </c>
      <c r="S53" s="2"/>
      <c r="T53" s="6">
        <v>675</v>
      </c>
      <c r="U53" s="2"/>
      <c r="V53" s="7">
        <f t="shared" si="33"/>
        <v>3.7878787878787879E-4</v>
      </c>
      <c r="W53" s="2"/>
      <c r="X53" s="6">
        <f t="shared" si="34"/>
        <v>-410.69</v>
      </c>
      <c r="Y53" s="2"/>
      <c r="Z53" s="7">
        <f t="shared" si="35"/>
        <v>-0.60842962962962965</v>
      </c>
    </row>
    <row r="54" spans="1:26" s="29" customFormat="1" outlineLevel="1" collapsed="1" x14ac:dyDescent="0.3">
      <c r="A54" s="28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273.51</v>
      </c>
      <c r="E54" s="1"/>
      <c r="F54" s="5">
        <f t="shared" si="28"/>
        <v>4.2744996767752464E-4</v>
      </c>
      <c r="G54" s="1"/>
      <c r="H54" s="1">
        <f>SUM(OSRRefH22_5x_0)</f>
        <v>273</v>
      </c>
      <c r="I54" s="1"/>
      <c r="J54" s="5">
        <f t="shared" si="29"/>
        <v>6.8939393939393943E-4</v>
      </c>
      <c r="K54" s="1"/>
      <c r="L54" s="1">
        <f t="shared" si="30"/>
        <v>0.50999999999999091</v>
      </c>
      <c r="M54" s="1"/>
      <c r="N54" s="5">
        <f t="shared" si="31"/>
        <v>1.8681318681318347E-3</v>
      </c>
      <c r="O54" s="14"/>
      <c r="P54" s="1">
        <f>SUM(OSRRefP22_5x_0)</f>
        <v>1367.55</v>
      </c>
      <c r="Q54" s="1"/>
      <c r="R54" s="5">
        <f t="shared" si="32"/>
        <v>5.7458804971643952E-4</v>
      </c>
      <c r="S54" s="1"/>
      <c r="T54" s="1">
        <f>SUM(OSRRefT22_5x_0)</f>
        <v>1365</v>
      </c>
      <c r="U54" s="1"/>
      <c r="V54" s="5">
        <f t="shared" si="33"/>
        <v>7.6599326599326601E-4</v>
      </c>
      <c r="W54" s="1"/>
      <c r="X54" s="1">
        <f t="shared" si="34"/>
        <v>2.5499999999999545</v>
      </c>
      <c r="Y54" s="1"/>
      <c r="Z54" s="5">
        <f t="shared" si="35"/>
        <v>1.8681318681318347E-3</v>
      </c>
    </row>
    <row r="55" spans="1:26" s="24" customFormat="1" hidden="1" outlineLevel="2" x14ac:dyDescent="0.3">
      <c r="A55" s="27"/>
      <c r="B55" s="11" t="str">
        <f>CONCATENATE("          ", "6322", " - ", "EQUIPMENT DEPRECIATION EXPENSE")</f>
        <v xml:space="preserve">          6322 - EQUIPMENT DEPRECIATION EXPENSE</v>
      </c>
      <c r="C55" s="11"/>
      <c r="D55" s="6">
        <v>273.51</v>
      </c>
      <c r="E55" s="2"/>
      <c r="F55" s="7">
        <f t="shared" si="28"/>
        <v>4.2744996767752464E-4</v>
      </c>
      <c r="G55" s="2"/>
      <c r="H55" s="6">
        <v>273</v>
      </c>
      <c r="I55" s="2"/>
      <c r="J55" s="7">
        <f t="shared" si="29"/>
        <v>6.8939393939393943E-4</v>
      </c>
      <c r="K55" s="2"/>
      <c r="L55" s="6">
        <f t="shared" si="30"/>
        <v>0.50999999999999091</v>
      </c>
      <c r="M55" s="2"/>
      <c r="N55" s="7">
        <f t="shared" si="31"/>
        <v>1.8681318681318347E-3</v>
      </c>
      <c r="O55" s="11"/>
      <c r="P55" s="6">
        <v>1367.55</v>
      </c>
      <c r="Q55" s="2"/>
      <c r="R55" s="7">
        <f t="shared" si="32"/>
        <v>5.7458804971643952E-4</v>
      </c>
      <c r="S55" s="2"/>
      <c r="T55" s="6">
        <v>1365</v>
      </c>
      <c r="U55" s="2"/>
      <c r="V55" s="7">
        <f t="shared" si="33"/>
        <v>7.6599326599326601E-4</v>
      </c>
      <c r="W55" s="2"/>
      <c r="X55" s="6">
        <f t="shared" si="34"/>
        <v>2.5499999999999545</v>
      </c>
      <c r="Y55" s="2"/>
      <c r="Z55" s="7">
        <f t="shared" si="35"/>
        <v>1.8681318681318347E-3</v>
      </c>
    </row>
    <row r="56" spans="1:26" s="29" customFormat="1" outlineLevel="1" collapsed="1" x14ac:dyDescent="0.3">
      <c r="A56" s="28"/>
      <c r="B56" s="14" t="str">
        <f>CONCATENATE("     ","Donations                                         ")</f>
        <v xml:space="preserve">     Donations                                         </v>
      </c>
      <c r="C56" s="14"/>
      <c r="D56" s="1">
        <f>SUM(OSRRefD22_6x_0)</f>
        <v>2781.64</v>
      </c>
      <c r="E56" s="1"/>
      <c r="F56" s="5">
        <f t="shared" si="28"/>
        <v>4.3472338418723616E-3</v>
      </c>
      <c r="G56" s="1"/>
      <c r="H56" s="1">
        <f>SUM(OSRRefH22_6x_0)</f>
        <v>6500</v>
      </c>
      <c r="I56" s="1"/>
      <c r="J56" s="5">
        <f t="shared" si="29"/>
        <v>1.6414141414141416E-2</v>
      </c>
      <c r="K56" s="1"/>
      <c r="L56" s="1">
        <f t="shared" si="30"/>
        <v>-3718.36</v>
      </c>
      <c r="M56" s="1"/>
      <c r="N56" s="5">
        <f t="shared" si="31"/>
        <v>-0.57205538461538463</v>
      </c>
      <c r="O56" s="14"/>
      <c r="P56" s="1">
        <f>SUM(OSRRefP22_6x_0)</f>
        <v>10662.96</v>
      </c>
      <c r="Q56" s="1"/>
      <c r="R56" s="5">
        <f t="shared" si="32"/>
        <v>4.4801355640410991E-3</v>
      </c>
      <c r="S56" s="1"/>
      <c r="T56" s="1">
        <f>SUM(OSRRefT22_6x_0)</f>
        <v>26000</v>
      </c>
      <c r="U56" s="1"/>
      <c r="V56" s="5">
        <f t="shared" si="33"/>
        <v>1.4590347923681257E-2</v>
      </c>
      <c r="W56" s="1"/>
      <c r="X56" s="1">
        <f t="shared" si="34"/>
        <v>-15337.04</v>
      </c>
      <c r="Y56" s="1"/>
      <c r="Z56" s="5">
        <f t="shared" si="35"/>
        <v>-0.58988615384615384</v>
      </c>
    </row>
    <row r="57" spans="1:26" s="24" customFormat="1" hidden="1" outlineLevel="2" x14ac:dyDescent="0.3">
      <c r="A57" s="27"/>
      <c r="B57" s="11" t="str">
        <f>CONCATENATE("          ", "6399", " - ", "DONATION-ON CAMPUS")</f>
        <v xml:space="preserve">          6399 - DONATION-ON CAMPUS</v>
      </c>
      <c r="C57" s="11"/>
      <c r="D57" s="6">
        <v>2781.64</v>
      </c>
      <c r="E57" s="2"/>
      <c r="F57" s="7">
        <f t="shared" si="28"/>
        <v>4.3472338418723616E-3</v>
      </c>
      <c r="G57" s="2"/>
      <c r="H57" s="6">
        <v>6500</v>
      </c>
      <c r="I57" s="2"/>
      <c r="J57" s="7">
        <f t="shared" si="29"/>
        <v>1.6414141414141416E-2</v>
      </c>
      <c r="K57" s="2"/>
      <c r="L57" s="6">
        <f t="shared" si="30"/>
        <v>-3718.36</v>
      </c>
      <c r="M57" s="2"/>
      <c r="N57" s="7">
        <f t="shared" si="31"/>
        <v>-0.57205538461538463</v>
      </c>
      <c r="O57" s="11"/>
      <c r="P57" s="6">
        <v>10662.96</v>
      </c>
      <c r="Q57" s="2"/>
      <c r="R57" s="7">
        <f t="shared" si="32"/>
        <v>4.4801355640410991E-3</v>
      </c>
      <c r="S57" s="2"/>
      <c r="T57" s="6">
        <v>26000</v>
      </c>
      <c r="U57" s="2"/>
      <c r="V57" s="7">
        <f t="shared" si="33"/>
        <v>1.4590347923681257E-2</v>
      </c>
      <c r="W57" s="2"/>
      <c r="X57" s="6">
        <f t="shared" si="34"/>
        <v>-15337.04</v>
      </c>
      <c r="Y57" s="2"/>
      <c r="Z57" s="7">
        <f t="shared" si="35"/>
        <v>-0.58988615384615384</v>
      </c>
    </row>
    <row r="58" spans="1:26" s="29" customFormat="1" outlineLevel="1" collapsed="1" x14ac:dyDescent="0.3">
      <c r="A58" s="28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SUM(OSRRefD22_7x_0)</f>
        <v>0</v>
      </c>
      <c r="E58" s="1"/>
      <c r="F58" s="5">
        <f t="shared" si="28"/>
        <v>0</v>
      </c>
      <c r="G58" s="1"/>
      <c r="H58" s="1">
        <f>SUM(OSRRefH22_7x_0)</f>
        <v>150</v>
      </c>
      <c r="I58" s="1"/>
      <c r="J58" s="5">
        <f t="shared" si="29"/>
        <v>3.7878787878787879E-4</v>
      </c>
      <c r="K58" s="1"/>
      <c r="L58" s="1">
        <f t="shared" si="30"/>
        <v>-150</v>
      </c>
      <c r="M58" s="1"/>
      <c r="N58" s="5">
        <f t="shared" si="31"/>
        <v>-1</v>
      </c>
      <c r="O58" s="14"/>
      <c r="P58" s="1">
        <f>SUM(OSRRefP22_7x_0)</f>
        <v>0</v>
      </c>
      <c r="Q58" s="1"/>
      <c r="R58" s="5">
        <f t="shared" si="32"/>
        <v>0</v>
      </c>
      <c r="S58" s="1"/>
      <c r="T58" s="1">
        <f>SUM(OSRRefT22_7x_0)</f>
        <v>750</v>
      </c>
      <c r="U58" s="1"/>
      <c r="V58" s="5">
        <f t="shared" si="33"/>
        <v>4.2087542087542086E-4</v>
      </c>
      <c r="W58" s="1"/>
      <c r="X58" s="1">
        <f t="shared" si="34"/>
        <v>-750</v>
      </c>
      <c r="Y58" s="1"/>
      <c r="Z58" s="5">
        <f t="shared" si="35"/>
        <v>-1</v>
      </c>
    </row>
    <row r="59" spans="1:26" s="24" customFormat="1" hidden="1" outlineLevel="2" x14ac:dyDescent="0.3">
      <c r="A59" s="27"/>
      <c r="B59" s="11" t="str">
        <f>CONCATENATE("          ", "6277", " - ", "EMPLOYEE APPRECIATION")</f>
        <v xml:space="preserve">          6277 - EMPLOYEE APPRECIATION</v>
      </c>
      <c r="C59" s="11"/>
      <c r="D59" s="6"/>
      <c r="E59" s="2"/>
      <c r="F59" s="7">
        <f t="shared" si="28"/>
        <v>0</v>
      </c>
      <c r="G59" s="2"/>
      <c r="H59" s="6">
        <v>150</v>
      </c>
      <c r="I59" s="2"/>
      <c r="J59" s="7">
        <f t="shared" si="29"/>
        <v>3.7878787878787879E-4</v>
      </c>
      <c r="K59" s="2"/>
      <c r="L59" s="6">
        <f t="shared" si="30"/>
        <v>-150</v>
      </c>
      <c r="M59" s="2"/>
      <c r="N59" s="7">
        <f t="shared" si="31"/>
        <v>-1</v>
      </c>
      <c r="O59" s="11"/>
      <c r="P59" s="6"/>
      <c r="Q59" s="2"/>
      <c r="R59" s="7">
        <f t="shared" si="32"/>
        <v>0</v>
      </c>
      <c r="S59" s="2"/>
      <c r="T59" s="6">
        <v>750</v>
      </c>
      <c r="U59" s="2"/>
      <c r="V59" s="7">
        <f t="shared" si="33"/>
        <v>4.2087542087542086E-4</v>
      </c>
      <c r="W59" s="2"/>
      <c r="X59" s="6">
        <f t="shared" si="34"/>
        <v>-750</v>
      </c>
      <c r="Y59" s="2"/>
      <c r="Z59" s="7">
        <f t="shared" si="35"/>
        <v>-1</v>
      </c>
    </row>
    <row r="60" spans="1:26" s="29" customFormat="1" outlineLevel="1" collapsed="1" x14ac:dyDescent="0.3">
      <c r="A60" s="28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SUM(OSRRefD22_8x_0)</f>
        <v>135.26</v>
      </c>
      <c r="E60" s="1"/>
      <c r="F60" s="5">
        <f t="shared" si="28"/>
        <v>2.1138855116106169E-4</v>
      </c>
      <c r="G60" s="1"/>
      <c r="H60" s="1">
        <f>SUM(OSRRefH22_8x_0)</f>
        <v>295</v>
      </c>
      <c r="I60" s="1"/>
      <c r="J60" s="5">
        <f t="shared" si="29"/>
        <v>7.4494949494949498E-4</v>
      </c>
      <c r="K60" s="1"/>
      <c r="L60" s="1">
        <f t="shared" si="30"/>
        <v>-159.74</v>
      </c>
      <c r="M60" s="1"/>
      <c r="N60" s="5">
        <f t="shared" si="31"/>
        <v>-0.5414915254237288</v>
      </c>
      <c r="O60" s="14"/>
      <c r="P60" s="1">
        <f>SUM(OSRRefP22_8x_0)</f>
        <v>1424.71</v>
      </c>
      <c r="Q60" s="1"/>
      <c r="R60" s="5">
        <f t="shared" si="32"/>
        <v>5.9860432182480246E-4</v>
      </c>
      <c r="S60" s="1"/>
      <c r="T60" s="1">
        <f>SUM(OSRRefT22_8x_0)</f>
        <v>1475</v>
      </c>
      <c r="U60" s="1"/>
      <c r="V60" s="5">
        <f t="shared" si="33"/>
        <v>8.2772166105499439E-4</v>
      </c>
      <c r="W60" s="1"/>
      <c r="X60" s="1">
        <f t="shared" si="34"/>
        <v>-50.289999999999964</v>
      </c>
      <c r="Y60" s="1"/>
      <c r="Z60" s="5">
        <f t="shared" si="35"/>
        <v>-3.4094915254237267E-2</v>
      </c>
    </row>
    <row r="61" spans="1:26" s="24" customFormat="1" hidden="1" outlineLevel="2" x14ac:dyDescent="0.3">
      <c r="A61" s="27"/>
      <c r="B61" s="11" t="str">
        <f>CONCATENATE("          ", "6351", " - ", "EQUIPMENT RENTAL")</f>
        <v xml:space="preserve">          6351 - EQUIPMENT RENTAL</v>
      </c>
      <c r="C61" s="11"/>
      <c r="D61" s="6">
        <v>135.26</v>
      </c>
      <c r="E61" s="2"/>
      <c r="F61" s="7">
        <f t="shared" si="28"/>
        <v>2.1138855116106169E-4</v>
      </c>
      <c r="G61" s="2"/>
      <c r="H61" s="6">
        <v>295</v>
      </c>
      <c r="I61" s="2"/>
      <c r="J61" s="7">
        <f t="shared" si="29"/>
        <v>7.4494949494949498E-4</v>
      </c>
      <c r="K61" s="2"/>
      <c r="L61" s="6">
        <f t="shared" si="30"/>
        <v>-159.74</v>
      </c>
      <c r="M61" s="2"/>
      <c r="N61" s="7">
        <f t="shared" si="31"/>
        <v>-0.5414915254237288</v>
      </c>
      <c r="O61" s="11"/>
      <c r="P61" s="6">
        <v>1424.71</v>
      </c>
      <c r="Q61" s="2"/>
      <c r="R61" s="7">
        <f t="shared" si="32"/>
        <v>5.9860432182480246E-4</v>
      </c>
      <c r="S61" s="2"/>
      <c r="T61" s="6">
        <v>1475</v>
      </c>
      <c r="U61" s="2"/>
      <c r="V61" s="7">
        <f t="shared" si="33"/>
        <v>8.2772166105499439E-4</v>
      </c>
      <c r="W61" s="2"/>
      <c r="X61" s="6">
        <f t="shared" si="34"/>
        <v>-50.289999999999964</v>
      </c>
      <c r="Y61" s="2"/>
      <c r="Z61" s="7">
        <f t="shared" si="35"/>
        <v>-3.4094915254237267E-2</v>
      </c>
    </row>
    <row r="62" spans="1:26" s="29" customFormat="1" outlineLevel="1" collapsed="1" x14ac:dyDescent="0.3">
      <c r="A62" s="28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SUM(OSRRefD22_9x_0)</f>
        <v>0</v>
      </c>
      <c r="E62" s="1"/>
      <c r="F62" s="5">
        <f t="shared" si="28"/>
        <v>0</v>
      </c>
      <c r="G62" s="1"/>
      <c r="H62" s="1">
        <f>SUM(OSRRefH22_9x_0)</f>
        <v>180</v>
      </c>
      <c r="I62" s="1"/>
      <c r="J62" s="5">
        <f t="shared" si="29"/>
        <v>4.5454545454545455E-4</v>
      </c>
      <c r="K62" s="1"/>
      <c r="L62" s="1">
        <f t="shared" si="30"/>
        <v>-180</v>
      </c>
      <c r="M62" s="1"/>
      <c r="N62" s="5">
        <f t="shared" si="31"/>
        <v>-1</v>
      </c>
      <c r="O62" s="14"/>
      <c r="P62" s="1">
        <f>SUM(OSRRefP22_9x_0)</f>
        <v>1557.93</v>
      </c>
      <c r="Q62" s="1"/>
      <c r="R62" s="5">
        <f t="shared" si="32"/>
        <v>6.5457786574145925E-4</v>
      </c>
      <c r="S62" s="1"/>
      <c r="T62" s="1">
        <f>SUM(OSRRefT22_9x_0)</f>
        <v>2500</v>
      </c>
      <c r="U62" s="1"/>
      <c r="V62" s="5">
        <f t="shared" si="33"/>
        <v>1.4029180695847362E-3</v>
      </c>
      <c r="W62" s="1"/>
      <c r="X62" s="1">
        <f t="shared" si="34"/>
        <v>-942.06999999999994</v>
      </c>
      <c r="Y62" s="1"/>
      <c r="Z62" s="5">
        <f t="shared" si="35"/>
        <v>-0.376828</v>
      </c>
    </row>
    <row r="63" spans="1:26" s="24" customFormat="1" hidden="1" outlineLevel="2" x14ac:dyDescent="0.3">
      <c r="A63" s="27"/>
      <c r="B63" s="11" t="str">
        <f>CONCATENATE("          ", "6279", " - ", "GENERAL EXPENSE")</f>
        <v xml:space="preserve">          6279 - GENERAL EXPENSE</v>
      </c>
      <c r="C63" s="11"/>
      <c r="D63" s="6"/>
      <c r="E63" s="2"/>
      <c r="F63" s="7">
        <f t="shared" si="28"/>
        <v>0</v>
      </c>
      <c r="G63" s="2"/>
      <c r="H63" s="6">
        <v>180</v>
      </c>
      <c r="I63" s="2"/>
      <c r="J63" s="7">
        <f t="shared" si="29"/>
        <v>4.5454545454545455E-4</v>
      </c>
      <c r="K63" s="2"/>
      <c r="L63" s="6">
        <f t="shared" si="30"/>
        <v>-180</v>
      </c>
      <c r="M63" s="2"/>
      <c r="N63" s="7">
        <f t="shared" si="31"/>
        <v>-1</v>
      </c>
      <c r="O63" s="11"/>
      <c r="P63" s="6">
        <v>1557.93</v>
      </c>
      <c r="Q63" s="2"/>
      <c r="R63" s="7">
        <f t="shared" si="32"/>
        <v>6.5457786574145925E-4</v>
      </c>
      <c r="S63" s="2"/>
      <c r="T63" s="6">
        <v>2500</v>
      </c>
      <c r="U63" s="2"/>
      <c r="V63" s="7">
        <f t="shared" si="33"/>
        <v>1.4029180695847362E-3</v>
      </c>
      <c r="W63" s="2"/>
      <c r="X63" s="6">
        <f t="shared" si="34"/>
        <v>-942.06999999999994</v>
      </c>
      <c r="Y63" s="2"/>
      <c r="Z63" s="7">
        <f t="shared" si="35"/>
        <v>-0.376828</v>
      </c>
    </row>
    <row r="64" spans="1:26" s="29" customFormat="1" outlineLevel="1" collapsed="1" x14ac:dyDescent="0.3">
      <c r="A64" s="28"/>
      <c r="B64" s="14" t="str">
        <f>CONCATENATE("     ","R/H Commissions                                   ")</f>
        <v xml:space="preserve">     R/H Commissions                                   </v>
      </c>
      <c r="C64" s="14"/>
      <c r="D64" s="1">
        <f>SUM(OSRRefD22_10x_0)</f>
        <v>50966.61</v>
      </c>
      <c r="E64" s="1"/>
      <c r="F64" s="5">
        <f t="shared" si="28"/>
        <v>7.9652209415132916E-2</v>
      </c>
      <c r="G64" s="1"/>
      <c r="H64" s="1">
        <f>SUM(OSRRefH22_10x_0)</f>
        <v>29520</v>
      </c>
      <c r="I64" s="1"/>
      <c r="J64" s="5">
        <f t="shared" si="29"/>
        <v>7.454545454545454E-2</v>
      </c>
      <c r="K64" s="1"/>
      <c r="L64" s="1">
        <f t="shared" si="30"/>
        <v>21446.61</v>
      </c>
      <c r="M64" s="1"/>
      <c r="N64" s="5">
        <f t="shared" si="31"/>
        <v>0.72651117886178862</v>
      </c>
      <c r="O64" s="14"/>
      <c r="P64" s="1">
        <f>SUM(OSRRefP22_10x_0)</f>
        <v>185981.78</v>
      </c>
      <c r="Q64" s="1"/>
      <c r="R64" s="5">
        <f t="shared" si="32"/>
        <v>7.8141865564690077E-2</v>
      </c>
      <c r="S64" s="1"/>
      <c r="T64" s="1">
        <f>SUM(OSRRefT22_10x_0)</f>
        <v>140400</v>
      </c>
      <c r="U64" s="1"/>
      <c r="V64" s="5">
        <f t="shared" si="33"/>
        <v>7.8787878787878782E-2</v>
      </c>
      <c r="W64" s="1"/>
      <c r="X64" s="1">
        <f t="shared" si="34"/>
        <v>45581.78</v>
      </c>
      <c r="Y64" s="1"/>
      <c r="Z64" s="5">
        <f t="shared" si="35"/>
        <v>0.32465655270655269</v>
      </c>
    </row>
    <row r="65" spans="1:26" s="24" customFormat="1" hidden="1" outlineLevel="2" x14ac:dyDescent="0.3">
      <c r="A65" s="27"/>
      <c r="B65" s="11" t="str">
        <f>CONCATENATE("          ", "6387", " - ", "COMMISSION DUE HOUSING")</f>
        <v xml:space="preserve">          6387 - COMMISSION DUE HOUSING</v>
      </c>
      <c r="C65" s="11"/>
      <c r="D65" s="6">
        <v>50966.61</v>
      </c>
      <c r="E65" s="2"/>
      <c r="F65" s="7">
        <f t="shared" si="28"/>
        <v>7.9652209415132916E-2</v>
      </c>
      <c r="G65" s="2"/>
      <c r="H65" s="6">
        <v>29520</v>
      </c>
      <c r="I65" s="2"/>
      <c r="J65" s="7">
        <f t="shared" si="29"/>
        <v>7.454545454545454E-2</v>
      </c>
      <c r="K65" s="2"/>
      <c r="L65" s="6">
        <f t="shared" si="30"/>
        <v>21446.61</v>
      </c>
      <c r="M65" s="2"/>
      <c r="N65" s="7">
        <f t="shared" si="31"/>
        <v>0.72651117886178862</v>
      </c>
      <c r="O65" s="11"/>
      <c r="P65" s="6">
        <v>185981.78</v>
      </c>
      <c r="Q65" s="2"/>
      <c r="R65" s="7">
        <f t="shared" si="32"/>
        <v>7.8141865564690077E-2</v>
      </c>
      <c r="S65" s="2"/>
      <c r="T65" s="6">
        <v>140400</v>
      </c>
      <c r="U65" s="2"/>
      <c r="V65" s="7">
        <f t="shared" si="33"/>
        <v>7.8787878787878782E-2</v>
      </c>
      <c r="W65" s="2"/>
      <c r="X65" s="6">
        <f t="shared" si="34"/>
        <v>45581.78</v>
      </c>
      <c r="Y65" s="2"/>
      <c r="Z65" s="7">
        <f t="shared" si="35"/>
        <v>0.32465655270655269</v>
      </c>
    </row>
    <row r="66" spans="1:26" s="29" customFormat="1" outlineLevel="1" collapsed="1" x14ac:dyDescent="0.3">
      <c r="A66" s="28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SUM(OSRRefD22_11x_0)</f>
        <v>7.75</v>
      </c>
      <c r="E66" s="1"/>
      <c r="F66" s="5">
        <f t="shared" si="28"/>
        <v>1.2111941974702263E-5</v>
      </c>
      <c r="G66" s="1"/>
      <c r="H66" s="1">
        <f>SUM(OSRRefH22_11x_0)</f>
        <v>200</v>
      </c>
      <c r="I66" s="1"/>
      <c r="J66" s="5">
        <f t="shared" si="29"/>
        <v>5.0505050505050505E-4</v>
      </c>
      <c r="K66" s="1"/>
      <c r="L66" s="1">
        <f t="shared" si="30"/>
        <v>-192.25</v>
      </c>
      <c r="M66" s="1"/>
      <c r="N66" s="5">
        <f t="shared" si="31"/>
        <v>-0.96125000000000005</v>
      </c>
      <c r="O66" s="14"/>
      <c r="P66" s="1">
        <f>SUM(OSRRefP22_11x_0)</f>
        <v>2007.26</v>
      </c>
      <c r="Q66" s="1"/>
      <c r="R66" s="5">
        <f t="shared" si="32"/>
        <v>8.4336778082982E-4</v>
      </c>
      <c r="S66" s="1"/>
      <c r="T66" s="1">
        <f>SUM(OSRRefT22_11x_0)</f>
        <v>3000</v>
      </c>
      <c r="U66" s="1"/>
      <c r="V66" s="5">
        <f t="shared" si="33"/>
        <v>1.6835016835016834E-3</v>
      </c>
      <c r="W66" s="1"/>
      <c r="X66" s="1">
        <f t="shared" si="34"/>
        <v>-992.74</v>
      </c>
      <c r="Y66" s="1"/>
      <c r="Z66" s="5">
        <f t="shared" si="35"/>
        <v>-0.33091333333333334</v>
      </c>
    </row>
    <row r="67" spans="1:26" s="24" customFormat="1" hidden="1" outlineLevel="2" x14ac:dyDescent="0.3">
      <c r="A67" s="27"/>
      <c r="B67" s="11" t="str">
        <f>CONCATENATE("          ", "6373", " - ", "MAINTENANCE CONTRACTS")</f>
        <v xml:space="preserve">          6373 - MAINTENANCE CONTRACTS</v>
      </c>
      <c r="C67" s="11"/>
      <c r="D67" s="6">
        <v>7.75</v>
      </c>
      <c r="E67" s="2"/>
      <c r="F67" s="7">
        <f t="shared" si="28"/>
        <v>1.2111941974702263E-5</v>
      </c>
      <c r="G67" s="2"/>
      <c r="H67" s="6"/>
      <c r="I67" s="2"/>
      <c r="J67" s="7">
        <f t="shared" si="29"/>
        <v>0</v>
      </c>
      <c r="K67" s="2"/>
      <c r="L67" s="6">
        <f t="shared" si="30"/>
        <v>7.75</v>
      </c>
      <c r="M67" s="2"/>
      <c r="N67" s="7">
        <f t="shared" si="31"/>
        <v>0</v>
      </c>
      <c r="O67" s="11"/>
      <c r="P67" s="6">
        <v>162.72999999999999</v>
      </c>
      <c r="Q67" s="2"/>
      <c r="R67" s="7">
        <f t="shared" si="32"/>
        <v>6.8372427575120616E-5</v>
      </c>
      <c r="S67" s="2"/>
      <c r="T67" s="6">
        <v>2000</v>
      </c>
      <c r="U67" s="2"/>
      <c r="V67" s="7">
        <f t="shared" si="33"/>
        <v>1.1223344556677891E-3</v>
      </c>
      <c r="W67" s="2"/>
      <c r="X67" s="6">
        <f t="shared" si="34"/>
        <v>-1837.27</v>
      </c>
      <c r="Y67" s="2"/>
      <c r="Z67" s="7">
        <f t="shared" si="35"/>
        <v>-0.91863499999999998</v>
      </c>
    </row>
    <row r="68" spans="1:26" s="24" customFormat="1" hidden="1" outlineLevel="2" x14ac:dyDescent="0.3">
      <c r="A68" s="27"/>
      <c r="B68" s="11" t="str">
        <f>CONCATENATE("          ", "6375", " - ", "OUTSIDE REPAIRS &amp; MAINTENANCE")</f>
        <v xml:space="preserve">          6375 - OUTSIDE REPAIRS &amp; MAINTENANCE</v>
      </c>
      <c r="C68" s="11"/>
      <c r="D68" s="6"/>
      <c r="E68" s="2"/>
      <c r="F68" s="7">
        <f t="shared" si="28"/>
        <v>0</v>
      </c>
      <c r="G68" s="2"/>
      <c r="H68" s="6">
        <v>200</v>
      </c>
      <c r="I68" s="2"/>
      <c r="J68" s="7">
        <f t="shared" si="29"/>
        <v>5.0505050505050505E-4</v>
      </c>
      <c r="K68" s="2"/>
      <c r="L68" s="6">
        <f t="shared" si="30"/>
        <v>-200</v>
      </c>
      <c r="M68" s="2"/>
      <c r="N68" s="7">
        <f t="shared" si="31"/>
        <v>-1</v>
      </c>
      <c r="O68" s="11"/>
      <c r="P68" s="6">
        <v>1844.53</v>
      </c>
      <c r="Q68" s="2"/>
      <c r="R68" s="7">
        <f t="shared" si="32"/>
        <v>7.7499535325469937E-4</v>
      </c>
      <c r="S68" s="2"/>
      <c r="T68" s="6">
        <v>1000</v>
      </c>
      <c r="U68" s="2"/>
      <c r="V68" s="7">
        <f t="shared" si="33"/>
        <v>5.6116722783389455E-4</v>
      </c>
      <c r="W68" s="2"/>
      <c r="X68" s="6">
        <f t="shared" si="34"/>
        <v>844.53</v>
      </c>
      <c r="Y68" s="2"/>
      <c r="Z68" s="7">
        <f t="shared" si="35"/>
        <v>0.84453</v>
      </c>
    </row>
    <row r="69" spans="1:26" s="29" customFormat="1" outlineLevel="1" collapsed="1" x14ac:dyDescent="0.3">
      <c r="A69" s="28"/>
      <c r="B69" s="14" t="str">
        <f>CONCATENATE("     ","Services                                          ")</f>
        <v xml:space="preserve">     Services                                          </v>
      </c>
      <c r="C69" s="14"/>
      <c r="D69" s="1">
        <f>SUM(OSRRefD22_12x_0)</f>
        <v>7572.07</v>
      </c>
      <c r="E69" s="1"/>
      <c r="F69" s="5">
        <f t="shared" ref="F69:F73" si="36">IF(D$12=0,0,D69/D$12)</f>
        <v>1.1833867415275324E-2</v>
      </c>
      <c r="G69" s="1"/>
      <c r="H69" s="1">
        <f>SUM(OSRRefH22_12x_0)</f>
        <v>7150</v>
      </c>
      <c r="I69" s="1"/>
      <c r="J69" s="5">
        <f t="shared" ref="J69:J73" si="37">IF(H$12=0,0,H69/H$12)</f>
        <v>1.8055555555555554E-2</v>
      </c>
      <c r="K69" s="1"/>
      <c r="L69" s="1">
        <f t="shared" ref="L69:L73" si="38">+D69-H69</f>
        <v>422.06999999999971</v>
      </c>
      <c r="M69" s="1"/>
      <c r="N69" s="5">
        <f t="shared" ref="N69:N73" si="39">IF(H69=0,0,L69/H69)</f>
        <v>5.9030769230769192E-2</v>
      </c>
      <c r="O69" s="14"/>
      <c r="P69" s="1">
        <f>SUM(OSRRefP22_12x_0)</f>
        <v>33043.64</v>
      </c>
      <c r="Q69" s="1"/>
      <c r="R69" s="5">
        <f t="shared" ref="R69:R73" si="40">IF(P$12=0,0,P69/P$12)</f>
        <v>1.388357329759945E-2</v>
      </c>
      <c r="S69" s="1"/>
      <c r="T69" s="1">
        <f>SUM(OSRRefT22_12x_0)</f>
        <v>35750</v>
      </c>
      <c r="U69" s="1"/>
      <c r="V69" s="5">
        <f t="shared" ref="V69:V73" si="41">IF(T$12=0,0,T69/T$12)</f>
        <v>2.0061728395061727E-2</v>
      </c>
      <c r="W69" s="1"/>
      <c r="X69" s="1">
        <f t="shared" ref="X69:X73" si="42">+P69-T69</f>
        <v>-2706.3600000000006</v>
      </c>
      <c r="Y69" s="1"/>
      <c r="Z69" s="5">
        <f t="shared" ref="Z69:Z73" si="43">IF(T69=0,0,X69/T69)</f>
        <v>-7.5702377622377637E-2</v>
      </c>
    </row>
    <row r="70" spans="1:26" s="24" customFormat="1" hidden="1" outlineLevel="2" x14ac:dyDescent="0.3">
      <c r="A70" s="27"/>
      <c r="B70" s="11" t="str">
        <f>CONCATENATE("          ", "6282", " - ", "JANITORIAL/EXTERMINATOR EXPENS")</f>
        <v xml:space="preserve">          6282 - JANITORIAL/EXTERMINATOR EXPENS</v>
      </c>
      <c r="C70" s="11"/>
      <c r="D70" s="6">
        <v>459.25</v>
      </c>
      <c r="E70" s="2"/>
      <c r="F70" s="7">
        <f t="shared" si="36"/>
        <v>7.1773023895251801E-4</v>
      </c>
      <c r="G70" s="2"/>
      <c r="H70" s="6">
        <v>450</v>
      </c>
      <c r="I70" s="2"/>
      <c r="J70" s="7">
        <f t="shared" si="37"/>
        <v>1.1363636363636363E-3</v>
      </c>
      <c r="K70" s="2"/>
      <c r="L70" s="6">
        <f t="shared" si="38"/>
        <v>9.25</v>
      </c>
      <c r="M70" s="2"/>
      <c r="N70" s="7">
        <f t="shared" si="39"/>
        <v>2.0555555555555556E-2</v>
      </c>
      <c r="O70" s="11"/>
      <c r="P70" s="6">
        <v>3199.8</v>
      </c>
      <c r="Q70" s="2"/>
      <c r="R70" s="7">
        <f t="shared" si="40"/>
        <v>1.3444238539597553E-3</v>
      </c>
      <c r="S70" s="2"/>
      <c r="T70" s="6">
        <v>2250</v>
      </c>
      <c r="U70" s="2"/>
      <c r="V70" s="7">
        <f t="shared" si="41"/>
        <v>1.2626262626262627E-3</v>
      </c>
      <c r="W70" s="2"/>
      <c r="X70" s="6">
        <f t="shared" si="42"/>
        <v>949.80000000000018</v>
      </c>
      <c r="Y70" s="2"/>
      <c r="Z70" s="7">
        <f t="shared" si="43"/>
        <v>0.42213333333333342</v>
      </c>
    </row>
    <row r="71" spans="1:26" s="24" customFormat="1" hidden="1" outlineLevel="2" x14ac:dyDescent="0.3">
      <c r="A71" s="27"/>
      <c r="B71" s="11" t="str">
        <f>CONCATENATE("          ", "6284", " - ", "TRASH REMOVAL EXPENSE")</f>
        <v xml:space="preserve">          6284 - TRASH REMOVAL EXPENSE</v>
      </c>
      <c r="C71" s="11"/>
      <c r="D71" s="6"/>
      <c r="E71" s="2"/>
      <c r="F71" s="7">
        <f t="shared" si="36"/>
        <v>0</v>
      </c>
      <c r="G71" s="2"/>
      <c r="H71" s="6">
        <v>50</v>
      </c>
      <c r="I71" s="2"/>
      <c r="J71" s="7">
        <f t="shared" si="37"/>
        <v>1.2626262626262626E-4</v>
      </c>
      <c r="K71" s="2"/>
      <c r="L71" s="6">
        <f t="shared" si="38"/>
        <v>-50</v>
      </c>
      <c r="M71" s="2"/>
      <c r="N71" s="7">
        <f t="shared" si="39"/>
        <v>-1</v>
      </c>
      <c r="O71" s="11"/>
      <c r="P71" s="6"/>
      <c r="Q71" s="2"/>
      <c r="R71" s="7">
        <f t="shared" si="40"/>
        <v>0</v>
      </c>
      <c r="S71" s="2"/>
      <c r="T71" s="6">
        <v>250</v>
      </c>
      <c r="U71" s="2"/>
      <c r="V71" s="7">
        <f t="shared" si="41"/>
        <v>1.4029180695847364E-4</v>
      </c>
      <c r="W71" s="2"/>
      <c r="X71" s="6">
        <f t="shared" si="42"/>
        <v>-250</v>
      </c>
      <c r="Y71" s="2"/>
      <c r="Z71" s="7">
        <f t="shared" si="43"/>
        <v>-1</v>
      </c>
    </row>
    <row r="72" spans="1:26" s="24" customFormat="1" hidden="1" outlineLevel="2" x14ac:dyDescent="0.3">
      <c r="A72" s="27"/>
      <c r="B72" s="11" t="str">
        <f>CONCATENATE("          ", "6285", " - ", "JANITORIAL SERVICES")</f>
        <v xml:space="preserve">          6285 - JANITORIAL SERVICES</v>
      </c>
      <c r="C72" s="11"/>
      <c r="D72" s="6">
        <v>6019.04</v>
      </c>
      <c r="E72" s="2"/>
      <c r="F72" s="7">
        <f t="shared" si="36"/>
        <v>9.4067436417305701E-3</v>
      </c>
      <c r="G72" s="2"/>
      <c r="H72" s="6">
        <v>4983</v>
      </c>
      <c r="I72" s="2"/>
      <c r="J72" s="7">
        <f t="shared" si="37"/>
        <v>1.2583333333333334E-2</v>
      </c>
      <c r="K72" s="2"/>
      <c r="L72" s="6">
        <f t="shared" si="38"/>
        <v>1036.04</v>
      </c>
      <c r="M72" s="2"/>
      <c r="N72" s="7">
        <f t="shared" si="39"/>
        <v>0.20791491069636764</v>
      </c>
      <c r="O72" s="11"/>
      <c r="P72" s="6">
        <v>24092.36</v>
      </c>
      <c r="Q72" s="2"/>
      <c r="R72" s="7">
        <f t="shared" si="40"/>
        <v>1.0122615001620679E-2</v>
      </c>
      <c r="S72" s="2"/>
      <c r="T72" s="6">
        <v>24915</v>
      </c>
      <c r="U72" s="2"/>
      <c r="V72" s="7">
        <f t="shared" si="41"/>
        <v>1.3981481481481482E-2</v>
      </c>
      <c r="W72" s="2"/>
      <c r="X72" s="6">
        <f t="shared" si="42"/>
        <v>-822.63999999999942</v>
      </c>
      <c r="Y72" s="2"/>
      <c r="Z72" s="7">
        <f t="shared" si="43"/>
        <v>-3.3017860726469977E-2</v>
      </c>
    </row>
    <row r="73" spans="1:26" s="24" customFormat="1" hidden="1" outlineLevel="2" x14ac:dyDescent="0.3">
      <c r="A73" s="27"/>
      <c r="B73" s="11" t="str">
        <f>CONCATENATE("          ", "6286", " - ", "LAUNDRY EXPENSE")</f>
        <v xml:space="preserve">          6286 - LAUNDRY EXPENSE</v>
      </c>
      <c r="C73" s="11"/>
      <c r="D73" s="6">
        <v>1093.78</v>
      </c>
      <c r="E73" s="2"/>
      <c r="F73" s="7">
        <f t="shared" si="36"/>
        <v>1.7093935345922377E-3</v>
      </c>
      <c r="G73" s="2"/>
      <c r="H73" s="6">
        <v>1667</v>
      </c>
      <c r="I73" s="2"/>
      <c r="J73" s="7">
        <f t="shared" si="37"/>
        <v>4.20959595959596E-3</v>
      </c>
      <c r="K73" s="2"/>
      <c r="L73" s="6">
        <f t="shared" si="38"/>
        <v>-573.22</v>
      </c>
      <c r="M73" s="2"/>
      <c r="N73" s="7">
        <f t="shared" si="39"/>
        <v>-0.34386322735452912</v>
      </c>
      <c r="O73" s="11"/>
      <c r="P73" s="6">
        <v>5751.48</v>
      </c>
      <c r="Q73" s="2"/>
      <c r="R73" s="7">
        <f t="shared" si="40"/>
        <v>2.4165344420190174E-3</v>
      </c>
      <c r="S73" s="2"/>
      <c r="T73" s="6">
        <v>8335</v>
      </c>
      <c r="U73" s="2"/>
      <c r="V73" s="7">
        <f t="shared" si="41"/>
        <v>4.6773288439955103E-3</v>
      </c>
      <c r="W73" s="2"/>
      <c r="X73" s="6">
        <f t="shared" si="42"/>
        <v>-2583.5200000000004</v>
      </c>
      <c r="Y73" s="2"/>
      <c r="Z73" s="7">
        <f t="shared" si="43"/>
        <v>-0.30996040791841639</v>
      </c>
    </row>
    <row r="74" spans="1:26" s="29" customFormat="1" outlineLevel="1" collapsed="1" x14ac:dyDescent="0.3">
      <c r="A74" s="28"/>
      <c r="B74" s="14" t="str">
        <f>CONCATENATE("     ","Subscriptions &amp; Dues                              ")</f>
        <v xml:space="preserve">     Subscriptions &amp; Dues                              </v>
      </c>
      <c r="C74" s="14"/>
      <c r="D74" s="1">
        <f>SUM(OSRRefD22_13x_0)</f>
        <v>0</v>
      </c>
      <c r="E74" s="1"/>
      <c r="F74" s="5">
        <f t="shared" ref="F74:F83" si="44">IF(D$12=0,0,D74/D$12)</f>
        <v>0</v>
      </c>
      <c r="G74" s="1"/>
      <c r="H74" s="1">
        <f>SUM(OSRRefH22_13x_0)</f>
        <v>795</v>
      </c>
      <c r="I74" s="1"/>
      <c r="J74" s="5">
        <f t="shared" ref="J74:J83" si="45">IF(H$12=0,0,H74/H$12)</f>
        <v>2.0075757575757575E-3</v>
      </c>
      <c r="K74" s="1"/>
      <c r="L74" s="1">
        <f t="shared" ref="L74:L83" si="46">+D74-H74</f>
        <v>-795</v>
      </c>
      <c r="M74" s="1"/>
      <c r="N74" s="5">
        <f t="shared" ref="N74:N83" si="47">IF(H74=0,0,L74/H74)</f>
        <v>-1</v>
      </c>
      <c r="O74" s="14"/>
      <c r="P74" s="1">
        <f>SUM(OSRRefP22_13x_0)</f>
        <v>0</v>
      </c>
      <c r="Q74" s="1"/>
      <c r="R74" s="5">
        <f t="shared" ref="R74:R83" si="48">IF(P$12=0,0,P74/P$12)</f>
        <v>0</v>
      </c>
      <c r="S74" s="1"/>
      <c r="T74" s="1">
        <f>SUM(OSRRefT22_13x_0)</f>
        <v>795</v>
      </c>
      <c r="U74" s="1"/>
      <c r="V74" s="5">
        <f t="shared" ref="V74:V83" si="49">IF(T$12=0,0,T74/T$12)</f>
        <v>4.4612794612794611E-4</v>
      </c>
      <c r="W74" s="1"/>
      <c r="X74" s="1">
        <f t="shared" ref="X74:X83" si="50">+P74-T74</f>
        <v>-795</v>
      </c>
      <c r="Y74" s="1"/>
      <c r="Z74" s="5">
        <f t="shared" ref="Z74:Z83" si="51">IF(T74=0,0,X74/T74)</f>
        <v>-1</v>
      </c>
    </row>
    <row r="75" spans="1:26" s="24" customFormat="1" hidden="1" outlineLevel="2" x14ac:dyDescent="0.3">
      <c r="A75" s="27"/>
      <c r="B75" s="11" t="str">
        <f>CONCATENATE("          ", "6258", " - ", "MEMBERSHIP DUES")</f>
        <v xml:space="preserve">          6258 - MEMBERSHIP DUES</v>
      </c>
      <c r="C75" s="11"/>
      <c r="D75" s="6"/>
      <c r="E75" s="2"/>
      <c r="F75" s="7">
        <f t="shared" si="44"/>
        <v>0</v>
      </c>
      <c r="G75" s="2"/>
      <c r="H75" s="6">
        <v>795</v>
      </c>
      <c r="I75" s="2"/>
      <c r="J75" s="7">
        <f t="shared" si="45"/>
        <v>2.0075757575757575E-3</v>
      </c>
      <c r="K75" s="2"/>
      <c r="L75" s="6">
        <f t="shared" si="46"/>
        <v>-795</v>
      </c>
      <c r="M75" s="2"/>
      <c r="N75" s="7">
        <f t="shared" si="47"/>
        <v>-1</v>
      </c>
      <c r="O75" s="11"/>
      <c r="P75" s="6"/>
      <c r="Q75" s="2"/>
      <c r="R75" s="7">
        <f t="shared" si="48"/>
        <v>0</v>
      </c>
      <c r="S75" s="2"/>
      <c r="T75" s="6">
        <v>795</v>
      </c>
      <c r="U75" s="2"/>
      <c r="V75" s="7">
        <f t="shared" si="49"/>
        <v>4.4612794612794611E-4</v>
      </c>
      <c r="W75" s="2"/>
      <c r="X75" s="6">
        <f t="shared" si="50"/>
        <v>-795</v>
      </c>
      <c r="Y75" s="2"/>
      <c r="Z75" s="7">
        <f t="shared" si="51"/>
        <v>-1</v>
      </c>
    </row>
    <row r="76" spans="1:26" s="29" customFormat="1" outlineLevel="1" collapsed="1" x14ac:dyDescent="0.3">
      <c r="A76" s="28"/>
      <c r="B76" s="14" t="str">
        <f>CONCATENATE("     ","Supplies                                          ")</f>
        <v xml:space="preserve">     Supplies                                          </v>
      </c>
      <c r="C76" s="14"/>
      <c r="D76" s="1">
        <f>SUM(OSRRefD22_14x_0)</f>
        <v>11350.45</v>
      </c>
      <c r="E76" s="1"/>
      <c r="F76" s="5">
        <f t="shared" si="44"/>
        <v>1.7738837649904429E-2</v>
      </c>
      <c r="G76" s="1"/>
      <c r="H76" s="1">
        <f>SUM(OSRRefH22_14x_0)</f>
        <v>13066</v>
      </c>
      <c r="I76" s="1"/>
      <c r="J76" s="5">
        <f t="shared" si="45"/>
        <v>3.2994949494949494E-2</v>
      </c>
      <c r="K76" s="1"/>
      <c r="L76" s="1">
        <f t="shared" si="46"/>
        <v>-1715.5499999999993</v>
      </c>
      <c r="M76" s="1"/>
      <c r="N76" s="5">
        <f t="shared" si="47"/>
        <v>-0.13129879075463027</v>
      </c>
      <c r="O76" s="14"/>
      <c r="P76" s="1">
        <f>SUM(OSRRefP22_14x_0)</f>
        <v>84588.950000000012</v>
      </c>
      <c r="Q76" s="1"/>
      <c r="R76" s="5">
        <f t="shared" si="48"/>
        <v>3.5540784474469983E-2</v>
      </c>
      <c r="S76" s="1"/>
      <c r="T76" s="1">
        <f>SUM(OSRRefT22_14x_0)</f>
        <v>65330</v>
      </c>
      <c r="U76" s="1"/>
      <c r="V76" s="5">
        <f t="shared" si="49"/>
        <v>3.6661054994388327E-2</v>
      </c>
      <c r="W76" s="1"/>
      <c r="X76" s="1">
        <f t="shared" si="50"/>
        <v>19258.950000000012</v>
      </c>
      <c r="Y76" s="1"/>
      <c r="Z76" s="5">
        <f t="shared" si="51"/>
        <v>0.29479488749426008</v>
      </c>
    </row>
    <row r="77" spans="1:26" s="24" customFormat="1" hidden="1" outlineLevel="2" x14ac:dyDescent="0.3">
      <c r="A77" s="27"/>
      <c r="B77" s="11" t="str">
        <f>CONCATENATE("          ", "6237", " - ", "JANITORIAL SUPPLIES")</f>
        <v xml:space="preserve">          6237 - JANITORIAL SUPPLIES</v>
      </c>
      <c r="C77" s="11"/>
      <c r="D77" s="6">
        <v>2339.33</v>
      </c>
      <c r="E77" s="2"/>
      <c r="F77" s="7">
        <f t="shared" si="44"/>
        <v>3.6559779638297091E-3</v>
      </c>
      <c r="G77" s="2"/>
      <c r="H77" s="6">
        <v>3750</v>
      </c>
      <c r="I77" s="2"/>
      <c r="J77" s="7">
        <f t="shared" si="45"/>
        <v>9.46969696969697E-3</v>
      </c>
      <c r="K77" s="2"/>
      <c r="L77" s="6">
        <f t="shared" si="46"/>
        <v>-1410.67</v>
      </c>
      <c r="M77" s="2"/>
      <c r="N77" s="7">
        <f t="shared" si="47"/>
        <v>-0.37617866666666666</v>
      </c>
      <c r="O77" s="11"/>
      <c r="P77" s="6">
        <v>13433.26</v>
      </c>
      <c r="Q77" s="2"/>
      <c r="R77" s="7">
        <f t="shared" si="48"/>
        <v>5.6441012502167079E-3</v>
      </c>
      <c r="S77" s="2"/>
      <c r="T77" s="6">
        <v>18750</v>
      </c>
      <c r="U77" s="2"/>
      <c r="V77" s="7">
        <f t="shared" si="49"/>
        <v>1.0521885521885523E-2</v>
      </c>
      <c r="W77" s="2"/>
      <c r="X77" s="6">
        <f t="shared" si="50"/>
        <v>-5316.74</v>
      </c>
      <c r="Y77" s="2"/>
      <c r="Z77" s="7">
        <f t="shared" si="51"/>
        <v>-0.28355946666666665</v>
      </c>
    </row>
    <row r="78" spans="1:26" s="24" customFormat="1" hidden="1" outlineLevel="2" x14ac:dyDescent="0.3">
      <c r="A78" s="27"/>
      <c r="B78" s="11" t="str">
        <f>CONCATENATE("          ", "6239", " - ", "KITCHEN SUPPLIES")</f>
        <v xml:space="preserve">          6239 - KITCHEN SUPPLIES</v>
      </c>
      <c r="C78" s="11"/>
      <c r="D78" s="6">
        <v>500.13</v>
      </c>
      <c r="E78" s="2"/>
      <c r="F78" s="7">
        <f t="shared" si="44"/>
        <v>7.8161877933004427E-4</v>
      </c>
      <c r="G78" s="2"/>
      <c r="H78" s="6">
        <v>1800</v>
      </c>
      <c r="I78" s="2"/>
      <c r="J78" s="7">
        <f t="shared" si="45"/>
        <v>4.5454545454545452E-3</v>
      </c>
      <c r="K78" s="2"/>
      <c r="L78" s="6">
        <f t="shared" si="46"/>
        <v>-1299.8699999999999</v>
      </c>
      <c r="M78" s="2"/>
      <c r="N78" s="7">
        <f t="shared" si="47"/>
        <v>-0.72214999999999996</v>
      </c>
      <c r="O78" s="11"/>
      <c r="P78" s="6">
        <v>9362.42</v>
      </c>
      <c r="Q78" s="2"/>
      <c r="R78" s="7">
        <f t="shared" si="48"/>
        <v>3.9337023497687017E-3</v>
      </c>
      <c r="S78" s="2"/>
      <c r="T78" s="6">
        <v>9000</v>
      </c>
      <c r="U78" s="2"/>
      <c r="V78" s="7">
        <f t="shared" si="49"/>
        <v>5.0505050505050509E-3</v>
      </c>
      <c r="W78" s="2"/>
      <c r="X78" s="6">
        <f t="shared" si="50"/>
        <v>362.42000000000007</v>
      </c>
      <c r="Y78" s="2"/>
      <c r="Z78" s="7">
        <f t="shared" si="51"/>
        <v>4.0268888888888896E-2</v>
      </c>
    </row>
    <row r="79" spans="1:26" s="24" customFormat="1" hidden="1" outlineLevel="2" x14ac:dyDescent="0.3">
      <c r="A79" s="27"/>
      <c r="B79" s="11" t="str">
        <f>CONCATENATE("          ", "6241", " - ", "OFFICE EXPENSE")</f>
        <v xml:space="preserve">          6241 - OFFICE EXPENSE</v>
      </c>
      <c r="C79" s="11"/>
      <c r="D79" s="6">
        <v>434.45</v>
      </c>
      <c r="E79" s="2"/>
      <c r="F79" s="7">
        <f t="shared" si="44"/>
        <v>6.7897202463347074E-4</v>
      </c>
      <c r="G79" s="2"/>
      <c r="H79" s="6">
        <v>820</v>
      </c>
      <c r="I79" s="2"/>
      <c r="J79" s="7">
        <f t="shared" si="45"/>
        <v>2.0707070707070706E-3</v>
      </c>
      <c r="K79" s="2"/>
      <c r="L79" s="6">
        <f t="shared" si="46"/>
        <v>-385.55</v>
      </c>
      <c r="M79" s="2"/>
      <c r="N79" s="7">
        <f t="shared" si="47"/>
        <v>-0.47018292682926832</v>
      </c>
      <c r="O79" s="11"/>
      <c r="P79" s="6">
        <v>3167.48</v>
      </c>
      <c r="Q79" s="2"/>
      <c r="R79" s="7">
        <f t="shared" si="48"/>
        <v>1.3308443243141587E-3</v>
      </c>
      <c r="S79" s="2"/>
      <c r="T79" s="6">
        <v>4100</v>
      </c>
      <c r="U79" s="2"/>
      <c r="V79" s="7">
        <f t="shared" si="49"/>
        <v>2.3007856341189675E-3</v>
      </c>
      <c r="W79" s="2"/>
      <c r="X79" s="6">
        <f t="shared" si="50"/>
        <v>-932.52</v>
      </c>
      <c r="Y79" s="2"/>
      <c r="Z79" s="7">
        <f t="shared" si="51"/>
        <v>-0.22744390243902438</v>
      </c>
    </row>
    <row r="80" spans="1:26" s="24" customFormat="1" hidden="1" outlineLevel="2" x14ac:dyDescent="0.3">
      <c r="A80" s="27"/>
      <c r="B80" s="11" t="str">
        <f>CONCATENATE("          ", "6243", " - ", "PAPER SUPPLIES")</f>
        <v xml:space="preserve">          6243 - PAPER SUPPLIES</v>
      </c>
      <c r="C80" s="11"/>
      <c r="D80" s="6">
        <v>7900.31</v>
      </c>
      <c r="E80" s="2"/>
      <c r="F80" s="7">
        <f t="shared" si="44"/>
        <v>1.2346851135762586E-2</v>
      </c>
      <c r="G80" s="2"/>
      <c r="H80" s="6">
        <v>6300</v>
      </c>
      <c r="I80" s="2"/>
      <c r="J80" s="7">
        <f t="shared" si="45"/>
        <v>1.5909090909090907E-2</v>
      </c>
      <c r="K80" s="2"/>
      <c r="L80" s="6">
        <f t="shared" si="46"/>
        <v>1600.3100000000004</v>
      </c>
      <c r="M80" s="2"/>
      <c r="N80" s="7">
        <f t="shared" si="47"/>
        <v>0.25401746031746036</v>
      </c>
      <c r="O80" s="11"/>
      <c r="P80" s="6">
        <v>56371.22</v>
      </c>
      <c r="Q80" s="2"/>
      <c r="R80" s="7">
        <f t="shared" si="48"/>
        <v>2.3684859317711492E-2</v>
      </c>
      <c r="S80" s="2"/>
      <c r="T80" s="6">
        <v>31500</v>
      </c>
      <c r="U80" s="2"/>
      <c r="V80" s="7">
        <f t="shared" si="49"/>
        <v>1.7676767676767676E-2</v>
      </c>
      <c r="W80" s="2"/>
      <c r="X80" s="6">
        <f t="shared" si="50"/>
        <v>24871.22</v>
      </c>
      <c r="Y80" s="2"/>
      <c r="Z80" s="7">
        <f t="shared" si="51"/>
        <v>0.78956253968253975</v>
      </c>
    </row>
    <row r="81" spans="1:26" s="24" customFormat="1" hidden="1" outlineLevel="2" x14ac:dyDescent="0.3">
      <c r="A81" s="27"/>
      <c r="B81" s="11" t="str">
        <f>CONCATENATE("          ", "6244", " - ", "SAFETY SUPPLY EXPENSE")</f>
        <v xml:space="preserve">          6244 - SAFETY SUPPLY EXPENSE</v>
      </c>
      <c r="C81" s="11"/>
      <c r="D81" s="6"/>
      <c r="E81" s="2"/>
      <c r="F81" s="7">
        <f t="shared" si="44"/>
        <v>0</v>
      </c>
      <c r="G81" s="2"/>
      <c r="H81" s="6">
        <v>200</v>
      </c>
      <c r="I81" s="2"/>
      <c r="J81" s="7">
        <f t="shared" si="45"/>
        <v>5.0505050505050505E-4</v>
      </c>
      <c r="K81" s="2"/>
      <c r="L81" s="6">
        <f t="shared" si="46"/>
        <v>-200</v>
      </c>
      <c r="M81" s="2"/>
      <c r="N81" s="7">
        <f t="shared" si="47"/>
        <v>-1</v>
      </c>
      <c r="O81" s="11"/>
      <c r="P81" s="6"/>
      <c r="Q81" s="2"/>
      <c r="R81" s="7">
        <f t="shared" si="48"/>
        <v>0</v>
      </c>
      <c r="S81" s="2"/>
      <c r="T81" s="6">
        <v>1000</v>
      </c>
      <c r="U81" s="2"/>
      <c r="V81" s="7">
        <f t="shared" si="49"/>
        <v>5.6116722783389455E-4</v>
      </c>
      <c r="W81" s="2"/>
      <c r="X81" s="6">
        <f t="shared" si="50"/>
        <v>-1000</v>
      </c>
      <c r="Y81" s="2"/>
      <c r="Z81" s="7">
        <f t="shared" si="51"/>
        <v>-1</v>
      </c>
    </row>
    <row r="82" spans="1:26" s="24" customFormat="1" hidden="1" outlineLevel="2" x14ac:dyDescent="0.3">
      <c r="A82" s="27"/>
      <c r="B82" s="11" t="str">
        <f>CONCATENATE("          ", "6247", " - ", "STORE SUPPLIES")</f>
        <v xml:space="preserve">          6247 - STORE SUPPLIES</v>
      </c>
      <c r="C82" s="11"/>
      <c r="D82" s="6">
        <v>176.23</v>
      </c>
      <c r="E82" s="2"/>
      <c r="F82" s="7">
        <f t="shared" si="44"/>
        <v>2.7541774634861678E-4</v>
      </c>
      <c r="G82" s="2"/>
      <c r="H82" s="6"/>
      <c r="I82" s="2"/>
      <c r="J82" s="7">
        <f t="shared" si="45"/>
        <v>0</v>
      </c>
      <c r="K82" s="2"/>
      <c r="L82" s="6">
        <f t="shared" si="46"/>
        <v>176.23</v>
      </c>
      <c r="M82" s="2"/>
      <c r="N82" s="7">
        <f t="shared" si="47"/>
        <v>0</v>
      </c>
      <c r="O82" s="11"/>
      <c r="P82" s="6">
        <v>384.16</v>
      </c>
      <c r="Q82" s="2"/>
      <c r="R82" s="7">
        <f t="shared" si="48"/>
        <v>1.6140817167859854E-4</v>
      </c>
      <c r="S82" s="2"/>
      <c r="T82" s="6"/>
      <c r="U82" s="2"/>
      <c r="V82" s="7">
        <f t="shared" si="49"/>
        <v>0</v>
      </c>
      <c r="W82" s="2"/>
      <c r="X82" s="6">
        <f t="shared" si="50"/>
        <v>384.16</v>
      </c>
      <c r="Y82" s="2"/>
      <c r="Z82" s="7">
        <f t="shared" si="51"/>
        <v>0</v>
      </c>
    </row>
    <row r="83" spans="1:26" s="24" customFormat="1" hidden="1" outlineLevel="2" x14ac:dyDescent="0.3">
      <c r="A83" s="27"/>
      <c r="B83" s="11" t="str">
        <f>CONCATENATE("          ", "6248", " - ", "UNIFORMS")</f>
        <v xml:space="preserve">          6248 - UNIFORMS</v>
      </c>
      <c r="C83" s="11"/>
      <c r="D83" s="6"/>
      <c r="E83" s="2"/>
      <c r="F83" s="7">
        <f t="shared" si="44"/>
        <v>0</v>
      </c>
      <c r="G83" s="2"/>
      <c r="H83" s="6">
        <v>196</v>
      </c>
      <c r="I83" s="2"/>
      <c r="J83" s="7">
        <f t="shared" si="45"/>
        <v>4.9494949494949497E-4</v>
      </c>
      <c r="K83" s="2"/>
      <c r="L83" s="6">
        <f t="shared" si="46"/>
        <v>-196</v>
      </c>
      <c r="M83" s="2"/>
      <c r="N83" s="7">
        <f t="shared" si="47"/>
        <v>-1</v>
      </c>
      <c r="O83" s="11"/>
      <c r="P83" s="6">
        <v>1870.41</v>
      </c>
      <c r="Q83" s="2"/>
      <c r="R83" s="7">
        <f t="shared" si="48"/>
        <v>7.8586906078031927E-4</v>
      </c>
      <c r="S83" s="2"/>
      <c r="T83" s="6">
        <v>980</v>
      </c>
      <c r="U83" s="2"/>
      <c r="V83" s="7">
        <f t="shared" si="49"/>
        <v>5.4994388327721656E-4</v>
      </c>
      <c r="W83" s="2"/>
      <c r="X83" s="6">
        <f t="shared" si="50"/>
        <v>890.41000000000008</v>
      </c>
      <c r="Y83" s="2"/>
      <c r="Z83" s="7">
        <f t="shared" si="51"/>
        <v>0.90858163265306136</v>
      </c>
    </row>
    <row r="84" spans="1:26" s="29" customFormat="1" outlineLevel="1" collapsed="1" x14ac:dyDescent="0.3">
      <c r="A84" s="28"/>
      <c r="B84" s="14" t="str">
        <f>CONCATENATE("     ","Telephone/Data Lines                              ")</f>
        <v xml:space="preserve">     Telephone/Data Lines                              </v>
      </c>
      <c r="C84" s="14"/>
      <c r="D84" s="1">
        <f>SUM(OSRRefD22_15x_0)</f>
        <v>309</v>
      </c>
      <c r="E84" s="1"/>
      <c r="F84" s="5">
        <f t="shared" ref="F84:F87" si="52">IF(D$12=0,0,D84/D$12)</f>
        <v>4.8291484776554833E-4</v>
      </c>
      <c r="G84" s="1"/>
      <c r="H84" s="1">
        <f>SUM(OSRRefH22_15x_0)</f>
        <v>218</v>
      </c>
      <c r="I84" s="1"/>
      <c r="J84" s="5">
        <f t="shared" ref="J84:J87" si="53">IF(H$12=0,0,H84/H$12)</f>
        <v>5.5050505050505052E-4</v>
      </c>
      <c r="K84" s="1"/>
      <c r="L84" s="1">
        <f t="shared" ref="L84:L87" si="54">+D84-H84</f>
        <v>91</v>
      </c>
      <c r="M84" s="1"/>
      <c r="N84" s="5">
        <f t="shared" ref="N84:N87" si="55">IF(H84=0,0,L84/H84)</f>
        <v>0.41743119266055045</v>
      </c>
      <c r="O84" s="14"/>
      <c r="P84" s="1">
        <f>SUM(OSRRefP22_15x_0)</f>
        <v>1603</v>
      </c>
      <c r="Q84" s="1"/>
      <c r="R84" s="5">
        <f t="shared" ref="R84:R87" si="56">IF(P$12=0,0,P84/P$12)</f>
        <v>6.7351441899415193E-4</v>
      </c>
      <c r="S84" s="1"/>
      <c r="T84" s="1">
        <f>SUM(OSRRefT22_15x_0)</f>
        <v>1090</v>
      </c>
      <c r="U84" s="1"/>
      <c r="V84" s="5">
        <f t="shared" ref="V84:V87" si="57">IF(T$12=0,0,T84/T$12)</f>
        <v>6.1167227833894505E-4</v>
      </c>
      <c r="W84" s="1"/>
      <c r="X84" s="1">
        <f t="shared" ref="X84:X87" si="58">+P84-T84</f>
        <v>513</v>
      </c>
      <c r="Y84" s="1"/>
      <c r="Z84" s="5">
        <f t="shared" ref="Z84:Z87" si="59">IF(T84=0,0,X84/T84)</f>
        <v>0.47064220183486238</v>
      </c>
    </row>
    <row r="85" spans="1:26" s="24" customFormat="1" hidden="1" outlineLevel="2" x14ac:dyDescent="0.3">
      <c r="A85" s="27"/>
      <c r="B85" s="11" t="str">
        <f>CONCATENATE("          ", "6309", " - ", "TELEPHONE")</f>
        <v xml:space="preserve">          6309 - TELEPHONE</v>
      </c>
      <c r="C85" s="11"/>
      <c r="D85" s="6">
        <v>309</v>
      </c>
      <c r="E85" s="2"/>
      <c r="F85" s="7">
        <f t="shared" si="52"/>
        <v>4.8291484776554833E-4</v>
      </c>
      <c r="G85" s="2"/>
      <c r="H85" s="6">
        <v>218</v>
      </c>
      <c r="I85" s="2"/>
      <c r="J85" s="7">
        <f t="shared" si="53"/>
        <v>5.5050505050505052E-4</v>
      </c>
      <c r="K85" s="2"/>
      <c r="L85" s="6">
        <f t="shared" si="54"/>
        <v>91</v>
      </c>
      <c r="M85" s="2"/>
      <c r="N85" s="7">
        <f t="shared" si="55"/>
        <v>0.41743119266055045</v>
      </c>
      <c r="O85" s="11"/>
      <c r="P85" s="6">
        <v>1603</v>
      </c>
      <c r="Q85" s="2"/>
      <c r="R85" s="7">
        <f t="shared" si="56"/>
        <v>6.7351441899415193E-4</v>
      </c>
      <c r="S85" s="2"/>
      <c r="T85" s="6">
        <v>1090</v>
      </c>
      <c r="U85" s="2"/>
      <c r="V85" s="7">
        <f t="shared" si="57"/>
        <v>6.1167227833894505E-4</v>
      </c>
      <c r="W85" s="2"/>
      <c r="X85" s="6">
        <f t="shared" si="58"/>
        <v>513</v>
      </c>
      <c r="Y85" s="2"/>
      <c r="Z85" s="7">
        <f t="shared" si="59"/>
        <v>0.47064220183486238</v>
      </c>
    </row>
    <row r="86" spans="1:26" s="29" customFormat="1" outlineLevel="1" collapsed="1" x14ac:dyDescent="0.3">
      <c r="A86" s="28"/>
      <c r="B86" s="14" t="str">
        <f>CONCATENATE("     ","Training                                          ")</f>
        <v xml:space="preserve">     Training                                          </v>
      </c>
      <c r="C86" s="14"/>
      <c r="D86" s="1">
        <f>SUM(OSRRefD22_16x_0)</f>
        <v>245</v>
      </c>
      <c r="E86" s="1"/>
      <c r="F86" s="5">
        <f t="shared" si="52"/>
        <v>3.8289364952284575E-4</v>
      </c>
      <c r="G86" s="1"/>
      <c r="H86" s="1">
        <f>SUM(OSRRefH22_16x_0)</f>
        <v>175</v>
      </c>
      <c r="I86" s="1"/>
      <c r="J86" s="5">
        <f t="shared" si="53"/>
        <v>4.4191919191919195E-4</v>
      </c>
      <c r="K86" s="1"/>
      <c r="L86" s="1">
        <f t="shared" si="54"/>
        <v>70</v>
      </c>
      <c r="M86" s="1"/>
      <c r="N86" s="5">
        <f t="shared" si="55"/>
        <v>0.4</v>
      </c>
      <c r="O86" s="14"/>
      <c r="P86" s="1">
        <f>SUM(OSRRefP22_16x_0)</f>
        <v>245</v>
      </c>
      <c r="Q86" s="1"/>
      <c r="R86" s="5">
        <f t="shared" si="56"/>
        <v>1.0293888499910619E-4</v>
      </c>
      <c r="S86" s="1"/>
      <c r="T86" s="1">
        <f>SUM(OSRRefT22_16x_0)</f>
        <v>875</v>
      </c>
      <c r="U86" s="1"/>
      <c r="V86" s="5">
        <f t="shared" si="57"/>
        <v>4.9102132435465773E-4</v>
      </c>
      <c r="W86" s="1"/>
      <c r="X86" s="1">
        <f t="shared" si="58"/>
        <v>-630</v>
      </c>
      <c r="Y86" s="1"/>
      <c r="Z86" s="5">
        <f t="shared" si="59"/>
        <v>-0.72</v>
      </c>
    </row>
    <row r="87" spans="1:26" s="24" customFormat="1" hidden="1" outlineLevel="2" x14ac:dyDescent="0.3">
      <c r="A87" s="27"/>
      <c r="B87" s="11" t="str">
        <f>CONCATENATE("          ", "6376", " - ", "TRAINING")</f>
        <v xml:space="preserve">          6376 - TRAINING</v>
      </c>
      <c r="C87" s="11"/>
      <c r="D87" s="6">
        <v>245</v>
      </c>
      <c r="E87" s="2"/>
      <c r="F87" s="7">
        <f t="shared" si="52"/>
        <v>3.8289364952284575E-4</v>
      </c>
      <c r="G87" s="2"/>
      <c r="H87" s="6">
        <v>175</v>
      </c>
      <c r="I87" s="2"/>
      <c r="J87" s="7">
        <f t="shared" si="53"/>
        <v>4.4191919191919195E-4</v>
      </c>
      <c r="K87" s="2"/>
      <c r="L87" s="6">
        <f t="shared" si="54"/>
        <v>70</v>
      </c>
      <c r="M87" s="2"/>
      <c r="N87" s="7">
        <f t="shared" si="55"/>
        <v>0.4</v>
      </c>
      <c r="O87" s="11"/>
      <c r="P87" s="6">
        <v>245</v>
      </c>
      <c r="Q87" s="2"/>
      <c r="R87" s="7">
        <f t="shared" si="56"/>
        <v>1.0293888499910619E-4</v>
      </c>
      <c r="S87" s="2"/>
      <c r="T87" s="6">
        <v>875</v>
      </c>
      <c r="U87" s="2"/>
      <c r="V87" s="7">
        <f t="shared" si="57"/>
        <v>4.9102132435465773E-4</v>
      </c>
      <c r="W87" s="2"/>
      <c r="X87" s="6">
        <f t="shared" si="58"/>
        <v>-630</v>
      </c>
      <c r="Y87" s="2"/>
      <c r="Z87" s="7">
        <f t="shared" si="59"/>
        <v>-0.72</v>
      </c>
    </row>
    <row r="88" spans="1:26" s="63" customFormat="1" x14ac:dyDescent="0.3">
      <c r="A88" s="36"/>
      <c r="B88" s="36"/>
      <c r="C88" s="36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6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3" customFormat="1" x14ac:dyDescent="0.3">
      <c r="A89" s="10"/>
      <c r="B89" s="25" t="s">
        <v>293</v>
      </c>
      <c r="C89" s="10"/>
      <c r="D89" s="4">
        <f>SUM(0)</f>
        <v>0</v>
      </c>
      <c r="E89" s="4"/>
      <c r="F89" s="12">
        <f>IF(D$12=0,0,D89/D$12)</f>
        <v>0</v>
      </c>
      <c r="G89" s="4"/>
      <c r="H89" s="4">
        <f>SUM(0)</f>
        <v>0</v>
      </c>
      <c r="I89" s="4"/>
      <c r="J89" s="12">
        <f>IF(H$12=0,0,H89/H$12)</f>
        <v>0</v>
      </c>
      <c r="K89" s="4"/>
      <c r="L89" s="4">
        <f>+D89-H89</f>
        <v>0</v>
      </c>
      <c r="M89" s="4"/>
      <c r="N89" s="12">
        <f>IF(H89=0,0,L89/H89)</f>
        <v>0</v>
      </c>
      <c r="O89" s="10"/>
      <c r="P89" s="4">
        <f>SUM(0)</f>
        <v>0</v>
      </c>
      <c r="Q89" s="4"/>
      <c r="R89" s="12">
        <f>IF(P$12=0,0,P89/P$12)</f>
        <v>0</v>
      </c>
      <c r="S89" s="4"/>
      <c r="T89" s="4">
        <f>SUM(0)</f>
        <v>0</v>
      </c>
      <c r="U89" s="4"/>
      <c r="V89" s="12">
        <f>IF(T$12=0,0,T89/T$12)</f>
        <v>0</v>
      </c>
      <c r="W89" s="4"/>
      <c r="X89" s="4">
        <f>+P89-T89</f>
        <v>0</v>
      </c>
      <c r="Y89" s="4"/>
      <c r="Z89" s="12">
        <f>IF(T89=0,0,X89/T89)</f>
        <v>0</v>
      </c>
    </row>
    <row r="90" spans="1:26" x14ac:dyDescent="0.3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3">
      <c r="A91" s="10"/>
      <c r="B91" s="26" t="s">
        <v>277</v>
      </c>
      <c r="C91" s="26"/>
      <c r="D91" s="20">
        <f>+D23-D25+D89</f>
        <v>320057.71000000002</v>
      </c>
      <c r="E91" s="13"/>
      <c r="F91" s="22">
        <f>IF(D$12=0,0,D91/D$12)</f>
        <v>0.50019618220336581</v>
      </c>
      <c r="G91" s="13"/>
      <c r="H91" s="20">
        <f>+H23-H25+H89</f>
        <v>82149.620308780053</v>
      </c>
      <c r="I91" s="13"/>
      <c r="J91" s="22">
        <f>IF(H$12=0,0,H91/H$12)</f>
        <v>0.20744853613328296</v>
      </c>
      <c r="K91" s="15"/>
      <c r="L91" s="20">
        <f>+D91-H91</f>
        <v>237908.08969121997</v>
      </c>
      <c r="M91" s="15"/>
      <c r="N91" s="22">
        <f>IF(H91=0,0,L91/H91)</f>
        <v>2.8960339536200221</v>
      </c>
      <c r="O91" s="25"/>
      <c r="P91" s="20">
        <f>+P23-P25+P89</f>
        <v>834704.22999999986</v>
      </c>
      <c r="Q91" s="13"/>
      <c r="R91" s="22">
        <f>IF(P$12=0,0,P91/P$12)</f>
        <v>0.35070825608260192</v>
      </c>
      <c r="S91" s="13"/>
      <c r="T91" s="20">
        <f>+T23-T25+T89</f>
        <v>272271.65569828986</v>
      </c>
      <c r="U91" s="13"/>
      <c r="V91" s="22">
        <f>IF(T$12=0,0,T91/T$12)</f>
        <v>0.15278993024595391</v>
      </c>
      <c r="W91" s="15"/>
      <c r="X91" s="20">
        <f>+P91-T91</f>
        <v>562432.57430171</v>
      </c>
      <c r="Y91" s="15"/>
      <c r="Z91" s="22">
        <f>IF(T91=0,0,X91/T91)</f>
        <v>2.0657037283563362</v>
      </c>
    </row>
    <row r="92" spans="1:26" x14ac:dyDescent="0.3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3">
      <c r="A93" s="52"/>
      <c r="B93" s="10" t="s">
        <v>128</v>
      </c>
      <c r="C93" s="10"/>
      <c r="D93" s="4">
        <v>82340.83</v>
      </c>
      <c r="E93" s="4"/>
      <c r="F93" s="12">
        <f>IF(D$12=0,0,D93/D$12)</f>
        <v>0.12868482001404175</v>
      </c>
      <c r="G93" s="4"/>
      <c r="H93" s="4">
        <v>63395</v>
      </c>
      <c r="I93" s="4"/>
      <c r="J93" s="12">
        <f>IF(H$12=0,0,H93/H$12)</f>
        <v>0.16008838383838384</v>
      </c>
      <c r="K93" s="4"/>
      <c r="L93" s="4">
        <f>+D93-H93</f>
        <v>18945.830000000002</v>
      </c>
      <c r="M93" s="4"/>
      <c r="N93" s="12">
        <f>IF(H93=0,0,L93/H93)</f>
        <v>0.29885369508636328</v>
      </c>
      <c r="O93" s="10"/>
      <c r="P93" s="4">
        <v>283492.26</v>
      </c>
      <c r="Q93" s="4"/>
      <c r="R93" s="12">
        <f>IF(P$12=0,0,P93/P$12)</f>
        <v>0.1191117434705172</v>
      </c>
      <c r="S93" s="4"/>
      <c r="T93" s="4">
        <v>222772</v>
      </c>
      <c r="U93" s="4"/>
      <c r="V93" s="12">
        <f>IF(T$12=0,0,T93/T$12)</f>
        <v>0.12501234567901234</v>
      </c>
      <c r="W93" s="4"/>
      <c r="X93" s="4">
        <f>+P93-T93</f>
        <v>60720.260000000009</v>
      </c>
      <c r="Y93" s="4"/>
      <c r="Z93" s="12">
        <f>IF(T93=0,0,X93/T93)</f>
        <v>0.27256683963873379</v>
      </c>
    </row>
    <row r="94" spans="1:26" x14ac:dyDescent="0.3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" thickBot="1" x14ac:dyDescent="0.35">
      <c r="A95" s="10"/>
      <c r="B95" s="26" t="s">
        <v>126</v>
      </c>
      <c r="C95" s="26"/>
      <c r="D95" s="33">
        <f>+D91-D93</f>
        <v>237716.88</v>
      </c>
      <c r="E95" s="13"/>
      <c r="F95" s="34">
        <f>IF(D$12=0,0,D95/D$12)</f>
        <v>0.37151136218932401</v>
      </c>
      <c r="G95" s="13"/>
      <c r="H95" s="33">
        <f>+H91-H93</f>
        <v>18754.620308780053</v>
      </c>
      <c r="I95" s="13"/>
      <c r="J95" s="34">
        <f>IF(H$12=0,0,H95/H$12)</f>
        <v>4.7360152294899122E-2</v>
      </c>
      <c r="K95" s="15"/>
      <c r="L95" s="33">
        <f>D95-H95</f>
        <v>218962.25969121995</v>
      </c>
      <c r="M95" s="15"/>
      <c r="N95" s="34">
        <f>IF(H95=0,0,L95/H95)</f>
        <v>11.675110244098724</v>
      </c>
      <c r="O95" s="25"/>
      <c r="P95" s="33">
        <f>+P91-P93</f>
        <v>551211.96999999986</v>
      </c>
      <c r="Q95" s="13"/>
      <c r="R95" s="34">
        <f>IF(P$12=0,0,P95/P$12)</f>
        <v>0.23159651261208475</v>
      </c>
      <c r="S95" s="13"/>
      <c r="T95" s="33">
        <f>+T91-T93</f>
        <v>49499.655698289862</v>
      </c>
      <c r="U95" s="13"/>
      <c r="V95" s="34">
        <f>IF(T$12=0,0,T95/T$12)</f>
        <v>2.7777584566941561E-2</v>
      </c>
      <c r="W95" s="15"/>
      <c r="X95" s="33">
        <f>P95-T95</f>
        <v>501712.31430170999</v>
      </c>
      <c r="Y95" s="15"/>
      <c r="Z95" s="34">
        <f>IF(T95=0,0,X95/T95)</f>
        <v>10.135672808710938</v>
      </c>
    </row>
    <row r="96" spans="1:26" ht="15" thickTop="1" x14ac:dyDescent="0.3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x14ac:dyDescent="0.3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" thickBot="1" x14ac:dyDescent="0.35">
      <c r="A98" s="10"/>
      <c r="B98" s="26" t="s">
        <v>294</v>
      </c>
      <c r="C98" s="26"/>
      <c r="D98" s="35">
        <f>SUM(D95:D97)</f>
        <v>237716.88</v>
      </c>
      <c r="E98" s="13"/>
      <c r="F98" s="32">
        <f>IF(D$12=0,0,D98/D$12)</f>
        <v>0.37151136218932401</v>
      </c>
      <c r="G98" s="13"/>
      <c r="H98" s="35">
        <f>SUM(H95:H97)</f>
        <v>18754.620308780053</v>
      </c>
      <c r="I98" s="13"/>
      <c r="J98" s="32">
        <f>IF(H$12=0,0,H98/H$12)</f>
        <v>4.7360152294899122E-2</v>
      </c>
      <c r="K98" s="15"/>
      <c r="L98" s="35">
        <f>+D98-H98</f>
        <v>218962.25969121995</v>
      </c>
      <c r="M98" s="15"/>
      <c r="N98" s="32">
        <f>IF(H98=0,0,L98/H98)</f>
        <v>11.675110244098724</v>
      </c>
      <c r="O98" s="25"/>
      <c r="P98" s="35">
        <f>SUM(P95:P97)</f>
        <v>551211.96999999986</v>
      </c>
      <c r="Q98" s="13"/>
      <c r="R98" s="32">
        <f>IF(P$12=0,0,P98/P$12)</f>
        <v>0.23159651261208475</v>
      </c>
      <c r="S98" s="13"/>
      <c r="T98" s="35">
        <f>SUM(T95:T97)</f>
        <v>49499.655698289862</v>
      </c>
      <c r="U98" s="13"/>
      <c r="V98" s="32">
        <f>IF(T$12=0,0,T98/T$12)</f>
        <v>2.7777584566941561E-2</v>
      </c>
      <c r="W98" s="15"/>
      <c r="X98" s="35">
        <f>+P98-T98</f>
        <v>501712.31430170999</v>
      </c>
      <c r="Y98" s="15"/>
      <c r="Z98" s="32">
        <f>IF(T98=0,0,X98/T98)</f>
        <v>10.135672808710938</v>
      </c>
    </row>
    <row r="99" spans="1:26" ht="15" thickTop="1" x14ac:dyDescent="0.3">
      <c r="A99" s="9"/>
      <c r="C99" s="9"/>
      <c r="D99" s="17"/>
      <c r="E99" s="17"/>
      <c r="G99" s="17"/>
      <c r="H99" s="17"/>
      <c r="I99" s="17"/>
      <c r="J99" s="42"/>
      <c r="K99" s="17"/>
      <c r="L99" s="17"/>
      <c r="M99" s="17"/>
      <c r="P99" s="17"/>
      <c r="Q99" s="17"/>
      <c r="R99" s="42"/>
      <c r="S99" s="17"/>
      <c r="T99" s="17"/>
      <c r="U99" s="17"/>
      <c r="V99" s="42"/>
      <c r="W99" s="17"/>
      <c r="X99" s="17"/>
    </row>
    <row r="100" spans="1:26" x14ac:dyDescent="0.3">
      <c r="A100" s="9"/>
      <c r="B100" s="60">
        <v>44543.753113078703</v>
      </c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  <row r="101" spans="1:26" x14ac:dyDescent="0.3">
      <c r="A101" s="9"/>
      <c r="B101" s="58" t="s">
        <v>56</v>
      </c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  <row r="102" spans="1:26" x14ac:dyDescent="0.3">
      <c r="A102" s="9"/>
      <c r="B102" s="55"/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  <row r="103" spans="1:26" x14ac:dyDescent="0.3"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92D050"/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","450", " - ", "Beachside Dining Hall")</f>
        <v>Department 450 - Beachside Dining Hall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231129.65</v>
      </c>
      <c r="E12" s="4"/>
      <c r="F12" s="12"/>
      <c r="G12" s="4"/>
      <c r="H12" s="4">
        <f>SUM(OSRRefH13x_0)</f>
        <v>86400</v>
      </c>
      <c r="I12" s="4"/>
      <c r="J12" s="12"/>
      <c r="K12" s="4"/>
      <c r="L12" s="4">
        <f t="shared" ref="L12:L16" si="0">+D12-H12</f>
        <v>144729.65</v>
      </c>
      <c r="M12" s="4"/>
      <c r="N12" s="12">
        <f t="shared" ref="N12:N16" si="1">IF(H12=0,0,L12/H12)</f>
        <v>1.6751116898148148</v>
      </c>
      <c r="O12" s="10"/>
      <c r="P12" s="4">
        <f>SUM(OSRRefP13x_0)</f>
        <v>724300.22999999986</v>
      </c>
      <c r="Q12" s="4"/>
      <c r="R12" s="12"/>
      <c r="S12" s="4"/>
      <c r="T12" s="4">
        <f>SUM(OSRRefT13x_0)</f>
        <v>388800</v>
      </c>
      <c r="U12" s="4"/>
      <c r="V12" s="12"/>
      <c r="W12" s="4"/>
      <c r="X12" s="4">
        <f t="shared" ref="X12:X16" si="2">+P12-T12</f>
        <v>335500.22999999986</v>
      </c>
      <c r="Y12" s="4"/>
      <c r="Z12" s="12">
        <f t="shared" ref="Z12:Z16" si="3">IF(T12=0,0,X12/T12)</f>
        <v>0.86291211419753056</v>
      </c>
    </row>
    <row r="13" spans="1:26" s="24" customFormat="1" hidden="1" outlineLevel="1" x14ac:dyDescent="0.3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--35.12</f>
        <v>35.119999999999997</v>
      </c>
      <c r="E13" s="2"/>
      <c r="F13" s="19"/>
      <c r="G13" s="2"/>
      <c r="H13" s="2"/>
      <c r="I13" s="2"/>
      <c r="J13" s="19"/>
      <c r="K13" s="2"/>
      <c r="L13" s="2">
        <f t="shared" si="0"/>
        <v>35.119999999999997</v>
      </c>
      <c r="M13" s="2"/>
      <c r="N13" s="19">
        <f t="shared" si="1"/>
        <v>0</v>
      </c>
      <c r="O13" s="11"/>
      <c r="P13" s="2">
        <f>--109.07</f>
        <v>109.07</v>
      </c>
      <c r="Q13" s="2"/>
      <c r="R13" s="19"/>
      <c r="S13" s="2"/>
      <c r="T13" s="2"/>
      <c r="U13" s="2"/>
      <c r="V13" s="19"/>
      <c r="W13" s="2"/>
      <c r="X13" s="2">
        <f t="shared" si="2"/>
        <v>109.07</v>
      </c>
      <c r="Y13" s="2"/>
      <c r="Z13" s="19">
        <f t="shared" si="3"/>
        <v>0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86400</v>
      </c>
      <c r="I14" s="2"/>
      <c r="J14" s="19"/>
      <c r="K14" s="2"/>
      <c r="L14" s="2">
        <f t="shared" si="0"/>
        <v>-86400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388800</v>
      </c>
      <c r="U14" s="2"/>
      <c r="V14" s="19"/>
      <c r="W14" s="2"/>
      <c r="X14" s="2">
        <f t="shared" si="2"/>
        <v>-388800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--230179.05</f>
        <v>230179.05</v>
      </c>
      <c r="E15" s="2"/>
      <c r="F15" s="19"/>
      <c r="G15" s="2"/>
      <c r="H15" s="2"/>
      <c r="I15" s="2"/>
      <c r="J15" s="19"/>
      <c r="K15" s="2"/>
      <c r="L15" s="2">
        <f t="shared" si="0"/>
        <v>230179.05</v>
      </c>
      <c r="M15" s="2"/>
      <c r="N15" s="19">
        <f t="shared" si="1"/>
        <v>0</v>
      </c>
      <c r="O15" s="11"/>
      <c r="P15" s="2">
        <f>--720640.72</f>
        <v>720640.72</v>
      </c>
      <c r="Q15" s="2"/>
      <c r="R15" s="19"/>
      <c r="S15" s="2"/>
      <c r="T15" s="2"/>
      <c r="U15" s="2"/>
      <c r="V15" s="19"/>
      <c r="W15" s="2"/>
      <c r="X15" s="2">
        <f t="shared" si="2"/>
        <v>720640.72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--915.48</f>
        <v>915.48</v>
      </c>
      <c r="E16" s="2"/>
      <c r="F16" s="19"/>
      <c r="G16" s="2"/>
      <c r="H16" s="2"/>
      <c r="I16" s="2"/>
      <c r="J16" s="19"/>
      <c r="K16" s="2"/>
      <c r="L16" s="2">
        <f t="shared" si="0"/>
        <v>915.48</v>
      </c>
      <c r="M16" s="2"/>
      <c r="N16" s="19">
        <f t="shared" si="1"/>
        <v>0</v>
      </c>
      <c r="O16" s="11"/>
      <c r="P16" s="2">
        <f>--3550.44</f>
        <v>3550.44</v>
      </c>
      <c r="Q16" s="2"/>
      <c r="R16" s="19"/>
      <c r="S16" s="2"/>
      <c r="T16" s="2"/>
      <c r="U16" s="2"/>
      <c r="V16" s="19"/>
      <c r="W16" s="2"/>
      <c r="X16" s="2">
        <f t="shared" si="2"/>
        <v>3550.44</v>
      </c>
      <c r="Y16" s="2"/>
      <c r="Z16" s="19">
        <f t="shared" si="3"/>
        <v>0</v>
      </c>
    </row>
    <row r="17" spans="1:26" x14ac:dyDescent="0.3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">
      <c r="A18" s="10"/>
      <c r="B18" s="25" t="s">
        <v>257</v>
      </c>
      <c r="C18" s="10"/>
      <c r="D18" s="4">
        <f>SUM(OSRRefD16x_0)</f>
        <v>42969.06</v>
      </c>
      <c r="E18" s="4"/>
      <c r="F18" s="12">
        <f t="shared" ref="F18:F21" si="4">IF(D$12=0,0,D18/D$12)</f>
        <v>0.1859089043746659</v>
      </c>
      <c r="G18" s="4"/>
      <c r="H18" s="4">
        <f>SUM(OSRRefH16x_0)</f>
        <v>20736</v>
      </c>
      <c r="I18" s="4"/>
      <c r="J18" s="12">
        <f t="shared" ref="J18:J21" si="5">IF(H$12=0,0,H18/H$12)</f>
        <v>0.24</v>
      </c>
      <c r="K18" s="4"/>
      <c r="L18" s="4">
        <f t="shared" ref="L18:L21" si="6">+D18-H18</f>
        <v>22233.059999999998</v>
      </c>
      <c r="M18" s="4"/>
      <c r="N18" s="12">
        <f t="shared" ref="N18:N21" si="7">IF(H18=0,0,L18/H18)</f>
        <v>1.0721961805555555</v>
      </c>
      <c r="O18" s="10"/>
      <c r="P18" s="4">
        <f>SUM(OSRRefP16x_0)</f>
        <v>204496.03</v>
      </c>
      <c r="Q18" s="4"/>
      <c r="R18" s="12">
        <f t="shared" ref="R18:R21" si="8">IF(P$12=0,0,P18/P$12)</f>
        <v>0.28233600036272255</v>
      </c>
      <c r="S18" s="4"/>
      <c r="T18" s="4">
        <f>SUM(OSRRefT16x_0)</f>
        <v>109618</v>
      </c>
      <c r="U18" s="4"/>
      <c r="V18" s="12">
        <f t="shared" ref="V18:V21" si="9">IF(T$12=0,0,T18/T$12)</f>
        <v>0.28193930041152265</v>
      </c>
      <c r="W18" s="4"/>
      <c r="X18" s="4">
        <f t="shared" ref="X18:X21" si="10">+P18-T18</f>
        <v>94878.03</v>
      </c>
      <c r="Y18" s="4"/>
      <c r="Z18" s="12">
        <f t="shared" ref="Z18:Z21" si="11">IF(T18=0,0,X18/T18)</f>
        <v>0.86553330657373784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20736</v>
      </c>
      <c r="I19" s="2"/>
      <c r="J19" s="19">
        <f t="shared" si="5"/>
        <v>0.24</v>
      </c>
      <c r="K19" s="2"/>
      <c r="L19" s="2">
        <f t="shared" si="6"/>
        <v>-20736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109618</v>
      </c>
      <c r="U19" s="2"/>
      <c r="V19" s="19">
        <f t="shared" si="9"/>
        <v>0.28193930041152265</v>
      </c>
      <c r="W19" s="2"/>
      <c r="X19" s="2">
        <f t="shared" si="10"/>
        <v>-109618</v>
      </c>
      <c r="Y19" s="2"/>
      <c r="Z19" s="19">
        <f t="shared" si="11"/>
        <v>-1</v>
      </c>
    </row>
    <row r="20" spans="1:26" s="24" customFormat="1" hidden="1" outlineLevel="1" x14ac:dyDescent="0.3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43314.06</v>
      </c>
      <c r="E20" s="2"/>
      <c r="F20" s="19">
        <f t="shared" si="4"/>
        <v>0.18740157309977321</v>
      </c>
      <c r="G20" s="2"/>
      <c r="H20" s="2"/>
      <c r="I20" s="2"/>
      <c r="J20" s="19">
        <f t="shared" si="5"/>
        <v>0</v>
      </c>
      <c r="K20" s="2"/>
      <c r="L20" s="2">
        <f t="shared" si="6"/>
        <v>43314.06</v>
      </c>
      <c r="M20" s="2"/>
      <c r="N20" s="19">
        <f t="shared" si="7"/>
        <v>0</v>
      </c>
      <c r="O20" s="11"/>
      <c r="P20" s="2">
        <v>223340.09</v>
      </c>
      <c r="Q20" s="2"/>
      <c r="R20" s="19">
        <f t="shared" si="8"/>
        <v>0.30835291878893928</v>
      </c>
      <c r="S20" s="2"/>
      <c r="T20" s="2"/>
      <c r="U20" s="2"/>
      <c r="V20" s="19">
        <f t="shared" si="9"/>
        <v>0</v>
      </c>
      <c r="W20" s="2"/>
      <c r="X20" s="2">
        <f t="shared" si="10"/>
        <v>223340.09</v>
      </c>
      <c r="Y20" s="2"/>
      <c r="Z20" s="19">
        <f t="shared" si="11"/>
        <v>0</v>
      </c>
    </row>
    <row r="21" spans="1:26" s="24" customFormat="1" hidden="1" outlineLevel="1" x14ac:dyDescent="0.3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-345</v>
      </c>
      <c r="E21" s="2"/>
      <c r="F21" s="19">
        <f t="shared" si="4"/>
        <v>-1.4926687251073153E-3</v>
      </c>
      <c r="G21" s="2"/>
      <c r="H21" s="2"/>
      <c r="I21" s="2"/>
      <c r="J21" s="19">
        <f t="shared" si="5"/>
        <v>0</v>
      </c>
      <c r="K21" s="2"/>
      <c r="L21" s="2">
        <f t="shared" si="6"/>
        <v>-345</v>
      </c>
      <c r="M21" s="2"/>
      <c r="N21" s="19">
        <f t="shared" si="7"/>
        <v>0</v>
      </c>
      <c r="O21" s="11"/>
      <c r="P21" s="2">
        <v>-18844.060000000001</v>
      </c>
      <c r="Q21" s="2"/>
      <c r="R21" s="19">
        <f t="shared" si="8"/>
        <v>-2.6016918426216715E-2</v>
      </c>
      <c r="S21" s="2"/>
      <c r="T21" s="2"/>
      <c r="U21" s="2"/>
      <c r="V21" s="19">
        <f t="shared" si="9"/>
        <v>0</v>
      </c>
      <c r="W21" s="2"/>
      <c r="X21" s="2">
        <f t="shared" si="10"/>
        <v>-18844.060000000001</v>
      </c>
      <c r="Y21" s="2"/>
      <c r="Z21" s="19">
        <f t="shared" si="11"/>
        <v>0</v>
      </c>
    </row>
    <row r="22" spans="1:26" x14ac:dyDescent="0.3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3">
      <c r="A23" s="10"/>
      <c r="B23" s="26" t="s">
        <v>108</v>
      </c>
      <c r="C23" s="26"/>
      <c r="D23" s="20">
        <f>D12-D18</f>
        <v>188160.59</v>
      </c>
      <c r="E23" s="13"/>
      <c r="F23" s="22">
        <f>IF(D$12=0,0,D23/D$12)</f>
        <v>0.8140910956253341</v>
      </c>
      <c r="G23" s="13"/>
      <c r="H23" s="20">
        <f>H12-H18</f>
        <v>65664</v>
      </c>
      <c r="I23" s="13"/>
      <c r="J23" s="22">
        <f>IF(H$12=0,0,H23/H$12)</f>
        <v>0.76</v>
      </c>
      <c r="K23" s="15"/>
      <c r="L23" s="20">
        <f>+D23-H23</f>
        <v>122496.59</v>
      </c>
      <c r="M23" s="15"/>
      <c r="N23" s="22">
        <f>IF(H23=0,0,L23/H23)</f>
        <v>1.865506061159844</v>
      </c>
      <c r="O23" s="25"/>
      <c r="P23" s="20">
        <f>P12-P18</f>
        <v>519804.19999999984</v>
      </c>
      <c r="Q23" s="13"/>
      <c r="R23" s="22">
        <f>IF(P$12=0,0,P23/P$12)</f>
        <v>0.71766399963727745</v>
      </c>
      <c r="S23" s="13"/>
      <c r="T23" s="20">
        <f>T12-T18</f>
        <v>279182</v>
      </c>
      <c r="U23" s="13"/>
      <c r="V23" s="22">
        <f>IF(T$12=0,0,T23/T$12)</f>
        <v>0.7180606995884774</v>
      </c>
      <c r="W23" s="15"/>
      <c r="X23" s="20">
        <f>+P23-T23</f>
        <v>240622.19999999984</v>
      </c>
      <c r="Y23" s="15"/>
      <c r="Z23" s="22">
        <f>IF(T23=0,0,X23/T23)</f>
        <v>0.8618829294152196</v>
      </c>
    </row>
    <row r="24" spans="1:26" x14ac:dyDescent="0.3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">
      <c r="A25" s="10"/>
      <c r="B25" s="25" t="s">
        <v>295</v>
      </c>
      <c r="C25" s="10"/>
      <c r="D25" s="21">
        <f>SUM(OSRRefD22x_0)</f>
        <v>119707.03000000003</v>
      </c>
      <c r="E25" s="21"/>
      <c r="F25" s="30">
        <f t="shared" ref="F25:F36" si="12">IF(D$12=0,0,D25/D$12)</f>
        <v>0.51792156480140061</v>
      </c>
      <c r="G25" s="21"/>
      <c r="H25" s="21">
        <f>SUM(OSRRefH22x_0)</f>
        <v>119486.12699692309</v>
      </c>
      <c r="I25" s="21"/>
      <c r="J25" s="30">
        <f t="shared" ref="J25:J36" si="13">IF(H$12=0,0,H25/H$12)</f>
        <v>1.3829412846866098</v>
      </c>
      <c r="K25" s="4"/>
      <c r="L25" s="21">
        <f t="shared" ref="L25:L36" si="14">+D25-H25</f>
        <v>220.90300307693542</v>
      </c>
      <c r="M25" s="4"/>
      <c r="N25" s="30">
        <f t="shared" ref="N25:N36" si="15">IF(H25=0,0,L25/H25)</f>
        <v>1.8487753233697494E-3</v>
      </c>
      <c r="O25" s="10"/>
      <c r="P25" s="21">
        <f>SUM(OSRRefP22x_0)</f>
        <v>554935.78999999992</v>
      </c>
      <c r="Q25" s="21"/>
      <c r="R25" s="30">
        <f t="shared" ref="R25:R36" si="16">IF(P$12=0,0,P25/P$12)</f>
        <v>0.76616818139074738</v>
      </c>
      <c r="S25" s="21"/>
      <c r="T25" s="21">
        <f>SUM(OSRRefT22x_0)</f>
        <v>591902.1619830773</v>
      </c>
      <c r="U25" s="21"/>
      <c r="V25" s="30">
        <f t="shared" ref="V25:V36" si="17">IF(T$12=0,0,T25/T$12)</f>
        <v>1.5223821038659395</v>
      </c>
      <c r="W25" s="4"/>
      <c r="X25" s="21">
        <f t="shared" ref="X25:X36" si="18">+P25-T25</f>
        <v>-36966.371983077377</v>
      </c>
      <c r="Y25" s="4"/>
      <c r="Z25" s="30">
        <f t="shared" ref="Z25:Z36" si="19">IF(T25=0,0,X25/T25)</f>
        <v>-6.2453517417857075E-2</v>
      </c>
    </row>
    <row r="26" spans="1:26" s="29" customFormat="1" outlineLevel="1" collapsed="1" x14ac:dyDescent="0.3">
      <c r="A26" s="28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23035.47</v>
      </c>
      <c r="E26" s="1"/>
      <c r="F26" s="5">
        <f t="shared" si="12"/>
        <v>9.9664711991732782E-2</v>
      </c>
      <c r="G26" s="1"/>
      <c r="H26" s="1">
        <f>SUM(OSRRefH22_0x_0)</f>
        <v>30096.531612307725</v>
      </c>
      <c r="I26" s="1"/>
      <c r="J26" s="5">
        <f t="shared" si="13"/>
        <v>0.34833948625356165</v>
      </c>
      <c r="K26" s="1"/>
      <c r="L26" s="1">
        <f t="shared" si="14"/>
        <v>-7061.0616123077234</v>
      </c>
      <c r="M26" s="1"/>
      <c r="N26" s="5">
        <f t="shared" si="15"/>
        <v>-0.23461379880132638</v>
      </c>
      <c r="O26" s="14"/>
      <c r="P26" s="1">
        <f>SUM(OSRRefP22_0x_0)</f>
        <v>113374.34000000001</v>
      </c>
      <c r="Q26" s="1"/>
      <c r="R26" s="5">
        <f t="shared" si="16"/>
        <v>0.15652948225627381</v>
      </c>
      <c r="S26" s="1"/>
      <c r="T26" s="1">
        <f>SUM(OSRRefT22_0x_0)</f>
        <v>160866.93736769274</v>
      </c>
      <c r="U26" s="1"/>
      <c r="V26" s="5">
        <f t="shared" si="17"/>
        <v>0.41375241092513565</v>
      </c>
      <c r="W26" s="1"/>
      <c r="X26" s="1">
        <f t="shared" si="18"/>
        <v>-47492.597367692724</v>
      </c>
      <c r="Y26" s="1"/>
      <c r="Z26" s="5">
        <f t="shared" si="19"/>
        <v>-0.29522907655747271</v>
      </c>
    </row>
    <row r="27" spans="1:26" s="24" customFormat="1" hidden="1" outlineLevel="2" x14ac:dyDescent="0.3">
      <c r="A27" s="27"/>
      <c r="B27" s="11" t="str">
        <f>CONCATENATE("          ", "6111", " - ", "F.I.C.A.")</f>
        <v xml:space="preserve">          6111 - F.I.C.A.</v>
      </c>
      <c r="C27" s="11"/>
      <c r="D27" s="6">
        <v>2980.93</v>
      </c>
      <c r="E27" s="2"/>
      <c r="F27" s="7">
        <f t="shared" si="12"/>
        <v>1.2897220239809128E-2</v>
      </c>
      <c r="G27" s="2"/>
      <c r="H27" s="6">
        <v>2633.9977661538501</v>
      </c>
      <c r="I27" s="2"/>
      <c r="J27" s="7">
        <f t="shared" si="13"/>
        <v>3.0486085256410302E-2</v>
      </c>
      <c r="K27" s="2"/>
      <c r="L27" s="6">
        <f t="shared" si="14"/>
        <v>346.93223384614976</v>
      </c>
      <c r="M27" s="2"/>
      <c r="N27" s="7">
        <f t="shared" si="15"/>
        <v>0.1317131845380182</v>
      </c>
      <c r="O27" s="11"/>
      <c r="P27" s="6">
        <v>15736.99</v>
      </c>
      <c r="Q27" s="2"/>
      <c r="R27" s="7">
        <f t="shared" si="16"/>
        <v>2.1727164162297731E-2</v>
      </c>
      <c r="S27" s="2"/>
      <c r="T27" s="6">
        <v>15478.0512138462</v>
      </c>
      <c r="U27" s="2"/>
      <c r="V27" s="7">
        <f t="shared" si="17"/>
        <v>3.9809802504748457E-2</v>
      </c>
      <c r="W27" s="2"/>
      <c r="X27" s="6">
        <f t="shared" si="18"/>
        <v>258.93878615379981</v>
      </c>
      <c r="Y27" s="2"/>
      <c r="Z27" s="7">
        <f t="shared" si="19"/>
        <v>1.672941784313008E-2</v>
      </c>
    </row>
    <row r="28" spans="1:26" s="24" customFormat="1" hidden="1" outlineLevel="2" x14ac:dyDescent="0.3">
      <c r="A28" s="27"/>
      <c r="B28" s="11" t="str">
        <f>CONCATENATE("          ", "6112", " - ", "COMPENSATION INSURANCE")</f>
        <v xml:space="preserve">          6112 - COMPENSATION INSURANCE</v>
      </c>
      <c r="C28" s="11"/>
      <c r="D28" s="6">
        <v>2384.36</v>
      </c>
      <c r="E28" s="2"/>
      <c r="F28" s="7">
        <f t="shared" si="12"/>
        <v>1.0316114786657619E-2</v>
      </c>
      <c r="G28" s="2"/>
      <c r="H28" s="6">
        <v>2666.18336923077</v>
      </c>
      <c r="I28" s="2"/>
      <c r="J28" s="7">
        <f t="shared" si="13"/>
        <v>3.085860381054132E-2</v>
      </c>
      <c r="K28" s="2"/>
      <c r="L28" s="6">
        <f t="shared" si="14"/>
        <v>-281.82336923076991</v>
      </c>
      <c r="M28" s="2"/>
      <c r="N28" s="7">
        <f t="shared" si="15"/>
        <v>-0.10570292069299035</v>
      </c>
      <c r="O28" s="11"/>
      <c r="P28" s="6">
        <v>9861.9</v>
      </c>
      <c r="Q28" s="2"/>
      <c r="R28" s="7">
        <f t="shared" si="16"/>
        <v>1.3615762623739609E-2</v>
      </c>
      <c r="S28" s="2"/>
      <c r="T28" s="6">
        <v>12658.5300307692</v>
      </c>
      <c r="U28" s="2"/>
      <c r="V28" s="7">
        <f t="shared" si="17"/>
        <v>3.2557947610003087E-2</v>
      </c>
      <c r="W28" s="2"/>
      <c r="X28" s="6">
        <f t="shared" si="18"/>
        <v>-2796.6300307691999</v>
      </c>
      <c r="Y28" s="2"/>
      <c r="Z28" s="7">
        <f t="shared" si="19"/>
        <v>-0.220928498330486</v>
      </c>
    </row>
    <row r="29" spans="1:26" s="24" customFormat="1" hidden="1" outlineLevel="2" x14ac:dyDescent="0.3">
      <c r="A29" s="27"/>
      <c r="B29" s="11" t="str">
        <f>CONCATENATE("          ", "6113", " - ", "GROUP INSURANCE")</f>
        <v xml:space="preserve">          6113 - GROUP INSURANCE</v>
      </c>
      <c r="C29" s="11"/>
      <c r="D29" s="6">
        <v>11954.18</v>
      </c>
      <c r="E29" s="2"/>
      <c r="F29" s="7">
        <f t="shared" si="12"/>
        <v>5.1720668464647443E-2</v>
      </c>
      <c r="G29" s="2"/>
      <c r="H29" s="6">
        <v>18578.538461538501</v>
      </c>
      <c r="I29" s="2"/>
      <c r="J29" s="7">
        <f t="shared" si="13"/>
        <v>0.21502938034188079</v>
      </c>
      <c r="K29" s="2"/>
      <c r="L29" s="6">
        <f t="shared" si="14"/>
        <v>-6624.3584615385007</v>
      </c>
      <c r="M29" s="2"/>
      <c r="N29" s="7">
        <f t="shared" si="15"/>
        <v>-0.35655971944468734</v>
      </c>
      <c r="O29" s="11"/>
      <c r="P29" s="6">
        <v>59544.87</v>
      </c>
      <c r="Q29" s="2"/>
      <c r="R29" s="7">
        <f t="shared" si="16"/>
        <v>8.2210204461760306E-2</v>
      </c>
      <c r="S29" s="2"/>
      <c r="T29" s="6">
        <v>101193.461538462</v>
      </c>
      <c r="U29" s="2"/>
      <c r="V29" s="7">
        <f t="shared" si="17"/>
        <v>0.26027124881291663</v>
      </c>
      <c r="W29" s="2"/>
      <c r="X29" s="6">
        <f t="shared" si="18"/>
        <v>-41648.591538461995</v>
      </c>
      <c r="Y29" s="2"/>
      <c r="Z29" s="7">
        <f t="shared" si="19"/>
        <v>-0.41157393872362041</v>
      </c>
    </row>
    <row r="30" spans="1:26" s="24" customFormat="1" hidden="1" outlineLevel="2" x14ac:dyDescent="0.3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172.2</v>
      </c>
      <c r="E30" s="2"/>
      <c r="F30" s="7">
        <f t="shared" si="12"/>
        <v>7.4503638974921643E-4</v>
      </c>
      <c r="G30" s="2"/>
      <c r="H30" s="6">
        <v>147.73047692307699</v>
      </c>
      <c r="I30" s="2"/>
      <c r="J30" s="7">
        <f t="shared" si="13"/>
        <v>1.7098434829059836E-3</v>
      </c>
      <c r="K30" s="2"/>
      <c r="L30" s="6">
        <f t="shared" si="14"/>
        <v>24.469523076922997</v>
      </c>
      <c r="M30" s="2"/>
      <c r="N30" s="7">
        <f t="shared" si="15"/>
        <v>0.16563625588012035</v>
      </c>
      <c r="O30" s="11"/>
      <c r="P30" s="6">
        <v>712.25</v>
      </c>
      <c r="Q30" s="2"/>
      <c r="R30" s="7">
        <f t="shared" si="16"/>
        <v>9.8336293500831859E-4</v>
      </c>
      <c r="S30" s="2"/>
      <c r="T30" s="6">
        <v>701.396123076923</v>
      </c>
      <c r="U30" s="2"/>
      <c r="V30" s="7">
        <f t="shared" si="17"/>
        <v>1.8040023741690407E-3</v>
      </c>
      <c r="W30" s="2"/>
      <c r="X30" s="6">
        <f t="shared" si="18"/>
        <v>10.853876923076996</v>
      </c>
      <c r="Y30" s="2"/>
      <c r="Z30" s="7">
        <f t="shared" si="19"/>
        <v>1.5474674817794278E-2</v>
      </c>
    </row>
    <row r="31" spans="1:26" s="24" customFormat="1" hidden="1" outlineLevel="2" x14ac:dyDescent="0.3">
      <c r="A31" s="27"/>
      <c r="B31" s="11" t="str">
        <f>CONCATENATE("          ", "6115", " - ", "P.E.R.S.")</f>
        <v xml:space="preserve">          6115 - P.E.R.S.</v>
      </c>
      <c r="C31" s="11"/>
      <c r="D31" s="6">
        <v>397.02</v>
      </c>
      <c r="E31" s="2"/>
      <c r="F31" s="7">
        <f t="shared" si="12"/>
        <v>1.7177372093974096E-3</v>
      </c>
      <c r="G31" s="2"/>
      <c r="H31" s="6">
        <v>408.83076923076902</v>
      </c>
      <c r="I31" s="2"/>
      <c r="J31" s="7">
        <f t="shared" si="13"/>
        <v>4.7318376068376045E-3</v>
      </c>
      <c r="K31" s="2"/>
      <c r="L31" s="6">
        <f t="shared" si="14"/>
        <v>-11.81076923076904</v>
      </c>
      <c r="M31" s="2"/>
      <c r="N31" s="7">
        <f t="shared" si="15"/>
        <v>-2.888913976066787E-2</v>
      </c>
      <c r="O31" s="11"/>
      <c r="P31" s="6">
        <v>3002.49</v>
      </c>
      <c r="Q31" s="2"/>
      <c r="R31" s="7">
        <f t="shared" si="16"/>
        <v>4.1453666251079343E-3</v>
      </c>
      <c r="S31" s="2"/>
      <c r="T31" s="6">
        <v>2248.5692307692302</v>
      </c>
      <c r="U31" s="2"/>
      <c r="V31" s="7">
        <f t="shared" si="17"/>
        <v>5.7833570750237401E-3</v>
      </c>
      <c r="W31" s="2"/>
      <c r="X31" s="6">
        <f t="shared" si="18"/>
        <v>753.92076923076957</v>
      </c>
      <c r="Y31" s="2"/>
      <c r="Z31" s="7">
        <f t="shared" si="19"/>
        <v>0.335289106919272</v>
      </c>
    </row>
    <row r="32" spans="1:26" s="24" customFormat="1" hidden="1" outlineLevel="2" x14ac:dyDescent="0.3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3">
      <c r="A33" s="27"/>
      <c r="B33" s="11" t="str">
        <f>CONCATENATE("          ", "6117", " - ", "RETIREMENT STAFF HOURLY")</f>
        <v xml:space="preserve">          6117 - RETIREMENT STAFF HOURLY</v>
      </c>
      <c r="C33" s="11"/>
      <c r="D33" s="6">
        <v>873.9</v>
      </c>
      <c r="E33" s="2"/>
      <c r="F33" s="7">
        <f t="shared" si="12"/>
        <v>3.7809947793370517E-3</v>
      </c>
      <c r="G33" s="2"/>
      <c r="H33" s="6"/>
      <c r="I33" s="2"/>
      <c r="J33" s="7">
        <f t="shared" si="13"/>
        <v>0</v>
      </c>
      <c r="K33" s="2"/>
      <c r="L33" s="6">
        <f t="shared" si="14"/>
        <v>873.9</v>
      </c>
      <c r="M33" s="2"/>
      <c r="N33" s="7">
        <f t="shared" si="15"/>
        <v>0</v>
      </c>
      <c r="O33" s="11"/>
      <c r="P33" s="6">
        <v>3757.83</v>
      </c>
      <c r="Q33" s="2"/>
      <c r="R33" s="7">
        <f t="shared" si="16"/>
        <v>5.1882214644609469E-3</v>
      </c>
      <c r="S33" s="2"/>
      <c r="T33" s="6"/>
      <c r="U33" s="2"/>
      <c r="V33" s="7">
        <f t="shared" si="17"/>
        <v>0</v>
      </c>
      <c r="W33" s="2"/>
      <c r="X33" s="6">
        <f t="shared" si="18"/>
        <v>3757.83</v>
      </c>
      <c r="Y33" s="2"/>
      <c r="Z33" s="7">
        <f t="shared" si="19"/>
        <v>0</v>
      </c>
    </row>
    <row r="34" spans="1:26" s="24" customFormat="1" hidden="1" outlineLevel="2" x14ac:dyDescent="0.3">
      <c r="A34" s="27"/>
      <c r="B34" s="11" t="str">
        <f>CONCATENATE("          ", "6118", " - ", "VACATION")</f>
        <v xml:space="preserve">          6118 - VACATION</v>
      </c>
      <c r="C34" s="11"/>
      <c r="D34" s="6">
        <v>1599.52</v>
      </c>
      <c r="E34" s="2"/>
      <c r="F34" s="7">
        <f t="shared" si="12"/>
        <v>6.9204448671989945E-3</v>
      </c>
      <c r="G34" s="2"/>
      <c r="H34" s="6">
        <v>1625.81538461538</v>
      </c>
      <c r="I34" s="2"/>
      <c r="J34" s="7">
        <f t="shared" si="13"/>
        <v>1.881730769230764E-2</v>
      </c>
      <c r="K34" s="2"/>
      <c r="L34" s="6">
        <f t="shared" si="14"/>
        <v>-26.295384615380044</v>
      </c>
      <c r="M34" s="2"/>
      <c r="N34" s="7">
        <f t="shared" si="15"/>
        <v>-1.6173659607484129E-2</v>
      </c>
      <c r="O34" s="11"/>
      <c r="P34" s="6">
        <v>8218.23</v>
      </c>
      <c r="Q34" s="2"/>
      <c r="R34" s="7">
        <f t="shared" si="16"/>
        <v>1.1346441240257512E-2</v>
      </c>
      <c r="S34" s="2"/>
      <c r="T34" s="6">
        <v>8941.9846153845992</v>
      </c>
      <c r="U34" s="2"/>
      <c r="V34" s="7">
        <f t="shared" si="17"/>
        <v>2.2998931623931584E-2</v>
      </c>
      <c r="W34" s="2"/>
      <c r="X34" s="6">
        <f t="shared" si="18"/>
        <v>-723.75461538459967</v>
      </c>
      <c r="Y34" s="2"/>
      <c r="Z34" s="7">
        <f t="shared" si="19"/>
        <v>-8.0938924245003374E-2</v>
      </c>
    </row>
    <row r="35" spans="1:26" s="24" customFormat="1" hidden="1" outlineLevel="2" x14ac:dyDescent="0.3">
      <c r="A35" s="27"/>
      <c r="B35" s="11" t="str">
        <f>CONCATENATE("          ", "6119", " - ", "SICK LEAVE")</f>
        <v xml:space="preserve">          6119 - SICK LEAVE</v>
      </c>
      <c r="C35" s="11"/>
      <c r="D35" s="6">
        <v>1384.76</v>
      </c>
      <c r="E35" s="2"/>
      <c r="F35" s="7">
        <f t="shared" si="12"/>
        <v>5.9912694022597277E-3</v>
      </c>
      <c r="G35" s="2"/>
      <c r="H35" s="6">
        <v>2110.4353846153799</v>
      </c>
      <c r="I35" s="2"/>
      <c r="J35" s="7">
        <f t="shared" si="13"/>
        <v>2.4426335470085415E-2</v>
      </c>
      <c r="K35" s="2"/>
      <c r="L35" s="6">
        <f t="shared" si="14"/>
        <v>-725.67538461537993</v>
      </c>
      <c r="M35" s="2"/>
      <c r="N35" s="7">
        <f t="shared" si="15"/>
        <v>-0.34385103183229271</v>
      </c>
      <c r="O35" s="11"/>
      <c r="P35" s="6">
        <v>7018.52</v>
      </c>
      <c r="Q35" s="2"/>
      <c r="R35" s="7">
        <f t="shared" si="16"/>
        <v>9.6900700970369725E-3</v>
      </c>
      <c r="S35" s="2"/>
      <c r="T35" s="6">
        <v>10019.9446153846</v>
      </c>
      <c r="U35" s="2"/>
      <c r="V35" s="7">
        <f t="shared" si="17"/>
        <v>2.5771462488129115E-2</v>
      </c>
      <c r="W35" s="2"/>
      <c r="X35" s="6">
        <f t="shared" si="18"/>
        <v>-3001.4246153845997</v>
      </c>
      <c r="Y35" s="2"/>
      <c r="Z35" s="7">
        <f t="shared" si="19"/>
        <v>-0.29954503049609865</v>
      </c>
    </row>
    <row r="36" spans="1:26" s="24" customFormat="1" hidden="1" outlineLevel="2" x14ac:dyDescent="0.3">
      <c r="A36" s="27"/>
      <c r="B36" s="11" t="str">
        <f>CONCATENATE("          ", "6156", " - ", "EMPLOYEE MEALS")</f>
        <v xml:space="preserve">          6156 - EMPLOYEE MEALS</v>
      </c>
      <c r="C36" s="11"/>
      <c r="D36" s="6">
        <v>1288.5999999999999</v>
      </c>
      <c r="E36" s="2"/>
      <c r="F36" s="7">
        <f t="shared" si="12"/>
        <v>5.5752258526761923E-3</v>
      </c>
      <c r="G36" s="2"/>
      <c r="H36" s="6">
        <v>1925</v>
      </c>
      <c r="I36" s="2"/>
      <c r="J36" s="7">
        <f t="shared" si="13"/>
        <v>2.2280092592592591E-2</v>
      </c>
      <c r="K36" s="2"/>
      <c r="L36" s="6">
        <f t="shared" si="14"/>
        <v>-636.40000000000009</v>
      </c>
      <c r="M36" s="2"/>
      <c r="N36" s="7">
        <f t="shared" si="15"/>
        <v>-0.33059740259740267</v>
      </c>
      <c r="O36" s="11"/>
      <c r="P36" s="6">
        <v>5521.26</v>
      </c>
      <c r="Q36" s="2"/>
      <c r="R36" s="7">
        <f t="shared" si="16"/>
        <v>7.6228886466044631E-3</v>
      </c>
      <c r="S36" s="2"/>
      <c r="T36" s="6">
        <v>9625</v>
      </c>
      <c r="U36" s="2"/>
      <c r="V36" s="7">
        <f t="shared" si="17"/>
        <v>2.4755658436213992E-2</v>
      </c>
      <c r="W36" s="2"/>
      <c r="X36" s="6">
        <f t="shared" si="18"/>
        <v>-4103.74</v>
      </c>
      <c r="Y36" s="2"/>
      <c r="Z36" s="7">
        <f t="shared" si="19"/>
        <v>-0.42636259740259735</v>
      </c>
    </row>
    <row r="37" spans="1:26" s="29" customFormat="1" outlineLevel="1" collapsed="1" x14ac:dyDescent="0.3">
      <c r="A37" s="28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64971.34</v>
      </c>
      <c r="E37" s="1"/>
      <c r="F37" s="5">
        <f t="shared" ref="F37:F47" si="20">IF(D$12=0,0,D37/D$12)</f>
        <v>0.28110344129366355</v>
      </c>
      <c r="G37" s="1"/>
      <c r="H37" s="1">
        <f>SUM(OSRRefH22_1x_0)</f>
        <v>66611.595384615386</v>
      </c>
      <c r="I37" s="1"/>
      <c r="J37" s="5">
        <f t="shared" ref="J37:J47" si="21">IF(H$12=0,0,H37/H$12)</f>
        <v>0.77096753917378924</v>
      </c>
      <c r="K37" s="1"/>
      <c r="L37" s="1">
        <f t="shared" ref="L37:L47" si="22">+D37-H37</f>
        <v>-1640.2553846153896</v>
      </c>
      <c r="M37" s="1"/>
      <c r="N37" s="5">
        <f t="shared" ref="N37:N47" si="23">IF(H37=0,0,L37/H37)</f>
        <v>-2.4624172040086326E-2</v>
      </c>
      <c r="O37" s="14"/>
      <c r="P37" s="1">
        <f>SUM(OSRRefP22_1x_0)</f>
        <v>298410.58999999997</v>
      </c>
      <c r="Q37" s="1"/>
      <c r="R37" s="5">
        <f t="shared" ref="R37:R47" si="24">IF(P$12=0,0,P37/P$12)</f>
        <v>0.41199847472090412</v>
      </c>
      <c r="S37" s="1"/>
      <c r="T37" s="1">
        <f>SUM(OSRRefT22_1x_0)</f>
        <v>315036.22461538459</v>
      </c>
      <c r="U37" s="1"/>
      <c r="V37" s="5">
        <f t="shared" ref="V37:V47" si="25">IF(T$12=0,0,T37/T$12)</f>
        <v>0.81027835549224436</v>
      </c>
      <c r="W37" s="1"/>
      <c r="X37" s="1">
        <f t="shared" ref="X37:X47" si="26">+P37-T37</f>
        <v>-16625.634615384624</v>
      </c>
      <c r="Y37" s="1"/>
      <c r="Z37" s="5">
        <f t="shared" ref="Z37:Z47" si="27">IF(T37=0,0,X37/T37)</f>
        <v>-5.2773723516024898E-2</v>
      </c>
    </row>
    <row r="38" spans="1:26" s="24" customFormat="1" hidden="1" outlineLevel="2" x14ac:dyDescent="0.3">
      <c r="A38" s="27"/>
      <c r="B38" s="11" t="str">
        <f>CONCATENATE("          ", "6001", " - ", "ADMINISTRATIVE SALARIES")</f>
        <v xml:space="preserve">          6001 - ADMINISTRATIVE SALARIES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3">
      <c r="A39" s="27"/>
      <c r="B39" s="11" t="str">
        <f>CONCATENATE("          ", "6002", " - ", "STAFF SALARIES")</f>
        <v xml:space="preserve">          6002 - STAFF SALARIES</v>
      </c>
      <c r="C39" s="11"/>
      <c r="D39" s="6">
        <v>5230.78</v>
      </c>
      <c r="E39" s="2"/>
      <c r="F39" s="7">
        <f t="shared" si="20"/>
        <v>2.2631367286715484E-2</v>
      </c>
      <c r="G39" s="2"/>
      <c r="H39" s="6">
        <v>4468.6153846153802</v>
      </c>
      <c r="I39" s="2"/>
      <c r="J39" s="7">
        <f t="shared" si="21"/>
        <v>5.1720085470085421E-2</v>
      </c>
      <c r="K39" s="2"/>
      <c r="L39" s="6">
        <f t="shared" si="22"/>
        <v>762.16461538461954</v>
      </c>
      <c r="M39" s="2"/>
      <c r="N39" s="7">
        <f t="shared" si="23"/>
        <v>0.17055945741238146</v>
      </c>
      <c r="O39" s="11"/>
      <c r="P39" s="6">
        <v>30161.24</v>
      </c>
      <c r="Q39" s="2"/>
      <c r="R39" s="7">
        <f t="shared" si="24"/>
        <v>4.164190310970909E-2</v>
      </c>
      <c r="S39" s="2"/>
      <c r="T39" s="6">
        <v>24577.384615384599</v>
      </c>
      <c r="U39" s="2"/>
      <c r="V39" s="7">
        <f t="shared" si="25"/>
        <v>6.3213437796771091E-2</v>
      </c>
      <c r="W39" s="2"/>
      <c r="X39" s="6">
        <f t="shared" si="26"/>
        <v>5583.8553846154027</v>
      </c>
      <c r="Y39" s="2"/>
      <c r="Z39" s="7">
        <f t="shared" si="27"/>
        <v>0.22719485706058817</v>
      </c>
    </row>
    <row r="40" spans="1:26" s="24" customFormat="1" hidden="1" outlineLevel="2" x14ac:dyDescent="0.3">
      <c r="A40" s="27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3">
      <c r="A41" s="27"/>
      <c r="B41" s="11" t="str">
        <f>CONCATENATE("          ", "6004", " - ", "STAFF HOURLY")</f>
        <v xml:space="preserve">          6004 - STAFF HOURLY</v>
      </c>
      <c r="C41" s="11"/>
      <c r="D41" s="6">
        <v>26705.200000000001</v>
      </c>
      <c r="E41" s="2"/>
      <c r="F41" s="7">
        <f t="shared" si="20"/>
        <v>0.11554207779053878</v>
      </c>
      <c r="G41" s="2"/>
      <c r="H41" s="6">
        <v>27290.880000000001</v>
      </c>
      <c r="I41" s="2"/>
      <c r="J41" s="7">
        <f t="shared" si="21"/>
        <v>0.31586666666666668</v>
      </c>
      <c r="K41" s="2"/>
      <c r="L41" s="6">
        <f t="shared" si="22"/>
        <v>-585.68000000000029</v>
      </c>
      <c r="M41" s="2"/>
      <c r="N41" s="7">
        <f t="shared" si="23"/>
        <v>-2.1460649125275559E-2</v>
      </c>
      <c r="O41" s="11"/>
      <c r="P41" s="6">
        <v>134421.47</v>
      </c>
      <c r="Q41" s="2"/>
      <c r="R41" s="7">
        <f t="shared" si="24"/>
        <v>0.18558805372738874</v>
      </c>
      <c r="S41" s="2"/>
      <c r="T41" s="6">
        <v>150099.84</v>
      </c>
      <c r="U41" s="2"/>
      <c r="V41" s="7">
        <f t="shared" si="25"/>
        <v>0.38605925925925927</v>
      </c>
      <c r="W41" s="2"/>
      <c r="X41" s="6">
        <f t="shared" si="26"/>
        <v>-15678.369999999995</v>
      </c>
      <c r="Y41" s="2"/>
      <c r="Z41" s="7">
        <f t="shared" si="27"/>
        <v>-0.10445294278794698</v>
      </c>
    </row>
    <row r="42" spans="1:26" s="24" customFormat="1" hidden="1" outlineLevel="2" x14ac:dyDescent="0.3">
      <c r="A42" s="27"/>
      <c r="B42" s="11" t="str">
        <f>CONCATENATE("          ", "6005", " - ", "TEMPORARY WAGES-HOURLY")</f>
        <v xml:space="preserve">          6005 - TEMPORARY WAGES-HOURLY</v>
      </c>
      <c r="C42" s="11"/>
      <c r="D42" s="6">
        <v>6253.65</v>
      </c>
      <c r="E42" s="2"/>
      <c r="F42" s="7">
        <f t="shared" si="20"/>
        <v>2.7056892094977861E-2</v>
      </c>
      <c r="G42" s="2"/>
      <c r="H42" s="6">
        <v>7760</v>
      </c>
      <c r="I42" s="2"/>
      <c r="J42" s="7">
        <f t="shared" si="21"/>
        <v>8.981481481481482E-2</v>
      </c>
      <c r="K42" s="2"/>
      <c r="L42" s="6">
        <f t="shared" si="22"/>
        <v>-1506.3500000000004</v>
      </c>
      <c r="M42" s="2"/>
      <c r="N42" s="7">
        <f t="shared" si="23"/>
        <v>-0.19411726804123716</v>
      </c>
      <c r="O42" s="11"/>
      <c r="P42" s="6">
        <v>56589.21</v>
      </c>
      <c r="Q42" s="2"/>
      <c r="R42" s="7">
        <f t="shared" si="24"/>
        <v>7.8129493345597878E-2</v>
      </c>
      <c r="S42" s="2"/>
      <c r="T42" s="6">
        <v>31040</v>
      </c>
      <c r="U42" s="2"/>
      <c r="V42" s="7">
        <f t="shared" si="25"/>
        <v>7.9835390946502063E-2</v>
      </c>
      <c r="W42" s="2"/>
      <c r="X42" s="6">
        <f t="shared" si="26"/>
        <v>25549.21</v>
      </c>
      <c r="Y42" s="2"/>
      <c r="Z42" s="7">
        <f t="shared" si="27"/>
        <v>0.82310599226804126</v>
      </c>
    </row>
    <row r="43" spans="1:26" s="24" customFormat="1" hidden="1" outlineLevel="2" x14ac:dyDescent="0.3">
      <c r="A43" s="27"/>
      <c r="B43" s="11" t="str">
        <f>CONCATENATE("          ", "6006", " - ", "TEMPORARY PART TIME")</f>
        <v xml:space="preserve">          6006 - TEMPORARY PART TIME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4" customFormat="1" hidden="1" outlineLevel="2" x14ac:dyDescent="0.3">
      <c r="A44" s="27"/>
      <c r="B44" s="11" t="str">
        <f>CONCATENATE("          ", "6007", " - ", "STUDENT HOURLY")</f>
        <v xml:space="preserve">          6007 - STUDENT HOURLY</v>
      </c>
      <c r="C44" s="11"/>
      <c r="D44" s="6">
        <v>18636.72</v>
      </c>
      <c r="E44" s="2"/>
      <c r="F44" s="7">
        <f t="shared" si="20"/>
        <v>8.0633185746614516E-2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18636.72</v>
      </c>
      <c r="M44" s="2"/>
      <c r="N44" s="7">
        <f t="shared" si="23"/>
        <v>0</v>
      </c>
      <c r="O44" s="11"/>
      <c r="P44" s="6">
        <v>63223.48</v>
      </c>
      <c r="Q44" s="2"/>
      <c r="R44" s="7">
        <f t="shared" si="24"/>
        <v>8.7289051392403963E-2</v>
      </c>
      <c r="S44" s="2"/>
      <c r="T44" s="6">
        <v>12561.5</v>
      </c>
      <c r="U44" s="2"/>
      <c r="V44" s="7">
        <f t="shared" si="25"/>
        <v>3.2308384773662553E-2</v>
      </c>
      <c r="W44" s="2"/>
      <c r="X44" s="6">
        <f t="shared" si="26"/>
        <v>50661.98</v>
      </c>
      <c r="Y44" s="2"/>
      <c r="Z44" s="7">
        <f t="shared" si="27"/>
        <v>4.0331154718783591</v>
      </c>
    </row>
    <row r="45" spans="1:26" s="24" customFormat="1" hidden="1" outlineLevel="2" x14ac:dyDescent="0.3">
      <c r="A45" s="27"/>
      <c r="B45" s="11" t="str">
        <f>CONCATENATE("          ", "6008", " - ", "STUDENT HOURLY-FICA EXEMPT")</f>
        <v xml:space="preserve">          6008 - STUDENT HOURLY-FICA EXEMPT</v>
      </c>
      <c r="C45" s="11"/>
      <c r="D45" s="6">
        <v>8144.99</v>
      </c>
      <c r="E45" s="2"/>
      <c r="F45" s="7">
        <f t="shared" si="20"/>
        <v>3.5239918374816902E-2</v>
      </c>
      <c r="G45" s="2"/>
      <c r="H45" s="6">
        <v>27092.1</v>
      </c>
      <c r="I45" s="2"/>
      <c r="J45" s="7">
        <f t="shared" si="21"/>
        <v>0.31356597222222221</v>
      </c>
      <c r="K45" s="2"/>
      <c r="L45" s="6">
        <f t="shared" si="22"/>
        <v>-18947.11</v>
      </c>
      <c r="M45" s="2"/>
      <c r="N45" s="7">
        <f t="shared" si="23"/>
        <v>-0.69935922279926621</v>
      </c>
      <c r="O45" s="11"/>
      <c r="P45" s="6">
        <v>14015.19</v>
      </c>
      <c r="Q45" s="2"/>
      <c r="R45" s="7">
        <f t="shared" si="24"/>
        <v>1.9349973145804472E-2</v>
      </c>
      <c r="S45" s="2"/>
      <c r="T45" s="6">
        <v>96757.5</v>
      </c>
      <c r="U45" s="2"/>
      <c r="V45" s="7">
        <f t="shared" si="25"/>
        <v>0.24886188271604939</v>
      </c>
      <c r="W45" s="2"/>
      <c r="X45" s="6">
        <f t="shared" si="26"/>
        <v>-82742.31</v>
      </c>
      <c r="Y45" s="2"/>
      <c r="Z45" s="7">
        <f t="shared" si="27"/>
        <v>-0.85515138361367338</v>
      </c>
    </row>
    <row r="46" spans="1:26" s="24" customFormat="1" hidden="1" outlineLevel="2" x14ac:dyDescent="0.3">
      <c r="A46" s="27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3">
      <c r="A47" s="27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9" customFormat="1" outlineLevel="1" collapsed="1" x14ac:dyDescent="0.3">
      <c r="A48" s="28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0</v>
      </c>
      <c r="E48" s="1"/>
      <c r="F48" s="5">
        <f t="shared" ref="F48:F69" si="28">IF(D$12=0,0,D48/D$12)</f>
        <v>0</v>
      </c>
      <c r="G48" s="1"/>
      <c r="H48" s="1">
        <f>SUM(OSRRefH22_2x_0)</f>
        <v>350</v>
      </c>
      <c r="I48" s="1"/>
      <c r="J48" s="5">
        <f t="shared" ref="J48:J69" si="29">IF(H$12=0,0,H48/H$12)</f>
        <v>4.0509259259259257E-3</v>
      </c>
      <c r="K48" s="1"/>
      <c r="L48" s="1">
        <f t="shared" ref="L48:L69" si="30">+D48-H48</f>
        <v>-350</v>
      </c>
      <c r="M48" s="1"/>
      <c r="N48" s="5">
        <f t="shared" ref="N48:N69" si="31">IF(H48=0,0,L48/H48)</f>
        <v>-1</v>
      </c>
      <c r="O48" s="14"/>
      <c r="P48" s="1">
        <f>SUM(OSRRefP22_2x_0)</f>
        <v>855.27</v>
      </c>
      <c r="Q48" s="1"/>
      <c r="R48" s="5">
        <f t="shared" ref="R48:R69" si="32">IF(P$12=0,0,P48/P$12)</f>
        <v>1.1808224884865771E-3</v>
      </c>
      <c r="S48" s="1"/>
      <c r="T48" s="1">
        <f>SUM(OSRRefT22_2x_0)</f>
        <v>1750</v>
      </c>
      <c r="U48" s="1"/>
      <c r="V48" s="5">
        <f t="shared" ref="V48:V69" si="33">IF(T$12=0,0,T48/T$12)</f>
        <v>4.5010288065843625E-3</v>
      </c>
      <c r="W48" s="1"/>
      <c r="X48" s="1">
        <f t="shared" ref="X48:X69" si="34">+P48-T48</f>
        <v>-894.73</v>
      </c>
      <c r="Y48" s="1"/>
      <c r="Z48" s="5">
        <f t="shared" ref="Z48:Z69" si="35">IF(T48=0,0,X48/T48)</f>
        <v>-0.51127428571428568</v>
      </c>
    </row>
    <row r="49" spans="1:26" s="24" customFormat="1" hidden="1" outlineLevel="2" x14ac:dyDescent="0.3">
      <c r="A49" s="27"/>
      <c r="B49" s="11" t="str">
        <f>CONCATENATE("          ", "6362", " - ", "ADVERTISING EXPENSE")</f>
        <v xml:space="preserve">          6362 - ADVERTISING EXPENSE</v>
      </c>
      <c r="C49" s="11"/>
      <c r="D49" s="6"/>
      <c r="E49" s="2"/>
      <c r="F49" s="7">
        <f t="shared" si="28"/>
        <v>0</v>
      </c>
      <c r="G49" s="2"/>
      <c r="H49" s="6">
        <v>350</v>
      </c>
      <c r="I49" s="2"/>
      <c r="J49" s="7">
        <f t="shared" si="29"/>
        <v>4.0509259259259257E-3</v>
      </c>
      <c r="K49" s="2"/>
      <c r="L49" s="6">
        <f t="shared" si="30"/>
        <v>-350</v>
      </c>
      <c r="M49" s="2"/>
      <c r="N49" s="7">
        <f t="shared" si="31"/>
        <v>-1</v>
      </c>
      <c r="O49" s="11"/>
      <c r="P49" s="6">
        <v>855.27</v>
      </c>
      <c r="Q49" s="2"/>
      <c r="R49" s="7">
        <f t="shared" si="32"/>
        <v>1.1808224884865771E-3</v>
      </c>
      <c r="S49" s="2"/>
      <c r="T49" s="6">
        <v>1750</v>
      </c>
      <c r="U49" s="2"/>
      <c r="V49" s="7">
        <f t="shared" si="33"/>
        <v>4.5010288065843625E-3</v>
      </c>
      <c r="W49" s="2"/>
      <c r="X49" s="6">
        <f t="shared" si="34"/>
        <v>-894.73</v>
      </c>
      <c r="Y49" s="2"/>
      <c r="Z49" s="7">
        <f t="shared" si="35"/>
        <v>-0.51127428571428568</v>
      </c>
    </row>
    <row r="50" spans="1:26" s="29" customFormat="1" outlineLevel="1" collapsed="1" x14ac:dyDescent="0.3">
      <c r="A50" s="28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0</v>
      </c>
      <c r="E50" s="1"/>
      <c r="F50" s="5">
        <f t="shared" si="28"/>
        <v>0</v>
      </c>
      <c r="G50" s="1"/>
      <c r="H50" s="1">
        <f>SUM(OSRRefH22_3x_0)</f>
        <v>10</v>
      </c>
      <c r="I50" s="1"/>
      <c r="J50" s="5">
        <f t="shared" si="29"/>
        <v>1.1574074074074075E-4</v>
      </c>
      <c r="K50" s="1"/>
      <c r="L50" s="1">
        <f t="shared" si="30"/>
        <v>-10</v>
      </c>
      <c r="M50" s="1"/>
      <c r="N50" s="5">
        <f t="shared" si="31"/>
        <v>-1</v>
      </c>
      <c r="O50" s="14"/>
      <c r="P50" s="1">
        <f>SUM(OSRRefP22_3x_0)</f>
        <v>0</v>
      </c>
      <c r="Q50" s="1"/>
      <c r="R50" s="5">
        <f t="shared" si="32"/>
        <v>0</v>
      </c>
      <c r="S50" s="1"/>
      <c r="T50" s="1">
        <f>SUM(OSRRefT22_3x_0)</f>
        <v>40</v>
      </c>
      <c r="U50" s="1"/>
      <c r="V50" s="5">
        <f t="shared" si="33"/>
        <v>1.0288065843621399E-4</v>
      </c>
      <c r="W50" s="1"/>
      <c r="X50" s="1">
        <f t="shared" si="34"/>
        <v>-40</v>
      </c>
      <c r="Y50" s="1"/>
      <c r="Z50" s="5">
        <f t="shared" si="35"/>
        <v>-1</v>
      </c>
    </row>
    <row r="51" spans="1:26" s="24" customFormat="1" hidden="1" outlineLevel="2" x14ac:dyDescent="0.3">
      <c r="A51" s="27"/>
      <c r="B51" s="11" t="str">
        <f>CONCATENATE("          ", "6272", " - ", "CASH (OVER/SHORT)")</f>
        <v xml:space="preserve">          6272 - CASH (OVER/SHORT)</v>
      </c>
      <c r="C51" s="11"/>
      <c r="D51" s="6"/>
      <c r="E51" s="2"/>
      <c r="F51" s="7">
        <f t="shared" si="28"/>
        <v>0</v>
      </c>
      <c r="G51" s="2"/>
      <c r="H51" s="6">
        <v>10</v>
      </c>
      <c r="I51" s="2"/>
      <c r="J51" s="7">
        <f t="shared" si="29"/>
        <v>1.1574074074074075E-4</v>
      </c>
      <c r="K51" s="2"/>
      <c r="L51" s="6">
        <f t="shared" si="30"/>
        <v>-10</v>
      </c>
      <c r="M51" s="2"/>
      <c r="N51" s="7">
        <f t="shared" si="31"/>
        <v>-1</v>
      </c>
      <c r="O51" s="11"/>
      <c r="P51" s="6"/>
      <c r="Q51" s="2"/>
      <c r="R51" s="7">
        <f t="shared" si="32"/>
        <v>0</v>
      </c>
      <c r="S51" s="2"/>
      <c r="T51" s="6">
        <v>40</v>
      </c>
      <c r="U51" s="2"/>
      <c r="V51" s="7">
        <f t="shared" si="33"/>
        <v>1.0288065843621399E-4</v>
      </c>
      <c r="W51" s="2"/>
      <c r="X51" s="6">
        <f t="shared" si="34"/>
        <v>-40</v>
      </c>
      <c r="Y51" s="2"/>
      <c r="Z51" s="7">
        <f t="shared" si="35"/>
        <v>-1</v>
      </c>
    </row>
    <row r="52" spans="1:26" s="29" customFormat="1" outlineLevel="1" collapsed="1" x14ac:dyDescent="0.3">
      <c r="A52" s="28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41.19</v>
      </c>
      <c r="E52" s="1"/>
      <c r="F52" s="5">
        <f t="shared" si="28"/>
        <v>1.7821166604976903E-4</v>
      </c>
      <c r="G52" s="1"/>
      <c r="H52" s="1">
        <f>SUM(OSRRefH22_4x_0)</f>
        <v>25</v>
      </c>
      <c r="I52" s="1"/>
      <c r="J52" s="5">
        <f t="shared" si="29"/>
        <v>2.8935185185185184E-4</v>
      </c>
      <c r="K52" s="1"/>
      <c r="L52" s="1">
        <f t="shared" si="30"/>
        <v>16.189999999999998</v>
      </c>
      <c r="M52" s="1"/>
      <c r="N52" s="5">
        <f t="shared" si="31"/>
        <v>0.64759999999999995</v>
      </c>
      <c r="O52" s="14"/>
      <c r="P52" s="1">
        <f>SUM(OSRRefP22_4x_0)</f>
        <v>187.29</v>
      </c>
      <c r="Q52" s="1"/>
      <c r="R52" s="5">
        <f t="shared" si="32"/>
        <v>2.5858061649379846E-4</v>
      </c>
      <c r="S52" s="1"/>
      <c r="T52" s="1">
        <f>SUM(OSRRefT22_4x_0)</f>
        <v>100</v>
      </c>
      <c r="U52" s="1"/>
      <c r="V52" s="5">
        <f t="shared" si="33"/>
        <v>2.57201646090535E-4</v>
      </c>
      <c r="W52" s="1"/>
      <c r="X52" s="1">
        <f t="shared" si="34"/>
        <v>87.289999999999992</v>
      </c>
      <c r="Y52" s="1"/>
      <c r="Z52" s="5">
        <f t="shared" si="35"/>
        <v>0.8728999999999999</v>
      </c>
    </row>
    <row r="53" spans="1:26" s="24" customFormat="1" hidden="1" outlineLevel="2" x14ac:dyDescent="0.3">
      <c r="A53" s="27"/>
      <c r="B53" s="11" t="str">
        <f>CONCATENATE("          ", "6381", " - ", "BANK/CREDIT CARD FEES")</f>
        <v xml:space="preserve">          6381 - BANK/CREDIT CARD FEES</v>
      </c>
      <c r="C53" s="11"/>
      <c r="D53" s="6">
        <v>41.19</v>
      </c>
      <c r="E53" s="2"/>
      <c r="F53" s="7">
        <f t="shared" si="28"/>
        <v>1.7821166604976903E-4</v>
      </c>
      <c r="G53" s="2"/>
      <c r="H53" s="6">
        <v>25</v>
      </c>
      <c r="I53" s="2"/>
      <c r="J53" s="7">
        <f t="shared" si="29"/>
        <v>2.8935185185185184E-4</v>
      </c>
      <c r="K53" s="2"/>
      <c r="L53" s="6">
        <f t="shared" si="30"/>
        <v>16.189999999999998</v>
      </c>
      <c r="M53" s="2"/>
      <c r="N53" s="7">
        <f t="shared" si="31"/>
        <v>0.64759999999999995</v>
      </c>
      <c r="O53" s="11"/>
      <c r="P53" s="6">
        <v>187.29</v>
      </c>
      <c r="Q53" s="2"/>
      <c r="R53" s="7">
        <f t="shared" si="32"/>
        <v>2.5858061649379846E-4</v>
      </c>
      <c r="S53" s="2"/>
      <c r="T53" s="6">
        <v>100</v>
      </c>
      <c r="U53" s="2"/>
      <c r="V53" s="7">
        <f t="shared" si="33"/>
        <v>2.57201646090535E-4</v>
      </c>
      <c r="W53" s="2"/>
      <c r="X53" s="6">
        <f t="shared" si="34"/>
        <v>87.289999999999992</v>
      </c>
      <c r="Y53" s="2"/>
      <c r="Z53" s="7">
        <f t="shared" si="35"/>
        <v>0.8728999999999999</v>
      </c>
    </row>
    <row r="54" spans="1:26" s="29" customFormat="1" outlineLevel="1" collapsed="1" x14ac:dyDescent="0.3">
      <c r="A54" s="28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213.02</v>
      </c>
      <c r="E54" s="1"/>
      <c r="F54" s="5">
        <f t="shared" si="28"/>
        <v>9.2164722267350815E-4</v>
      </c>
      <c r="G54" s="1"/>
      <c r="H54" s="1">
        <f>SUM(OSRRefH22_5x_0)</f>
        <v>213</v>
      </c>
      <c r="I54" s="1"/>
      <c r="J54" s="5">
        <f t="shared" si="29"/>
        <v>2.4652777777777776E-3</v>
      </c>
      <c r="K54" s="1"/>
      <c r="L54" s="1">
        <f t="shared" si="30"/>
        <v>2.0000000000010232E-2</v>
      </c>
      <c r="M54" s="1"/>
      <c r="N54" s="5">
        <f t="shared" si="31"/>
        <v>9.3896713615071505E-5</v>
      </c>
      <c r="O54" s="14"/>
      <c r="P54" s="1">
        <f>SUM(OSRRefP22_5x_0)</f>
        <v>1065.0999999999999</v>
      </c>
      <c r="Q54" s="1"/>
      <c r="R54" s="5">
        <f t="shared" si="32"/>
        <v>1.4705227968794103E-3</v>
      </c>
      <c r="S54" s="1"/>
      <c r="T54" s="1">
        <f>SUM(OSRRefT22_5x_0)</f>
        <v>1065</v>
      </c>
      <c r="U54" s="1"/>
      <c r="V54" s="5">
        <f t="shared" si="33"/>
        <v>2.7391975308641977E-3</v>
      </c>
      <c r="W54" s="1"/>
      <c r="X54" s="1">
        <f t="shared" si="34"/>
        <v>9.9999999999909051E-2</v>
      </c>
      <c r="Y54" s="1"/>
      <c r="Z54" s="5">
        <f t="shared" si="35"/>
        <v>9.389671361493808E-5</v>
      </c>
    </row>
    <row r="55" spans="1:26" s="24" customFormat="1" hidden="1" outlineLevel="2" x14ac:dyDescent="0.3">
      <c r="A55" s="27"/>
      <c r="B55" s="11" t="str">
        <f>CONCATENATE("          ", "6322", " - ", "EQUIPMENT DEPRECIATION EXPENSE")</f>
        <v xml:space="preserve">          6322 - EQUIPMENT DEPRECIATION EXPENSE</v>
      </c>
      <c r="C55" s="11"/>
      <c r="D55" s="6">
        <v>213.02</v>
      </c>
      <c r="E55" s="2"/>
      <c r="F55" s="7">
        <f t="shared" si="28"/>
        <v>9.2164722267350815E-4</v>
      </c>
      <c r="G55" s="2"/>
      <c r="H55" s="6">
        <v>213</v>
      </c>
      <c r="I55" s="2"/>
      <c r="J55" s="7">
        <f t="shared" si="29"/>
        <v>2.4652777777777776E-3</v>
      </c>
      <c r="K55" s="2"/>
      <c r="L55" s="6">
        <f t="shared" si="30"/>
        <v>2.0000000000010232E-2</v>
      </c>
      <c r="M55" s="2"/>
      <c r="N55" s="7">
        <f t="shared" si="31"/>
        <v>9.3896713615071505E-5</v>
      </c>
      <c r="O55" s="11"/>
      <c r="P55" s="6">
        <v>1065.0999999999999</v>
      </c>
      <c r="Q55" s="2"/>
      <c r="R55" s="7">
        <f t="shared" si="32"/>
        <v>1.4705227968794103E-3</v>
      </c>
      <c r="S55" s="2"/>
      <c r="T55" s="6">
        <v>1065</v>
      </c>
      <c r="U55" s="2"/>
      <c r="V55" s="7">
        <f t="shared" si="33"/>
        <v>2.7391975308641977E-3</v>
      </c>
      <c r="W55" s="2"/>
      <c r="X55" s="6">
        <f t="shared" si="34"/>
        <v>9.9999999999909051E-2</v>
      </c>
      <c r="Y55" s="2"/>
      <c r="Z55" s="7">
        <f t="shared" si="35"/>
        <v>9.389671361493808E-5</v>
      </c>
    </row>
    <row r="56" spans="1:26" s="29" customFormat="1" outlineLevel="1" collapsed="1" x14ac:dyDescent="0.3">
      <c r="A56" s="28"/>
      <c r="B56" s="14" t="str">
        <f>CONCATENATE("     ","Donations                                         ")</f>
        <v xml:space="preserve">     Donations                                         </v>
      </c>
      <c r="C56" s="14"/>
      <c r="D56" s="1">
        <f>SUM(OSRRefD22_6x_0)</f>
        <v>1390.82</v>
      </c>
      <c r="E56" s="1"/>
      <c r="F56" s="5">
        <f t="shared" si="28"/>
        <v>6.0174884529094388E-3</v>
      </c>
      <c r="G56" s="1"/>
      <c r="H56" s="1">
        <f>SUM(OSRRefH22_6x_0)</f>
        <v>3000</v>
      </c>
      <c r="I56" s="1"/>
      <c r="J56" s="5">
        <f t="shared" si="29"/>
        <v>3.4722222222222224E-2</v>
      </c>
      <c r="K56" s="1"/>
      <c r="L56" s="1">
        <f t="shared" si="30"/>
        <v>-1609.18</v>
      </c>
      <c r="M56" s="1"/>
      <c r="N56" s="5">
        <f t="shared" si="31"/>
        <v>-0.53639333333333339</v>
      </c>
      <c r="O56" s="14"/>
      <c r="P56" s="1">
        <f>SUM(OSRRefP22_6x_0)</f>
        <v>5646.07</v>
      </c>
      <c r="Q56" s="1"/>
      <c r="R56" s="5">
        <f t="shared" si="32"/>
        <v>7.7952066921199246E-3</v>
      </c>
      <c r="S56" s="1"/>
      <c r="T56" s="1">
        <f>SUM(OSRRefT22_6x_0)</f>
        <v>12000</v>
      </c>
      <c r="U56" s="1"/>
      <c r="V56" s="5">
        <f t="shared" si="33"/>
        <v>3.0864197530864196E-2</v>
      </c>
      <c r="W56" s="1"/>
      <c r="X56" s="1">
        <f t="shared" si="34"/>
        <v>-6353.93</v>
      </c>
      <c r="Y56" s="1"/>
      <c r="Z56" s="5">
        <f t="shared" si="35"/>
        <v>-0.52949416666666671</v>
      </c>
    </row>
    <row r="57" spans="1:26" s="24" customFormat="1" hidden="1" outlineLevel="2" x14ac:dyDescent="0.3">
      <c r="A57" s="27"/>
      <c r="B57" s="11" t="str">
        <f>CONCATENATE("          ", "6399", " - ", "DONATION-ON CAMPUS")</f>
        <v xml:space="preserve">          6399 - DONATION-ON CAMPUS</v>
      </c>
      <c r="C57" s="11"/>
      <c r="D57" s="6">
        <v>1390.82</v>
      </c>
      <c r="E57" s="2"/>
      <c r="F57" s="7">
        <f t="shared" si="28"/>
        <v>6.0174884529094388E-3</v>
      </c>
      <c r="G57" s="2"/>
      <c r="H57" s="6">
        <v>3000</v>
      </c>
      <c r="I57" s="2"/>
      <c r="J57" s="7">
        <f t="shared" si="29"/>
        <v>3.4722222222222224E-2</v>
      </c>
      <c r="K57" s="2"/>
      <c r="L57" s="6">
        <f t="shared" si="30"/>
        <v>-1609.18</v>
      </c>
      <c r="M57" s="2"/>
      <c r="N57" s="7">
        <f t="shared" si="31"/>
        <v>-0.53639333333333339</v>
      </c>
      <c r="O57" s="11"/>
      <c r="P57" s="6">
        <v>5646.07</v>
      </c>
      <c r="Q57" s="2"/>
      <c r="R57" s="7">
        <f t="shared" si="32"/>
        <v>7.7952066921199246E-3</v>
      </c>
      <c r="S57" s="2"/>
      <c r="T57" s="6">
        <v>12000</v>
      </c>
      <c r="U57" s="2"/>
      <c r="V57" s="7">
        <f t="shared" si="33"/>
        <v>3.0864197530864196E-2</v>
      </c>
      <c r="W57" s="2"/>
      <c r="X57" s="6">
        <f t="shared" si="34"/>
        <v>-6353.93</v>
      </c>
      <c r="Y57" s="2"/>
      <c r="Z57" s="7">
        <f t="shared" si="35"/>
        <v>-0.52949416666666671</v>
      </c>
    </row>
    <row r="58" spans="1:26" s="29" customFormat="1" outlineLevel="1" collapsed="1" x14ac:dyDescent="0.3">
      <c r="A58" s="28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SUM(OSRRefD22_7x_0)</f>
        <v>0</v>
      </c>
      <c r="E58" s="1"/>
      <c r="F58" s="5">
        <f t="shared" si="28"/>
        <v>0</v>
      </c>
      <c r="G58" s="1"/>
      <c r="H58" s="1">
        <f>SUM(OSRRefH22_7x_0)</f>
        <v>50</v>
      </c>
      <c r="I58" s="1"/>
      <c r="J58" s="5">
        <f t="shared" si="29"/>
        <v>5.7870370370370367E-4</v>
      </c>
      <c r="K58" s="1"/>
      <c r="L58" s="1">
        <f t="shared" si="30"/>
        <v>-50</v>
      </c>
      <c r="M58" s="1"/>
      <c r="N58" s="5">
        <f t="shared" si="31"/>
        <v>-1</v>
      </c>
      <c r="O58" s="14"/>
      <c r="P58" s="1">
        <f>SUM(OSRRefP22_7x_0)</f>
        <v>14.49</v>
      </c>
      <c r="Q58" s="1"/>
      <c r="R58" s="5">
        <f t="shared" si="32"/>
        <v>2.0005516220808053E-5</v>
      </c>
      <c r="S58" s="1"/>
      <c r="T58" s="1">
        <f>SUM(OSRRefT22_7x_0)</f>
        <v>250</v>
      </c>
      <c r="U58" s="1"/>
      <c r="V58" s="5">
        <f t="shared" si="33"/>
        <v>6.4300411522633745E-4</v>
      </c>
      <c r="W58" s="1"/>
      <c r="X58" s="1">
        <f t="shared" si="34"/>
        <v>-235.51</v>
      </c>
      <c r="Y58" s="1"/>
      <c r="Z58" s="5">
        <f t="shared" si="35"/>
        <v>-0.94203999999999999</v>
      </c>
    </row>
    <row r="59" spans="1:26" s="24" customFormat="1" hidden="1" outlineLevel="2" x14ac:dyDescent="0.3">
      <c r="A59" s="27"/>
      <c r="B59" s="11" t="str">
        <f>CONCATENATE("          ", "6277", " - ", "EMPLOYEE APPRECIATION")</f>
        <v xml:space="preserve">          6277 - EMPLOYEE APPRECIATION</v>
      </c>
      <c r="C59" s="11"/>
      <c r="D59" s="6"/>
      <c r="E59" s="2"/>
      <c r="F59" s="7">
        <f t="shared" si="28"/>
        <v>0</v>
      </c>
      <c r="G59" s="2"/>
      <c r="H59" s="6">
        <v>50</v>
      </c>
      <c r="I59" s="2"/>
      <c r="J59" s="7">
        <f t="shared" si="29"/>
        <v>5.7870370370370367E-4</v>
      </c>
      <c r="K59" s="2"/>
      <c r="L59" s="6">
        <f t="shared" si="30"/>
        <v>-50</v>
      </c>
      <c r="M59" s="2"/>
      <c r="N59" s="7">
        <f t="shared" si="31"/>
        <v>-1</v>
      </c>
      <c r="O59" s="11"/>
      <c r="P59" s="6">
        <v>14.49</v>
      </c>
      <c r="Q59" s="2"/>
      <c r="R59" s="7">
        <f t="shared" si="32"/>
        <v>2.0005516220808053E-5</v>
      </c>
      <c r="S59" s="2"/>
      <c r="T59" s="6">
        <v>250</v>
      </c>
      <c r="U59" s="2"/>
      <c r="V59" s="7">
        <f t="shared" si="33"/>
        <v>6.4300411522633745E-4</v>
      </c>
      <c r="W59" s="2"/>
      <c r="X59" s="6">
        <f t="shared" si="34"/>
        <v>-235.51</v>
      </c>
      <c r="Y59" s="2"/>
      <c r="Z59" s="7">
        <f t="shared" si="35"/>
        <v>-0.94203999999999999</v>
      </c>
    </row>
    <row r="60" spans="1:26" s="29" customFormat="1" outlineLevel="1" collapsed="1" x14ac:dyDescent="0.3">
      <c r="A60" s="28"/>
      <c r="B60" s="14" t="str">
        <f>CONCATENATE("     ","General                                           ")</f>
        <v xml:space="preserve">     General                                           </v>
      </c>
      <c r="C60" s="14"/>
      <c r="D60" s="1">
        <f>SUM(OSRRefD22_8x_0)</f>
        <v>0</v>
      </c>
      <c r="E60" s="1"/>
      <c r="F60" s="5">
        <f t="shared" si="28"/>
        <v>0</v>
      </c>
      <c r="G60" s="1"/>
      <c r="H60" s="1">
        <f>SUM(OSRRefH22_8x_0)</f>
        <v>0</v>
      </c>
      <c r="I60" s="1"/>
      <c r="J60" s="5">
        <f t="shared" si="29"/>
        <v>0</v>
      </c>
      <c r="K60" s="1"/>
      <c r="L60" s="1">
        <f t="shared" si="30"/>
        <v>0</v>
      </c>
      <c r="M60" s="1"/>
      <c r="N60" s="5">
        <f t="shared" si="31"/>
        <v>0</v>
      </c>
      <c r="O60" s="14"/>
      <c r="P60" s="1">
        <f>SUM(OSRRefP22_8x_0)</f>
        <v>1767.16</v>
      </c>
      <c r="Q60" s="1"/>
      <c r="R60" s="5">
        <f t="shared" si="32"/>
        <v>2.4398169803149178E-3</v>
      </c>
      <c r="S60" s="1"/>
      <c r="T60" s="1">
        <f>SUM(OSRRefT22_8x_0)</f>
        <v>1700</v>
      </c>
      <c r="U60" s="1"/>
      <c r="V60" s="5">
        <f t="shared" si="33"/>
        <v>4.3724279835390947E-3</v>
      </c>
      <c r="W60" s="1"/>
      <c r="X60" s="1">
        <f t="shared" si="34"/>
        <v>67.160000000000082</v>
      </c>
      <c r="Y60" s="1"/>
      <c r="Z60" s="5">
        <f t="shared" si="35"/>
        <v>3.9505882352941224E-2</v>
      </c>
    </row>
    <row r="61" spans="1:26" s="24" customFormat="1" hidden="1" outlineLevel="2" x14ac:dyDescent="0.3">
      <c r="A61" s="27"/>
      <c r="B61" s="11" t="str">
        <f>CONCATENATE("          ", "6279", " - ", "GENERAL EXPENSE")</f>
        <v xml:space="preserve">          6279 - GENERAL EXPENSE</v>
      </c>
      <c r="C61" s="11"/>
      <c r="D61" s="6"/>
      <c r="E61" s="2"/>
      <c r="F61" s="7">
        <f t="shared" si="28"/>
        <v>0</v>
      </c>
      <c r="G61" s="2"/>
      <c r="H61" s="6"/>
      <c r="I61" s="2"/>
      <c r="J61" s="7">
        <f t="shared" si="29"/>
        <v>0</v>
      </c>
      <c r="K61" s="2"/>
      <c r="L61" s="6">
        <f t="shared" si="30"/>
        <v>0</v>
      </c>
      <c r="M61" s="2"/>
      <c r="N61" s="7">
        <f t="shared" si="31"/>
        <v>0</v>
      </c>
      <c r="O61" s="11"/>
      <c r="P61" s="6">
        <v>1767.16</v>
      </c>
      <c r="Q61" s="2"/>
      <c r="R61" s="7">
        <f t="shared" si="32"/>
        <v>2.4398169803149178E-3</v>
      </c>
      <c r="S61" s="2"/>
      <c r="T61" s="6">
        <v>1700</v>
      </c>
      <c r="U61" s="2"/>
      <c r="V61" s="7">
        <f t="shared" si="33"/>
        <v>4.3724279835390947E-3</v>
      </c>
      <c r="W61" s="2"/>
      <c r="X61" s="6">
        <f t="shared" si="34"/>
        <v>67.160000000000082</v>
      </c>
      <c r="Y61" s="2"/>
      <c r="Z61" s="7">
        <f t="shared" si="35"/>
        <v>3.9505882352941224E-2</v>
      </c>
    </row>
    <row r="62" spans="1:26" s="29" customFormat="1" outlineLevel="1" collapsed="1" x14ac:dyDescent="0.3">
      <c r="A62" s="28"/>
      <c r="B62" s="14" t="str">
        <f>CONCATENATE("     ","Insurance                                         ")</f>
        <v xml:space="preserve">     Insurance                                         </v>
      </c>
      <c r="C62" s="14"/>
      <c r="D62" s="1">
        <f>SUM(OSRRefD22_9x_0)</f>
        <v>5.21</v>
      </c>
      <c r="E62" s="1"/>
      <c r="F62" s="5">
        <f t="shared" si="28"/>
        <v>2.2541461037127864E-5</v>
      </c>
      <c r="G62" s="1"/>
      <c r="H62" s="1">
        <f>SUM(OSRRefH22_9x_0)</f>
        <v>10</v>
      </c>
      <c r="I62" s="1"/>
      <c r="J62" s="5">
        <f t="shared" si="29"/>
        <v>1.1574074074074075E-4</v>
      </c>
      <c r="K62" s="1"/>
      <c r="L62" s="1">
        <f t="shared" si="30"/>
        <v>-4.79</v>
      </c>
      <c r="M62" s="1"/>
      <c r="N62" s="5">
        <f t="shared" si="31"/>
        <v>-0.47899999999999998</v>
      </c>
      <c r="O62" s="14"/>
      <c r="P62" s="1">
        <f>SUM(OSRRefP22_9x_0)</f>
        <v>26.06</v>
      </c>
      <c r="Q62" s="1"/>
      <c r="R62" s="5">
        <f t="shared" si="32"/>
        <v>3.5979555052743807E-5</v>
      </c>
      <c r="S62" s="1"/>
      <c r="T62" s="1">
        <f>SUM(OSRRefT22_9x_0)</f>
        <v>50</v>
      </c>
      <c r="U62" s="1"/>
      <c r="V62" s="5">
        <f t="shared" si="33"/>
        <v>1.286008230452675E-4</v>
      </c>
      <c r="W62" s="1"/>
      <c r="X62" s="1">
        <f t="shared" si="34"/>
        <v>-23.94</v>
      </c>
      <c r="Y62" s="1"/>
      <c r="Z62" s="5">
        <f t="shared" si="35"/>
        <v>-0.4788</v>
      </c>
    </row>
    <row r="63" spans="1:26" s="24" customFormat="1" hidden="1" outlineLevel="2" x14ac:dyDescent="0.3">
      <c r="A63" s="27"/>
      <c r="B63" s="11" t="str">
        <f>CONCATENATE("          ", "6314", " - ", "LIABILITY INSURANCE")</f>
        <v xml:space="preserve">          6314 - LIABILITY INSURANCE</v>
      </c>
      <c r="C63" s="11"/>
      <c r="D63" s="6">
        <v>5.21</v>
      </c>
      <c r="E63" s="2"/>
      <c r="F63" s="7">
        <f t="shared" si="28"/>
        <v>2.2541461037127864E-5</v>
      </c>
      <c r="G63" s="2"/>
      <c r="H63" s="6">
        <v>10</v>
      </c>
      <c r="I63" s="2"/>
      <c r="J63" s="7">
        <f t="shared" si="29"/>
        <v>1.1574074074074075E-4</v>
      </c>
      <c r="K63" s="2"/>
      <c r="L63" s="6">
        <f t="shared" si="30"/>
        <v>-4.79</v>
      </c>
      <c r="M63" s="2"/>
      <c r="N63" s="7">
        <f t="shared" si="31"/>
        <v>-0.47899999999999998</v>
      </c>
      <c r="O63" s="11"/>
      <c r="P63" s="6">
        <v>26.06</v>
      </c>
      <c r="Q63" s="2"/>
      <c r="R63" s="7">
        <f t="shared" si="32"/>
        <v>3.5979555052743807E-5</v>
      </c>
      <c r="S63" s="2"/>
      <c r="T63" s="6">
        <v>50</v>
      </c>
      <c r="U63" s="2"/>
      <c r="V63" s="7">
        <f t="shared" si="33"/>
        <v>1.286008230452675E-4</v>
      </c>
      <c r="W63" s="2"/>
      <c r="X63" s="6">
        <f t="shared" si="34"/>
        <v>-23.94</v>
      </c>
      <c r="Y63" s="2"/>
      <c r="Z63" s="7">
        <f t="shared" si="35"/>
        <v>-0.4788</v>
      </c>
    </row>
    <row r="64" spans="1:26" s="29" customFormat="1" outlineLevel="1" collapsed="1" x14ac:dyDescent="0.3">
      <c r="A64" s="28"/>
      <c r="B64" s="14" t="str">
        <f>CONCATENATE("     ","R/H Commissions                                   ")</f>
        <v xml:space="preserve">     R/H Commissions                                   </v>
      </c>
      <c r="C64" s="14"/>
      <c r="D64" s="1">
        <f>SUM(OSRRefD22_10x_0)</f>
        <v>18379.11</v>
      </c>
      <c r="E64" s="1"/>
      <c r="F64" s="5">
        <f t="shared" si="28"/>
        <v>7.9518616499440906E-2</v>
      </c>
      <c r="G64" s="1"/>
      <c r="H64" s="1">
        <f>SUM(OSRRefH22_10x_0)</f>
        <v>6912</v>
      </c>
      <c r="I64" s="1"/>
      <c r="J64" s="5">
        <f t="shared" si="29"/>
        <v>0.08</v>
      </c>
      <c r="K64" s="1"/>
      <c r="L64" s="1">
        <f t="shared" si="30"/>
        <v>11467.11</v>
      </c>
      <c r="M64" s="1"/>
      <c r="N64" s="5">
        <f t="shared" si="31"/>
        <v>1.6590147569444444</v>
      </c>
      <c r="O64" s="14"/>
      <c r="P64" s="1">
        <f>SUM(OSRRefP22_10x_0)</f>
        <v>53922.91</v>
      </c>
      <c r="Q64" s="1"/>
      <c r="R64" s="5">
        <f t="shared" si="32"/>
        <v>7.444828507095741E-2</v>
      </c>
      <c r="S64" s="1"/>
      <c r="T64" s="1">
        <f>SUM(OSRRefT22_10x_0)</f>
        <v>31104</v>
      </c>
      <c r="U64" s="1"/>
      <c r="V64" s="5">
        <f t="shared" si="33"/>
        <v>0.08</v>
      </c>
      <c r="W64" s="1"/>
      <c r="X64" s="1">
        <f t="shared" si="34"/>
        <v>22818.910000000003</v>
      </c>
      <c r="Y64" s="1"/>
      <c r="Z64" s="5">
        <f t="shared" si="35"/>
        <v>0.7336326517489713</v>
      </c>
    </row>
    <row r="65" spans="1:26" s="24" customFormat="1" hidden="1" outlineLevel="2" x14ac:dyDescent="0.3">
      <c r="A65" s="27"/>
      <c r="B65" s="11" t="str">
        <f>CONCATENATE("          ", "6387", " - ", "COMMISSION DUE HOUSING")</f>
        <v xml:space="preserve">          6387 - COMMISSION DUE HOUSING</v>
      </c>
      <c r="C65" s="11"/>
      <c r="D65" s="6">
        <v>18379.11</v>
      </c>
      <c r="E65" s="2"/>
      <c r="F65" s="7">
        <f t="shared" si="28"/>
        <v>7.9518616499440906E-2</v>
      </c>
      <c r="G65" s="2"/>
      <c r="H65" s="6">
        <v>6912</v>
      </c>
      <c r="I65" s="2"/>
      <c r="J65" s="7">
        <f t="shared" si="29"/>
        <v>0.08</v>
      </c>
      <c r="K65" s="2"/>
      <c r="L65" s="6">
        <f t="shared" si="30"/>
        <v>11467.11</v>
      </c>
      <c r="M65" s="2"/>
      <c r="N65" s="7">
        <f t="shared" si="31"/>
        <v>1.6590147569444444</v>
      </c>
      <c r="O65" s="11"/>
      <c r="P65" s="6">
        <v>53922.91</v>
      </c>
      <c r="Q65" s="2"/>
      <c r="R65" s="7">
        <f t="shared" si="32"/>
        <v>7.444828507095741E-2</v>
      </c>
      <c r="S65" s="2"/>
      <c r="T65" s="6">
        <v>31104</v>
      </c>
      <c r="U65" s="2"/>
      <c r="V65" s="7">
        <f t="shared" si="33"/>
        <v>0.08</v>
      </c>
      <c r="W65" s="2"/>
      <c r="X65" s="6">
        <f t="shared" si="34"/>
        <v>22818.910000000003</v>
      </c>
      <c r="Y65" s="2"/>
      <c r="Z65" s="7">
        <f t="shared" si="35"/>
        <v>0.7336326517489713</v>
      </c>
    </row>
    <row r="66" spans="1:26" s="29" customFormat="1" outlineLevel="1" collapsed="1" x14ac:dyDescent="0.3">
      <c r="A66" s="28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SUM(OSRRefD22_11x_0)</f>
        <v>0</v>
      </c>
      <c r="E66" s="1"/>
      <c r="F66" s="5">
        <f t="shared" si="28"/>
        <v>0</v>
      </c>
      <c r="G66" s="1"/>
      <c r="H66" s="1">
        <f>SUM(OSRRefH22_11x_0)</f>
        <v>100</v>
      </c>
      <c r="I66" s="1"/>
      <c r="J66" s="5">
        <f t="shared" si="29"/>
        <v>1.1574074074074073E-3</v>
      </c>
      <c r="K66" s="1"/>
      <c r="L66" s="1">
        <f t="shared" si="30"/>
        <v>-100</v>
      </c>
      <c r="M66" s="1"/>
      <c r="N66" s="5">
        <f t="shared" si="31"/>
        <v>-1</v>
      </c>
      <c r="O66" s="14"/>
      <c r="P66" s="1">
        <f>SUM(OSRRefP22_11x_0)</f>
        <v>761.86</v>
      </c>
      <c r="Q66" s="1"/>
      <c r="R66" s="5">
        <f t="shared" si="32"/>
        <v>1.0518566313309056E-3</v>
      </c>
      <c r="S66" s="1"/>
      <c r="T66" s="1">
        <f>SUM(OSRRefT22_11x_0)</f>
        <v>2000</v>
      </c>
      <c r="U66" s="1"/>
      <c r="V66" s="5">
        <f t="shared" si="33"/>
        <v>5.1440329218106996E-3</v>
      </c>
      <c r="W66" s="1"/>
      <c r="X66" s="1">
        <f t="shared" si="34"/>
        <v>-1238.1399999999999</v>
      </c>
      <c r="Y66" s="1"/>
      <c r="Z66" s="5">
        <f t="shared" si="35"/>
        <v>-0.6190699999999999</v>
      </c>
    </row>
    <row r="67" spans="1:26" s="24" customFormat="1" hidden="1" outlineLevel="2" x14ac:dyDescent="0.3">
      <c r="A67" s="27"/>
      <c r="B67" s="11" t="str">
        <f>CONCATENATE("          ", "6371", " - ", "COMPUTER SOFTWARE MAINTENANCE")</f>
        <v xml:space="preserve">          6371 - COMPUTER SOFTWARE MAINTENANCE</v>
      </c>
      <c r="C67" s="11"/>
      <c r="D67" s="6"/>
      <c r="E67" s="2"/>
      <c r="F67" s="7">
        <f t="shared" si="28"/>
        <v>0</v>
      </c>
      <c r="G67" s="2"/>
      <c r="H67" s="6"/>
      <c r="I67" s="2"/>
      <c r="J67" s="7">
        <f t="shared" si="29"/>
        <v>0</v>
      </c>
      <c r="K67" s="2"/>
      <c r="L67" s="6">
        <f t="shared" si="30"/>
        <v>0</v>
      </c>
      <c r="M67" s="2"/>
      <c r="N67" s="7">
        <f t="shared" si="31"/>
        <v>0</v>
      </c>
      <c r="O67" s="11"/>
      <c r="P67" s="6"/>
      <c r="Q67" s="2"/>
      <c r="R67" s="7">
        <f t="shared" si="32"/>
        <v>0</v>
      </c>
      <c r="S67" s="2"/>
      <c r="T67" s="6">
        <v>0</v>
      </c>
      <c r="U67" s="2"/>
      <c r="V67" s="7">
        <f t="shared" si="33"/>
        <v>0</v>
      </c>
      <c r="W67" s="2"/>
      <c r="X67" s="6">
        <f t="shared" si="34"/>
        <v>0</v>
      </c>
      <c r="Y67" s="2"/>
      <c r="Z67" s="7">
        <f t="shared" si="35"/>
        <v>0</v>
      </c>
    </row>
    <row r="68" spans="1:26" s="24" customFormat="1" hidden="1" outlineLevel="2" x14ac:dyDescent="0.3">
      <c r="A68" s="27"/>
      <c r="B68" s="11" t="str">
        <f>CONCATENATE("          ", "6373", " - ", "MAINTENANCE CONTRACTS")</f>
        <v xml:space="preserve">          6373 - MAINTENANCE CONTRACTS</v>
      </c>
      <c r="C68" s="11"/>
      <c r="D68" s="6"/>
      <c r="E68" s="2"/>
      <c r="F68" s="7">
        <f t="shared" si="28"/>
        <v>0</v>
      </c>
      <c r="G68" s="2"/>
      <c r="H68" s="6"/>
      <c r="I68" s="2"/>
      <c r="J68" s="7">
        <f t="shared" si="29"/>
        <v>0</v>
      </c>
      <c r="K68" s="2"/>
      <c r="L68" s="6">
        <f t="shared" si="30"/>
        <v>0</v>
      </c>
      <c r="M68" s="2"/>
      <c r="N68" s="7">
        <f t="shared" si="31"/>
        <v>0</v>
      </c>
      <c r="O68" s="11"/>
      <c r="P68" s="6">
        <v>71.86</v>
      </c>
      <c r="Q68" s="2"/>
      <c r="R68" s="7">
        <f t="shared" si="32"/>
        <v>9.9213001768617439E-5</v>
      </c>
      <c r="S68" s="2"/>
      <c r="T68" s="6">
        <v>1500</v>
      </c>
      <c r="U68" s="2"/>
      <c r="V68" s="7">
        <f t="shared" si="33"/>
        <v>3.8580246913580245E-3</v>
      </c>
      <c r="W68" s="2"/>
      <c r="X68" s="6">
        <f t="shared" si="34"/>
        <v>-1428.14</v>
      </c>
      <c r="Y68" s="2"/>
      <c r="Z68" s="7">
        <f t="shared" si="35"/>
        <v>-0.95209333333333335</v>
      </c>
    </row>
    <row r="69" spans="1:26" s="24" customFormat="1" hidden="1" outlineLevel="2" x14ac:dyDescent="0.3">
      <c r="A69" s="27"/>
      <c r="B69" s="11" t="str">
        <f>CONCATENATE("          ", "6375", " - ", "OUTSIDE REPAIRS &amp; MAINTENANCE")</f>
        <v xml:space="preserve">          6375 - OUTSIDE REPAIRS &amp; MAINTENANCE</v>
      </c>
      <c r="C69" s="11"/>
      <c r="D69" s="6"/>
      <c r="E69" s="2"/>
      <c r="F69" s="7">
        <f t="shared" si="28"/>
        <v>0</v>
      </c>
      <c r="G69" s="2"/>
      <c r="H69" s="6">
        <v>100</v>
      </c>
      <c r="I69" s="2"/>
      <c r="J69" s="7">
        <f t="shared" si="29"/>
        <v>1.1574074074074073E-3</v>
      </c>
      <c r="K69" s="2"/>
      <c r="L69" s="6">
        <f t="shared" si="30"/>
        <v>-100</v>
      </c>
      <c r="M69" s="2"/>
      <c r="N69" s="7">
        <f t="shared" si="31"/>
        <v>-1</v>
      </c>
      <c r="O69" s="11"/>
      <c r="P69" s="6">
        <v>690</v>
      </c>
      <c r="Q69" s="2"/>
      <c r="R69" s="7">
        <f t="shared" si="32"/>
        <v>9.5264362956228813E-4</v>
      </c>
      <c r="S69" s="2"/>
      <c r="T69" s="6">
        <v>500</v>
      </c>
      <c r="U69" s="2"/>
      <c r="V69" s="7">
        <f t="shared" si="33"/>
        <v>1.2860082304526749E-3</v>
      </c>
      <c r="W69" s="2"/>
      <c r="X69" s="6">
        <f t="shared" si="34"/>
        <v>190</v>
      </c>
      <c r="Y69" s="2"/>
      <c r="Z69" s="7">
        <f t="shared" si="35"/>
        <v>0.38</v>
      </c>
    </row>
    <row r="70" spans="1:26" s="29" customFormat="1" outlineLevel="1" collapsed="1" x14ac:dyDescent="0.3">
      <c r="A70" s="28"/>
      <c r="B70" s="14" t="str">
        <f>CONCATENATE("     ","Services                                          ")</f>
        <v xml:space="preserve">     Services                                          </v>
      </c>
      <c r="C70" s="14"/>
      <c r="D70" s="1">
        <f>SUM(OSRRefD22_12x_0)</f>
        <v>6137.75</v>
      </c>
      <c r="E70" s="1"/>
      <c r="F70" s="5">
        <f t="shared" ref="F70:F74" si="36">IF(D$12=0,0,D70/D$12)</f>
        <v>2.65554419348621E-2</v>
      </c>
      <c r="G70" s="1"/>
      <c r="H70" s="1">
        <f>SUM(OSRRefH22_12x_0)</f>
        <v>6972</v>
      </c>
      <c r="I70" s="1"/>
      <c r="J70" s="5">
        <f t="shared" ref="J70:J74" si="37">IF(H$12=0,0,H70/H$12)</f>
        <v>8.0694444444444444E-2</v>
      </c>
      <c r="K70" s="1"/>
      <c r="L70" s="1">
        <f t="shared" ref="L70:L74" si="38">+D70-H70</f>
        <v>-834.25</v>
      </c>
      <c r="M70" s="1"/>
      <c r="N70" s="5">
        <f t="shared" ref="N70:N74" si="39">IF(H70=0,0,L70/H70)</f>
        <v>-0.11965720022948939</v>
      </c>
      <c r="O70" s="14"/>
      <c r="P70" s="1">
        <f>SUM(OSRRefP22_12x_0)</f>
        <v>22264.1</v>
      </c>
      <c r="Q70" s="1"/>
      <c r="R70" s="5">
        <f t="shared" ref="R70:R74" si="40">IF(P$12=0,0,P70/P$12)</f>
        <v>3.0738772511503969E-2</v>
      </c>
      <c r="S70" s="1"/>
      <c r="T70" s="1">
        <f>SUM(OSRRefT22_12x_0)</f>
        <v>33260</v>
      </c>
      <c r="U70" s="1"/>
      <c r="V70" s="5">
        <f t="shared" ref="V70:V74" si="41">IF(T$12=0,0,T70/T$12)</f>
        <v>8.5545267489711932E-2</v>
      </c>
      <c r="W70" s="1"/>
      <c r="X70" s="1">
        <f t="shared" ref="X70:X74" si="42">+P70-T70</f>
        <v>-10995.900000000001</v>
      </c>
      <c r="Y70" s="1"/>
      <c r="Z70" s="5">
        <f t="shared" ref="Z70:Z74" si="43">IF(T70=0,0,X70/T70)</f>
        <v>-0.33060432952495494</v>
      </c>
    </row>
    <row r="71" spans="1:26" s="24" customFormat="1" hidden="1" outlineLevel="2" x14ac:dyDescent="0.3">
      <c r="A71" s="27"/>
      <c r="B71" s="11" t="str">
        <f>CONCATENATE("          ", "6282", " - ", "JANITORIAL/EXTERMINATOR EXPENS")</f>
        <v xml:space="preserve">          6282 - JANITORIAL/EXTERMINATOR EXPENS</v>
      </c>
      <c r="C71" s="11"/>
      <c r="D71" s="6">
        <v>829.16</v>
      </c>
      <c r="E71" s="2"/>
      <c r="F71" s="7">
        <f t="shared" si="36"/>
        <v>3.5874237684347292E-3</v>
      </c>
      <c r="G71" s="2"/>
      <c r="H71" s="6">
        <v>670</v>
      </c>
      <c r="I71" s="2"/>
      <c r="J71" s="7">
        <f t="shared" si="37"/>
        <v>7.7546296296296295E-3</v>
      </c>
      <c r="K71" s="2"/>
      <c r="L71" s="6">
        <f t="shared" si="38"/>
        <v>159.15999999999997</v>
      </c>
      <c r="M71" s="2"/>
      <c r="N71" s="7">
        <f t="shared" si="39"/>
        <v>0.2375522388059701</v>
      </c>
      <c r="O71" s="11"/>
      <c r="P71" s="6">
        <v>3688.65</v>
      </c>
      <c r="Q71" s="2"/>
      <c r="R71" s="7">
        <f t="shared" si="40"/>
        <v>5.0927085857752673E-3</v>
      </c>
      <c r="S71" s="2"/>
      <c r="T71" s="6">
        <v>3350</v>
      </c>
      <c r="U71" s="2"/>
      <c r="V71" s="7">
        <f t="shared" si="41"/>
        <v>8.6162551440329225E-3</v>
      </c>
      <c r="W71" s="2"/>
      <c r="X71" s="6">
        <f t="shared" si="42"/>
        <v>338.65000000000009</v>
      </c>
      <c r="Y71" s="2"/>
      <c r="Z71" s="7">
        <f t="shared" si="43"/>
        <v>0.101089552238806</v>
      </c>
    </row>
    <row r="72" spans="1:26" s="24" customFormat="1" hidden="1" outlineLevel="2" x14ac:dyDescent="0.3">
      <c r="A72" s="27"/>
      <c r="B72" s="11" t="str">
        <f>CONCATENATE("          ", "6284", " - ", "TRASH REMOVAL EXPENSE")</f>
        <v xml:space="preserve">          6284 - TRASH REMOVAL EXPENSE</v>
      </c>
      <c r="C72" s="11"/>
      <c r="D72" s="6"/>
      <c r="E72" s="2"/>
      <c r="F72" s="7">
        <f t="shared" si="36"/>
        <v>0</v>
      </c>
      <c r="G72" s="2"/>
      <c r="H72" s="6">
        <v>50</v>
      </c>
      <c r="I72" s="2"/>
      <c r="J72" s="7">
        <f t="shared" si="37"/>
        <v>5.7870370370370367E-4</v>
      </c>
      <c r="K72" s="2"/>
      <c r="L72" s="6">
        <f t="shared" si="38"/>
        <v>-50</v>
      </c>
      <c r="M72" s="2"/>
      <c r="N72" s="7">
        <f t="shared" si="39"/>
        <v>-1</v>
      </c>
      <c r="O72" s="11"/>
      <c r="P72" s="6"/>
      <c r="Q72" s="2"/>
      <c r="R72" s="7">
        <f t="shared" si="40"/>
        <v>0</v>
      </c>
      <c r="S72" s="2"/>
      <c r="T72" s="6">
        <v>250</v>
      </c>
      <c r="U72" s="2"/>
      <c r="V72" s="7">
        <f t="shared" si="41"/>
        <v>6.4300411522633745E-4</v>
      </c>
      <c r="W72" s="2"/>
      <c r="X72" s="6">
        <f t="shared" si="42"/>
        <v>-250</v>
      </c>
      <c r="Y72" s="2"/>
      <c r="Z72" s="7">
        <f t="shared" si="43"/>
        <v>-1</v>
      </c>
    </row>
    <row r="73" spans="1:26" s="24" customFormat="1" hidden="1" outlineLevel="2" x14ac:dyDescent="0.3">
      <c r="A73" s="27"/>
      <c r="B73" s="11" t="str">
        <f>CONCATENATE("          ", "6285", " - ", "JANITORIAL SERVICES")</f>
        <v xml:space="preserve">          6285 - JANITORIAL SERVICES</v>
      </c>
      <c r="C73" s="11"/>
      <c r="D73" s="6">
        <v>4151.8599999999997</v>
      </c>
      <c r="E73" s="2"/>
      <c r="F73" s="7">
        <f t="shared" si="36"/>
        <v>1.7963337892823356E-2</v>
      </c>
      <c r="G73" s="2"/>
      <c r="H73" s="6">
        <v>4652</v>
      </c>
      <c r="I73" s="2"/>
      <c r="J73" s="7">
        <f t="shared" si="37"/>
        <v>5.3842592592592595E-2</v>
      </c>
      <c r="K73" s="2"/>
      <c r="L73" s="6">
        <f t="shared" si="38"/>
        <v>-500.14000000000033</v>
      </c>
      <c r="M73" s="2"/>
      <c r="N73" s="7">
        <f t="shared" si="39"/>
        <v>-0.10751074806534831</v>
      </c>
      <c r="O73" s="11"/>
      <c r="P73" s="6">
        <v>12396.62</v>
      </c>
      <c r="Q73" s="2"/>
      <c r="R73" s="7">
        <f t="shared" si="40"/>
        <v>1.7115305900151381E-2</v>
      </c>
      <c r="S73" s="2"/>
      <c r="T73" s="6">
        <v>23260</v>
      </c>
      <c r="U73" s="2"/>
      <c r="V73" s="7">
        <f t="shared" si="41"/>
        <v>5.9825102880658433E-2</v>
      </c>
      <c r="W73" s="2"/>
      <c r="X73" s="6">
        <f t="shared" si="42"/>
        <v>-10863.38</v>
      </c>
      <c r="Y73" s="2"/>
      <c r="Z73" s="7">
        <f t="shared" si="43"/>
        <v>-0.46704127257093719</v>
      </c>
    </row>
    <row r="74" spans="1:26" s="24" customFormat="1" hidden="1" outlineLevel="2" x14ac:dyDescent="0.3">
      <c r="A74" s="27"/>
      <c r="B74" s="11" t="str">
        <f>CONCATENATE("          ", "6286", " - ", "LAUNDRY EXPENSE")</f>
        <v xml:space="preserve">          6286 - LAUNDRY EXPENSE</v>
      </c>
      <c r="C74" s="11"/>
      <c r="D74" s="6">
        <v>1156.73</v>
      </c>
      <c r="E74" s="2"/>
      <c r="F74" s="7">
        <f t="shared" si="36"/>
        <v>5.0046802736040145E-3</v>
      </c>
      <c r="G74" s="2"/>
      <c r="H74" s="6">
        <v>1600</v>
      </c>
      <c r="I74" s="2"/>
      <c r="J74" s="7">
        <f t="shared" si="37"/>
        <v>1.8518518518518517E-2</v>
      </c>
      <c r="K74" s="2"/>
      <c r="L74" s="6">
        <f t="shared" si="38"/>
        <v>-443.27</v>
      </c>
      <c r="M74" s="2"/>
      <c r="N74" s="7">
        <f t="shared" si="39"/>
        <v>-0.27704374999999998</v>
      </c>
      <c r="O74" s="11"/>
      <c r="P74" s="6">
        <v>6178.83</v>
      </c>
      <c r="Q74" s="2"/>
      <c r="R74" s="7">
        <f t="shared" si="40"/>
        <v>8.5307580255773226E-3</v>
      </c>
      <c r="S74" s="2"/>
      <c r="T74" s="6">
        <v>6400</v>
      </c>
      <c r="U74" s="2"/>
      <c r="V74" s="7">
        <f t="shared" si="41"/>
        <v>1.646090534979424E-2</v>
      </c>
      <c r="W74" s="2"/>
      <c r="X74" s="6">
        <f t="shared" si="42"/>
        <v>-221.17000000000007</v>
      </c>
      <c r="Y74" s="2"/>
      <c r="Z74" s="7">
        <f t="shared" si="43"/>
        <v>-3.4557812500000014E-2</v>
      </c>
    </row>
    <row r="75" spans="1:26" s="29" customFormat="1" outlineLevel="1" collapsed="1" x14ac:dyDescent="0.3">
      <c r="A75" s="28"/>
      <c r="B75" s="14" t="str">
        <f>CONCATENATE("     ","Supplies                                          ")</f>
        <v xml:space="preserve">     Supplies                                          </v>
      </c>
      <c r="C75" s="14"/>
      <c r="D75" s="1">
        <f>SUM(OSRRefD22_13x_0)</f>
        <v>5386.119999999999</v>
      </c>
      <c r="E75" s="1"/>
      <c r="F75" s="5">
        <f t="shared" ref="F75:F82" si="44">IF(D$12=0,0,D75/D$12)</f>
        <v>2.3303457604855107E-2</v>
      </c>
      <c r="G75" s="1"/>
      <c r="H75" s="1">
        <f>SUM(OSRRefH22_13x_0)</f>
        <v>4846</v>
      </c>
      <c r="I75" s="1"/>
      <c r="J75" s="5">
        <f t="shared" ref="J75:J82" si="45">IF(H$12=0,0,H75/H$12)</f>
        <v>5.6087962962962964E-2</v>
      </c>
      <c r="K75" s="1"/>
      <c r="L75" s="1">
        <f t="shared" ref="L75:L82" si="46">+D75-H75</f>
        <v>540.11999999999898</v>
      </c>
      <c r="M75" s="1"/>
      <c r="N75" s="5">
        <f t="shared" ref="N75:N82" si="47">IF(H75=0,0,L75/H75)</f>
        <v>0.11145687164671873</v>
      </c>
      <c r="O75" s="14"/>
      <c r="P75" s="1">
        <f>SUM(OSRRefP22_13x_0)</f>
        <v>55765.679999999993</v>
      </c>
      <c r="Q75" s="1"/>
      <c r="R75" s="5">
        <f t="shared" ref="R75:R82" si="48">IF(P$12=0,0,P75/P$12)</f>
        <v>7.6992492464071152E-2</v>
      </c>
      <c r="S75" s="1"/>
      <c r="T75" s="1">
        <f>SUM(OSRRefT22_13x_0)</f>
        <v>31230</v>
      </c>
      <c r="U75" s="1"/>
      <c r="V75" s="5">
        <f t="shared" ref="V75:V82" si="49">IF(T$12=0,0,T75/T$12)</f>
        <v>8.0324074074074076E-2</v>
      </c>
      <c r="W75" s="1"/>
      <c r="X75" s="1">
        <f t="shared" ref="X75:X82" si="50">+P75-T75</f>
        <v>24535.679999999993</v>
      </c>
      <c r="Y75" s="1"/>
      <c r="Z75" s="5">
        <f t="shared" ref="Z75:Z82" si="51">IF(T75=0,0,X75/T75)</f>
        <v>0.78564457252641673</v>
      </c>
    </row>
    <row r="76" spans="1:26" s="24" customFormat="1" hidden="1" outlineLevel="2" x14ac:dyDescent="0.3">
      <c r="A76" s="27"/>
      <c r="B76" s="11" t="str">
        <f>CONCATENATE("          ", "6237", " - ", "JANITORIAL SUPPLIES")</f>
        <v xml:space="preserve">          6237 - JANITORIAL SUPPLIES</v>
      </c>
      <c r="C76" s="11"/>
      <c r="D76" s="6">
        <v>749.03</v>
      </c>
      <c r="E76" s="2"/>
      <c r="F76" s="7">
        <f t="shared" si="44"/>
        <v>3.2407352323684997E-3</v>
      </c>
      <c r="G76" s="2"/>
      <c r="H76" s="6">
        <v>2000</v>
      </c>
      <c r="I76" s="2"/>
      <c r="J76" s="7">
        <f t="shared" si="45"/>
        <v>2.3148148148148147E-2</v>
      </c>
      <c r="K76" s="2"/>
      <c r="L76" s="6">
        <f t="shared" si="46"/>
        <v>-1250.97</v>
      </c>
      <c r="M76" s="2"/>
      <c r="N76" s="7">
        <f t="shared" si="47"/>
        <v>-0.62548500000000007</v>
      </c>
      <c r="O76" s="11"/>
      <c r="P76" s="6">
        <v>7205.42</v>
      </c>
      <c r="Q76" s="2"/>
      <c r="R76" s="7">
        <f t="shared" si="48"/>
        <v>9.9481122627836267E-3</v>
      </c>
      <c r="S76" s="2"/>
      <c r="T76" s="6">
        <v>13000</v>
      </c>
      <c r="U76" s="2"/>
      <c r="V76" s="7">
        <f t="shared" si="49"/>
        <v>3.3436213991769548E-2</v>
      </c>
      <c r="W76" s="2"/>
      <c r="X76" s="6">
        <f t="shared" si="50"/>
        <v>-5794.58</v>
      </c>
      <c r="Y76" s="2"/>
      <c r="Z76" s="7">
        <f t="shared" si="51"/>
        <v>-0.44573692307692309</v>
      </c>
    </row>
    <row r="77" spans="1:26" s="24" customFormat="1" hidden="1" outlineLevel="2" x14ac:dyDescent="0.3">
      <c r="A77" s="27"/>
      <c r="B77" s="11" t="str">
        <f>CONCATENATE("          ", "6239", " - ", "KITCHEN SUPPLIES")</f>
        <v xml:space="preserve">          6239 - KITCHEN SUPPLIES</v>
      </c>
      <c r="C77" s="11"/>
      <c r="D77" s="6">
        <v>371.56</v>
      </c>
      <c r="E77" s="2"/>
      <c r="F77" s="7">
        <f t="shared" si="44"/>
        <v>1.6075825840605046E-3</v>
      </c>
      <c r="G77" s="2"/>
      <c r="H77" s="6">
        <v>400</v>
      </c>
      <c r="I77" s="2"/>
      <c r="J77" s="7">
        <f t="shared" si="45"/>
        <v>4.6296296296296294E-3</v>
      </c>
      <c r="K77" s="2"/>
      <c r="L77" s="6">
        <f t="shared" si="46"/>
        <v>-28.439999999999998</v>
      </c>
      <c r="M77" s="2"/>
      <c r="N77" s="7">
        <f t="shared" si="47"/>
        <v>-7.1099999999999997E-2</v>
      </c>
      <c r="O77" s="11"/>
      <c r="P77" s="6">
        <v>9073.91</v>
      </c>
      <c r="Q77" s="2"/>
      <c r="R77" s="7">
        <f t="shared" si="48"/>
        <v>1.2527829792350061E-2</v>
      </c>
      <c r="S77" s="2"/>
      <c r="T77" s="6">
        <v>8000</v>
      </c>
      <c r="U77" s="2"/>
      <c r="V77" s="7">
        <f t="shared" si="49"/>
        <v>2.0576131687242798E-2</v>
      </c>
      <c r="W77" s="2"/>
      <c r="X77" s="6">
        <f t="shared" si="50"/>
        <v>1073.9099999999999</v>
      </c>
      <c r="Y77" s="2"/>
      <c r="Z77" s="7">
        <f t="shared" si="51"/>
        <v>0.13423874999999999</v>
      </c>
    </row>
    <row r="78" spans="1:26" s="24" customFormat="1" hidden="1" outlineLevel="2" x14ac:dyDescent="0.3">
      <c r="A78" s="27"/>
      <c r="B78" s="11" t="str">
        <f>CONCATENATE("          ", "6241", " - ", "OFFICE EXPENSE")</f>
        <v xml:space="preserve">          6241 - OFFICE EXPENSE</v>
      </c>
      <c r="C78" s="11"/>
      <c r="D78" s="6">
        <v>92.05</v>
      </c>
      <c r="E78" s="2"/>
      <c r="F78" s="7">
        <f t="shared" si="44"/>
        <v>3.9826132216269096E-4</v>
      </c>
      <c r="G78" s="2"/>
      <c r="H78" s="6">
        <v>125</v>
      </c>
      <c r="I78" s="2"/>
      <c r="J78" s="7">
        <f t="shared" si="45"/>
        <v>1.4467592592592592E-3</v>
      </c>
      <c r="K78" s="2"/>
      <c r="L78" s="6">
        <f t="shared" si="46"/>
        <v>-32.950000000000003</v>
      </c>
      <c r="M78" s="2"/>
      <c r="N78" s="7">
        <f t="shared" si="47"/>
        <v>-0.2636</v>
      </c>
      <c r="O78" s="11"/>
      <c r="P78" s="6">
        <v>4689.2299999999996</v>
      </c>
      <c r="Q78" s="2"/>
      <c r="R78" s="7">
        <f t="shared" si="48"/>
        <v>6.4741523000758959E-3</v>
      </c>
      <c r="S78" s="2"/>
      <c r="T78" s="6">
        <v>625</v>
      </c>
      <c r="U78" s="2"/>
      <c r="V78" s="7">
        <f t="shared" si="49"/>
        <v>1.6075102880658437E-3</v>
      </c>
      <c r="W78" s="2"/>
      <c r="X78" s="6">
        <f t="shared" si="50"/>
        <v>4064.2299999999996</v>
      </c>
      <c r="Y78" s="2"/>
      <c r="Z78" s="7">
        <f t="shared" si="51"/>
        <v>6.5027679999999997</v>
      </c>
    </row>
    <row r="79" spans="1:26" s="24" customFormat="1" hidden="1" outlineLevel="2" x14ac:dyDescent="0.3">
      <c r="A79" s="27"/>
      <c r="B79" s="11" t="str">
        <f>CONCATENATE("          ", "6243", " - ", "PAPER SUPPLIES")</f>
        <v xml:space="preserve">          6243 - PAPER SUPPLIES</v>
      </c>
      <c r="C79" s="11"/>
      <c r="D79" s="6">
        <v>4173.4799999999996</v>
      </c>
      <c r="E79" s="2"/>
      <c r="F79" s="7">
        <f t="shared" si="44"/>
        <v>1.8056878466263415E-2</v>
      </c>
      <c r="G79" s="2"/>
      <c r="H79" s="6">
        <v>2000</v>
      </c>
      <c r="I79" s="2"/>
      <c r="J79" s="7">
        <f t="shared" si="45"/>
        <v>2.3148148148148147E-2</v>
      </c>
      <c r="K79" s="2"/>
      <c r="L79" s="6">
        <f t="shared" si="46"/>
        <v>2173.4799999999996</v>
      </c>
      <c r="M79" s="2"/>
      <c r="N79" s="7">
        <f t="shared" si="47"/>
        <v>1.0867399999999998</v>
      </c>
      <c r="O79" s="11"/>
      <c r="P79" s="6">
        <v>32718.76</v>
      </c>
      <c r="Q79" s="2"/>
      <c r="R79" s="7">
        <f t="shared" si="48"/>
        <v>4.517292504518465E-2</v>
      </c>
      <c r="S79" s="2"/>
      <c r="T79" s="6">
        <v>8000</v>
      </c>
      <c r="U79" s="2"/>
      <c r="V79" s="7">
        <f t="shared" si="49"/>
        <v>2.0576131687242798E-2</v>
      </c>
      <c r="W79" s="2"/>
      <c r="X79" s="6">
        <f t="shared" si="50"/>
        <v>24718.76</v>
      </c>
      <c r="Y79" s="2"/>
      <c r="Z79" s="7">
        <f t="shared" si="51"/>
        <v>3.089845</v>
      </c>
    </row>
    <row r="80" spans="1:26" s="24" customFormat="1" hidden="1" outlineLevel="2" x14ac:dyDescent="0.3">
      <c r="A80" s="27"/>
      <c r="B80" s="11" t="str">
        <f>CONCATENATE("          ", "6244", " - ", "SAFETY SUPPLY EXPENSE")</f>
        <v xml:space="preserve">          6244 - SAFETY SUPPLY EXPENSE</v>
      </c>
      <c r="C80" s="11"/>
      <c r="D80" s="6"/>
      <c r="E80" s="2"/>
      <c r="F80" s="7">
        <f t="shared" si="44"/>
        <v>0</v>
      </c>
      <c r="G80" s="2"/>
      <c r="H80" s="6">
        <v>125</v>
      </c>
      <c r="I80" s="2"/>
      <c r="J80" s="7">
        <f t="shared" si="45"/>
        <v>1.4467592592592592E-3</v>
      </c>
      <c r="K80" s="2"/>
      <c r="L80" s="6">
        <f t="shared" si="46"/>
        <v>-125</v>
      </c>
      <c r="M80" s="2"/>
      <c r="N80" s="7">
        <f t="shared" si="47"/>
        <v>-1</v>
      </c>
      <c r="O80" s="11"/>
      <c r="P80" s="6"/>
      <c r="Q80" s="2"/>
      <c r="R80" s="7">
        <f t="shared" si="48"/>
        <v>0</v>
      </c>
      <c r="S80" s="2"/>
      <c r="T80" s="6">
        <v>625</v>
      </c>
      <c r="U80" s="2"/>
      <c r="V80" s="7">
        <f t="shared" si="49"/>
        <v>1.6075102880658437E-3</v>
      </c>
      <c r="W80" s="2"/>
      <c r="X80" s="6">
        <f t="shared" si="50"/>
        <v>-625</v>
      </c>
      <c r="Y80" s="2"/>
      <c r="Z80" s="7">
        <f t="shared" si="51"/>
        <v>-1</v>
      </c>
    </row>
    <row r="81" spans="1:26" s="24" customFormat="1" hidden="1" outlineLevel="2" x14ac:dyDescent="0.3">
      <c r="A81" s="27"/>
      <c r="B81" s="11" t="str">
        <f>CONCATENATE("          ", "6247", " - ", "STORE SUPPLIES")</f>
        <v xml:space="preserve">          6247 - STORE SUPPLIES</v>
      </c>
      <c r="C81" s="11"/>
      <c r="D81" s="6"/>
      <c r="E81" s="2"/>
      <c r="F81" s="7">
        <f t="shared" si="44"/>
        <v>0</v>
      </c>
      <c r="G81" s="2"/>
      <c r="H81" s="6"/>
      <c r="I81" s="2"/>
      <c r="J81" s="7">
        <f t="shared" si="45"/>
        <v>0</v>
      </c>
      <c r="K81" s="2"/>
      <c r="L81" s="6">
        <f t="shared" si="46"/>
        <v>0</v>
      </c>
      <c r="M81" s="2"/>
      <c r="N81" s="7">
        <f t="shared" si="47"/>
        <v>0</v>
      </c>
      <c r="O81" s="11"/>
      <c r="P81" s="6">
        <v>207.94</v>
      </c>
      <c r="Q81" s="2"/>
      <c r="R81" s="7">
        <f t="shared" si="48"/>
        <v>2.8709089323359738E-4</v>
      </c>
      <c r="S81" s="2"/>
      <c r="T81" s="6"/>
      <c r="U81" s="2"/>
      <c r="V81" s="7">
        <f t="shared" si="49"/>
        <v>0</v>
      </c>
      <c r="W81" s="2"/>
      <c r="X81" s="6">
        <f t="shared" si="50"/>
        <v>207.94</v>
      </c>
      <c r="Y81" s="2"/>
      <c r="Z81" s="7">
        <f t="shared" si="51"/>
        <v>0</v>
      </c>
    </row>
    <row r="82" spans="1:26" s="24" customFormat="1" hidden="1" outlineLevel="2" x14ac:dyDescent="0.3">
      <c r="A82" s="27"/>
      <c r="B82" s="11" t="str">
        <f>CONCATENATE("          ", "6248", " - ", "UNIFORMS")</f>
        <v xml:space="preserve">          6248 - UNIFORMS</v>
      </c>
      <c r="C82" s="11"/>
      <c r="D82" s="6"/>
      <c r="E82" s="2"/>
      <c r="F82" s="7">
        <f t="shared" si="44"/>
        <v>0</v>
      </c>
      <c r="G82" s="2"/>
      <c r="H82" s="6">
        <v>196</v>
      </c>
      <c r="I82" s="2"/>
      <c r="J82" s="7">
        <f t="shared" si="45"/>
        <v>2.2685185185185187E-3</v>
      </c>
      <c r="K82" s="2"/>
      <c r="L82" s="6">
        <f t="shared" si="46"/>
        <v>-196</v>
      </c>
      <c r="M82" s="2"/>
      <c r="N82" s="7">
        <f t="shared" si="47"/>
        <v>-1</v>
      </c>
      <c r="O82" s="11"/>
      <c r="P82" s="6">
        <v>1870.42</v>
      </c>
      <c r="Q82" s="2"/>
      <c r="R82" s="7">
        <f t="shared" si="48"/>
        <v>2.5823821704433264E-3</v>
      </c>
      <c r="S82" s="2"/>
      <c r="T82" s="6">
        <v>980</v>
      </c>
      <c r="U82" s="2"/>
      <c r="V82" s="7">
        <f t="shared" si="49"/>
        <v>2.5205761316872428E-3</v>
      </c>
      <c r="W82" s="2"/>
      <c r="X82" s="6">
        <f t="shared" si="50"/>
        <v>890.42000000000007</v>
      </c>
      <c r="Y82" s="2"/>
      <c r="Z82" s="7">
        <f t="shared" si="51"/>
        <v>0.9085918367346939</v>
      </c>
    </row>
    <row r="83" spans="1:26" s="29" customFormat="1" outlineLevel="1" collapsed="1" x14ac:dyDescent="0.3">
      <c r="A83" s="28"/>
      <c r="B83" s="14" t="str">
        <f>CONCATENATE("     ","Telephone/Data Lines                              ")</f>
        <v xml:space="preserve">     Telephone/Data Lines                              </v>
      </c>
      <c r="C83" s="14"/>
      <c r="D83" s="1">
        <f>SUM(OSRRefD22_14x_0)</f>
        <v>147</v>
      </c>
      <c r="E83" s="1"/>
      <c r="F83" s="5">
        <f t="shared" ref="F83:F88" si="52">IF(D$12=0,0,D83/D$12)</f>
        <v>6.3600667417616048E-4</v>
      </c>
      <c r="G83" s="1"/>
      <c r="H83" s="1">
        <f>SUM(OSRRefH22_14x_0)</f>
        <v>125</v>
      </c>
      <c r="I83" s="1"/>
      <c r="J83" s="5">
        <f t="shared" ref="J83:J88" si="53">IF(H$12=0,0,H83/H$12)</f>
        <v>1.4467592592592592E-3</v>
      </c>
      <c r="K83" s="1"/>
      <c r="L83" s="1">
        <f t="shared" ref="L83:L88" si="54">+D83-H83</f>
        <v>22</v>
      </c>
      <c r="M83" s="1"/>
      <c r="N83" s="5">
        <f t="shared" ref="N83:N88" si="55">IF(H83=0,0,L83/H83)</f>
        <v>0.17599999999999999</v>
      </c>
      <c r="O83" s="14"/>
      <c r="P83" s="1">
        <f>SUM(OSRRefP22_14x_0)</f>
        <v>770.85</v>
      </c>
      <c r="Q83" s="1"/>
      <c r="R83" s="5">
        <f t="shared" ref="R83:R88" si="56">IF(P$12=0,0,P83/P$12)</f>
        <v>1.0642686113740433E-3</v>
      </c>
      <c r="S83" s="1"/>
      <c r="T83" s="1">
        <f>SUM(OSRRefT22_14x_0)</f>
        <v>625</v>
      </c>
      <c r="U83" s="1"/>
      <c r="V83" s="5">
        <f t="shared" ref="V83:V88" si="57">IF(T$12=0,0,T83/T$12)</f>
        <v>1.6075102880658437E-3</v>
      </c>
      <c r="W83" s="1"/>
      <c r="X83" s="1">
        <f t="shared" ref="X83:X88" si="58">+P83-T83</f>
        <v>145.85000000000002</v>
      </c>
      <c r="Y83" s="1"/>
      <c r="Z83" s="5">
        <f t="shared" ref="Z83:Z88" si="59">IF(T83=0,0,X83/T83)</f>
        <v>0.23336000000000004</v>
      </c>
    </row>
    <row r="84" spans="1:26" s="24" customFormat="1" hidden="1" outlineLevel="2" x14ac:dyDescent="0.3">
      <c r="A84" s="27"/>
      <c r="B84" s="11" t="str">
        <f>CONCATENATE("          ", "6309", " - ", "TELEPHONE")</f>
        <v xml:space="preserve">          6309 - TELEPHONE</v>
      </c>
      <c r="C84" s="11"/>
      <c r="D84" s="6">
        <v>147</v>
      </c>
      <c r="E84" s="2"/>
      <c r="F84" s="7">
        <f t="shared" si="52"/>
        <v>6.3600667417616048E-4</v>
      </c>
      <c r="G84" s="2"/>
      <c r="H84" s="6">
        <v>125</v>
      </c>
      <c r="I84" s="2"/>
      <c r="J84" s="7">
        <f t="shared" si="53"/>
        <v>1.4467592592592592E-3</v>
      </c>
      <c r="K84" s="2"/>
      <c r="L84" s="6">
        <f t="shared" si="54"/>
        <v>22</v>
      </c>
      <c r="M84" s="2"/>
      <c r="N84" s="7">
        <f t="shared" si="55"/>
        <v>0.17599999999999999</v>
      </c>
      <c r="O84" s="11"/>
      <c r="P84" s="6">
        <v>770.85</v>
      </c>
      <c r="Q84" s="2"/>
      <c r="R84" s="7">
        <f t="shared" si="56"/>
        <v>1.0642686113740433E-3</v>
      </c>
      <c r="S84" s="2"/>
      <c r="T84" s="6">
        <v>625</v>
      </c>
      <c r="U84" s="2"/>
      <c r="V84" s="7">
        <f t="shared" si="57"/>
        <v>1.6075102880658437E-3</v>
      </c>
      <c r="W84" s="2"/>
      <c r="X84" s="6">
        <f t="shared" si="58"/>
        <v>145.85000000000002</v>
      </c>
      <c r="Y84" s="2"/>
      <c r="Z84" s="7">
        <f t="shared" si="59"/>
        <v>0.23336000000000004</v>
      </c>
    </row>
    <row r="85" spans="1:26" s="29" customFormat="1" outlineLevel="1" collapsed="1" x14ac:dyDescent="0.3">
      <c r="A85" s="28"/>
      <c r="B85" s="14" t="str">
        <f>CONCATENATE("     ","Training                                          ")</f>
        <v xml:space="preserve">     Training                                          </v>
      </c>
      <c r="C85" s="14"/>
      <c r="D85" s="1">
        <f>SUM(OSRRefD22_15x_0)</f>
        <v>0</v>
      </c>
      <c r="E85" s="1"/>
      <c r="F85" s="5">
        <f t="shared" si="52"/>
        <v>0</v>
      </c>
      <c r="G85" s="1"/>
      <c r="H85" s="1">
        <f>SUM(OSRRefH22_15x_0)</f>
        <v>165</v>
      </c>
      <c r="I85" s="1"/>
      <c r="J85" s="5">
        <f t="shared" si="53"/>
        <v>1.9097222222222222E-3</v>
      </c>
      <c r="K85" s="1"/>
      <c r="L85" s="1">
        <f t="shared" si="54"/>
        <v>-165</v>
      </c>
      <c r="M85" s="1"/>
      <c r="N85" s="5">
        <f t="shared" si="55"/>
        <v>-1</v>
      </c>
      <c r="O85" s="14"/>
      <c r="P85" s="1">
        <f>SUM(OSRRefP22_15x_0)</f>
        <v>0</v>
      </c>
      <c r="Q85" s="1"/>
      <c r="R85" s="5">
        <f t="shared" si="56"/>
        <v>0</v>
      </c>
      <c r="S85" s="1"/>
      <c r="T85" s="1">
        <f>SUM(OSRRefT22_15x_0)</f>
        <v>825</v>
      </c>
      <c r="U85" s="1"/>
      <c r="V85" s="5">
        <f t="shared" si="57"/>
        <v>2.1219135802469135E-3</v>
      </c>
      <c r="W85" s="1"/>
      <c r="X85" s="1">
        <f t="shared" si="58"/>
        <v>-825</v>
      </c>
      <c r="Y85" s="1"/>
      <c r="Z85" s="5">
        <f t="shared" si="59"/>
        <v>-1</v>
      </c>
    </row>
    <row r="86" spans="1:26" s="24" customFormat="1" hidden="1" outlineLevel="2" x14ac:dyDescent="0.3">
      <c r="A86" s="27"/>
      <c r="B86" s="11" t="str">
        <f>CONCATENATE("          ", "6376", " - ", "TRAINING")</f>
        <v xml:space="preserve">          6376 - TRAINING</v>
      </c>
      <c r="C86" s="11"/>
      <c r="D86" s="6"/>
      <c r="E86" s="2"/>
      <c r="F86" s="7">
        <f t="shared" si="52"/>
        <v>0</v>
      </c>
      <c r="G86" s="2"/>
      <c r="H86" s="6">
        <v>165</v>
      </c>
      <c r="I86" s="2"/>
      <c r="J86" s="7">
        <f t="shared" si="53"/>
        <v>1.9097222222222222E-3</v>
      </c>
      <c r="K86" s="2"/>
      <c r="L86" s="6">
        <f t="shared" si="54"/>
        <v>-165</v>
      </c>
      <c r="M86" s="2"/>
      <c r="N86" s="7">
        <f t="shared" si="55"/>
        <v>-1</v>
      </c>
      <c r="O86" s="11"/>
      <c r="P86" s="6"/>
      <c r="Q86" s="2"/>
      <c r="R86" s="7">
        <f t="shared" si="56"/>
        <v>0</v>
      </c>
      <c r="S86" s="2"/>
      <c r="T86" s="6">
        <v>825</v>
      </c>
      <c r="U86" s="2"/>
      <c r="V86" s="7">
        <f t="shared" si="57"/>
        <v>2.1219135802469135E-3</v>
      </c>
      <c r="W86" s="2"/>
      <c r="X86" s="6">
        <f t="shared" si="58"/>
        <v>-825</v>
      </c>
      <c r="Y86" s="2"/>
      <c r="Z86" s="7">
        <f t="shared" si="59"/>
        <v>-1</v>
      </c>
    </row>
    <row r="87" spans="1:26" s="29" customFormat="1" outlineLevel="1" collapsed="1" x14ac:dyDescent="0.3">
      <c r="A87" s="28"/>
      <c r="B87" s="14" t="str">
        <f>CONCATENATE("     ","Travel                                            ")</f>
        <v xml:space="preserve">     Travel                                            </v>
      </c>
      <c r="C87" s="14"/>
      <c r="D87" s="1">
        <f>SUM(OSRRefD22_16x_0)</f>
        <v>0</v>
      </c>
      <c r="E87" s="1"/>
      <c r="F87" s="5">
        <f t="shared" si="52"/>
        <v>0</v>
      </c>
      <c r="G87" s="1"/>
      <c r="H87" s="1">
        <f>SUM(OSRRefH22_16x_0)</f>
        <v>0</v>
      </c>
      <c r="I87" s="1"/>
      <c r="J87" s="5">
        <f t="shared" si="53"/>
        <v>0</v>
      </c>
      <c r="K87" s="1"/>
      <c r="L87" s="1">
        <f t="shared" si="54"/>
        <v>0</v>
      </c>
      <c r="M87" s="1"/>
      <c r="N87" s="5">
        <f t="shared" si="55"/>
        <v>0</v>
      </c>
      <c r="O87" s="14"/>
      <c r="P87" s="1">
        <f>SUM(OSRRefP22_16x_0)</f>
        <v>104.02</v>
      </c>
      <c r="Q87" s="1"/>
      <c r="R87" s="5">
        <f t="shared" si="56"/>
        <v>1.4361447876386842E-4</v>
      </c>
      <c r="S87" s="1"/>
      <c r="T87" s="1">
        <f>SUM(OSRRefT22_16x_0)</f>
        <v>0</v>
      </c>
      <c r="U87" s="1"/>
      <c r="V87" s="5">
        <f t="shared" si="57"/>
        <v>0</v>
      </c>
      <c r="W87" s="1"/>
      <c r="X87" s="1">
        <f t="shared" si="58"/>
        <v>104.02</v>
      </c>
      <c r="Y87" s="1"/>
      <c r="Z87" s="5">
        <f t="shared" si="59"/>
        <v>0</v>
      </c>
    </row>
    <row r="88" spans="1:26" s="24" customFormat="1" hidden="1" outlineLevel="2" x14ac:dyDescent="0.3">
      <c r="A88" s="27"/>
      <c r="B88" s="11" t="str">
        <f>CONCATENATE("          ", "6298", " - ", "VEHICLE MILEAGE")</f>
        <v xml:space="preserve">          6298 - VEHICLE MILEAGE</v>
      </c>
      <c r="C88" s="11"/>
      <c r="D88" s="6"/>
      <c r="E88" s="2"/>
      <c r="F88" s="7">
        <f t="shared" si="52"/>
        <v>0</v>
      </c>
      <c r="G88" s="2"/>
      <c r="H88" s="6"/>
      <c r="I88" s="2"/>
      <c r="J88" s="7">
        <f t="shared" si="53"/>
        <v>0</v>
      </c>
      <c r="K88" s="2"/>
      <c r="L88" s="6">
        <f t="shared" si="54"/>
        <v>0</v>
      </c>
      <c r="M88" s="2"/>
      <c r="N88" s="7">
        <f t="shared" si="55"/>
        <v>0</v>
      </c>
      <c r="O88" s="11"/>
      <c r="P88" s="6">
        <v>104.02</v>
      </c>
      <c r="Q88" s="2"/>
      <c r="R88" s="7">
        <f t="shared" si="56"/>
        <v>1.4361447876386842E-4</v>
      </c>
      <c r="S88" s="2"/>
      <c r="T88" s="6"/>
      <c r="U88" s="2"/>
      <c r="V88" s="7">
        <f t="shared" si="57"/>
        <v>0</v>
      </c>
      <c r="W88" s="2"/>
      <c r="X88" s="6">
        <f t="shared" si="58"/>
        <v>104.02</v>
      </c>
      <c r="Y88" s="2"/>
      <c r="Z88" s="7">
        <f t="shared" si="59"/>
        <v>0</v>
      </c>
    </row>
    <row r="89" spans="1:26" s="63" customFormat="1" x14ac:dyDescent="0.3">
      <c r="A89" s="36"/>
      <c r="B89" s="36"/>
      <c r="C89" s="36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6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x14ac:dyDescent="0.3">
      <c r="A90" s="10"/>
      <c r="B90" s="25" t="s">
        <v>293</v>
      </c>
      <c r="C90" s="10"/>
      <c r="D90" s="4">
        <f>SUM(0)</f>
        <v>0</v>
      </c>
      <c r="E90" s="4"/>
      <c r="F90" s="12">
        <f>IF(D$12=0,0,D90/D$12)</f>
        <v>0</v>
      </c>
      <c r="G90" s="4"/>
      <c r="H90" s="4">
        <f>SUM(0)</f>
        <v>0</v>
      </c>
      <c r="I90" s="4"/>
      <c r="J90" s="12">
        <f>IF(H$12=0,0,H90/H$12)</f>
        <v>0</v>
      </c>
      <c r="K90" s="4"/>
      <c r="L90" s="4">
        <f>+D90-H90</f>
        <v>0</v>
      </c>
      <c r="M90" s="4"/>
      <c r="N90" s="12">
        <f>IF(H90=0,0,L90/H90)</f>
        <v>0</v>
      </c>
      <c r="O90" s="10"/>
      <c r="P90" s="4">
        <f>SUM(0)</f>
        <v>0</v>
      </c>
      <c r="Q90" s="4"/>
      <c r="R90" s="12">
        <f>IF(P$12=0,0,P90/P$12)</f>
        <v>0</v>
      </c>
      <c r="S90" s="4"/>
      <c r="T90" s="4">
        <f>SUM(0)</f>
        <v>0</v>
      </c>
      <c r="U90" s="4"/>
      <c r="V90" s="12">
        <f>IF(T$12=0,0,T90/T$12)</f>
        <v>0</v>
      </c>
      <c r="W90" s="4"/>
      <c r="X90" s="4">
        <f>+P90-T90</f>
        <v>0</v>
      </c>
      <c r="Y90" s="4"/>
      <c r="Z90" s="12">
        <f>IF(T90=0,0,X90/T90)</f>
        <v>0</v>
      </c>
    </row>
    <row r="91" spans="1:26" x14ac:dyDescent="0.3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3">
      <c r="A92" s="10"/>
      <c r="B92" s="26" t="s">
        <v>277</v>
      </c>
      <c r="C92" s="26"/>
      <c r="D92" s="20">
        <f>+D23-D25+D90</f>
        <v>68453.559999999969</v>
      </c>
      <c r="E92" s="13"/>
      <c r="F92" s="22">
        <f>IF(D$12=0,0,D92/D$12)</f>
        <v>0.29616953082393355</v>
      </c>
      <c r="G92" s="13"/>
      <c r="H92" s="20">
        <f>+H23-H25+H90</f>
        <v>-53822.126996923093</v>
      </c>
      <c r="I92" s="13"/>
      <c r="J92" s="22">
        <f>IF(H$12=0,0,H92/H$12)</f>
        <v>-0.62294128468660992</v>
      </c>
      <c r="K92" s="15"/>
      <c r="L92" s="20">
        <f>+D92-H92</f>
        <v>122275.68699692306</v>
      </c>
      <c r="M92" s="15"/>
      <c r="N92" s="22">
        <f>IF(H92=0,0,L92/H92)</f>
        <v>-2.2718479149646638</v>
      </c>
      <c r="O92" s="25"/>
      <c r="P92" s="20">
        <f>+P23-P25+P90</f>
        <v>-35131.590000000084</v>
      </c>
      <c r="Q92" s="13"/>
      <c r="R92" s="22">
        <f>IF(P$12=0,0,P92/P$12)</f>
        <v>-4.8504181753469953E-2</v>
      </c>
      <c r="S92" s="13"/>
      <c r="T92" s="20">
        <f>+T23-T25+T90</f>
        <v>-312720.1619830773</v>
      </c>
      <c r="U92" s="13"/>
      <c r="V92" s="22">
        <f>IF(T$12=0,0,T92/T$12)</f>
        <v>-0.80432140427746224</v>
      </c>
      <c r="W92" s="15"/>
      <c r="X92" s="20">
        <f>+P92-T92</f>
        <v>277588.57198307721</v>
      </c>
      <c r="Y92" s="15"/>
      <c r="Z92" s="22">
        <f>IF(T92=0,0,X92/T92)</f>
        <v>-0.88765805895847161</v>
      </c>
    </row>
    <row r="93" spans="1:26" x14ac:dyDescent="0.3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3">
      <c r="A94" s="52"/>
      <c r="B94" s="10" t="s">
        <v>128</v>
      </c>
      <c r="C94" s="10"/>
      <c r="D94" s="4">
        <v>29266.22</v>
      </c>
      <c r="E94" s="4"/>
      <c r="F94" s="12">
        <f>IF(D$12=0,0,D94/D$12)</f>
        <v>0.12662252549597164</v>
      </c>
      <c r="G94" s="4"/>
      <c r="H94" s="4">
        <v>13832</v>
      </c>
      <c r="I94" s="4"/>
      <c r="J94" s="12">
        <f>IF(H$12=0,0,H94/H$12)</f>
        <v>0.16009259259259259</v>
      </c>
      <c r="K94" s="4"/>
      <c r="L94" s="4">
        <f>+D94-H94</f>
        <v>15434.220000000001</v>
      </c>
      <c r="M94" s="4"/>
      <c r="N94" s="12">
        <f>IF(H94=0,0,L94/H94)</f>
        <v>1.1158342972816657</v>
      </c>
      <c r="O94" s="10"/>
      <c r="P94" s="4">
        <v>86272.66</v>
      </c>
      <c r="Q94" s="4"/>
      <c r="R94" s="12">
        <f>IF(P$12=0,0,P94/P$12)</f>
        <v>0.11911173906433803</v>
      </c>
      <c r="S94" s="4"/>
      <c r="T94" s="4">
        <v>48605</v>
      </c>
      <c r="U94" s="4"/>
      <c r="V94" s="12">
        <f>IF(T$12=0,0,T94/T$12)</f>
        <v>0.12501286008230453</v>
      </c>
      <c r="W94" s="4"/>
      <c r="X94" s="4">
        <f>+P94-T94</f>
        <v>37667.660000000003</v>
      </c>
      <c r="Y94" s="4"/>
      <c r="Z94" s="12">
        <f>IF(T94=0,0,X94/T94)</f>
        <v>0.774975002571752</v>
      </c>
    </row>
    <row r="95" spans="1:26" x14ac:dyDescent="0.3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" thickBot="1" x14ac:dyDescent="0.35">
      <c r="A96" s="10"/>
      <c r="B96" s="26" t="s">
        <v>126</v>
      </c>
      <c r="C96" s="26"/>
      <c r="D96" s="33">
        <f>+D92-D94</f>
        <v>39187.339999999967</v>
      </c>
      <c r="E96" s="13"/>
      <c r="F96" s="34">
        <f>IF(D$12=0,0,D96/D$12)</f>
        <v>0.16954700532796191</v>
      </c>
      <c r="G96" s="13"/>
      <c r="H96" s="33">
        <f>+H92-H94</f>
        <v>-67654.126996923093</v>
      </c>
      <c r="I96" s="13"/>
      <c r="J96" s="34">
        <f>IF(H$12=0,0,H96/H$12)</f>
        <v>-0.78303387727920248</v>
      </c>
      <c r="K96" s="15"/>
      <c r="L96" s="33">
        <f>D96-H96</f>
        <v>106841.46699692306</v>
      </c>
      <c r="M96" s="15"/>
      <c r="N96" s="34">
        <f>IF(H96=0,0,L96/H96)</f>
        <v>-1.5792305915318692</v>
      </c>
      <c r="O96" s="25"/>
      <c r="P96" s="33">
        <f>+P92-P94</f>
        <v>-121404.25000000009</v>
      </c>
      <c r="Q96" s="13"/>
      <c r="R96" s="34">
        <f>IF(P$12=0,0,P96/P$12)</f>
        <v>-0.16761592081780799</v>
      </c>
      <c r="S96" s="13"/>
      <c r="T96" s="33">
        <f>+T92-T94</f>
        <v>-361325.1619830773</v>
      </c>
      <c r="U96" s="13"/>
      <c r="V96" s="34">
        <f>IF(T$12=0,0,T96/T$12)</f>
        <v>-0.92933426435976674</v>
      </c>
      <c r="W96" s="15"/>
      <c r="X96" s="33">
        <f>P96-T96</f>
        <v>239920.91198307721</v>
      </c>
      <c r="Y96" s="15"/>
      <c r="Z96" s="34">
        <f>IF(T96=0,0,X96/T96)</f>
        <v>-0.66400277984048595</v>
      </c>
    </row>
    <row r="97" spans="1:26" ht="15" thickTop="1" x14ac:dyDescent="0.3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3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" thickBot="1" x14ac:dyDescent="0.35">
      <c r="A99" s="10"/>
      <c r="B99" s="26" t="s">
        <v>294</v>
      </c>
      <c r="C99" s="26"/>
      <c r="D99" s="35">
        <f>SUM(D96:D98)</f>
        <v>39187.339999999967</v>
      </c>
      <c r="E99" s="13"/>
      <c r="F99" s="32">
        <f>IF(D$12=0,0,D99/D$12)</f>
        <v>0.16954700532796191</v>
      </c>
      <c r="G99" s="13"/>
      <c r="H99" s="35">
        <f>SUM(H96:H98)</f>
        <v>-67654.126996923093</v>
      </c>
      <c r="I99" s="13"/>
      <c r="J99" s="32">
        <f>IF(H$12=0,0,H99/H$12)</f>
        <v>-0.78303387727920248</v>
      </c>
      <c r="K99" s="15"/>
      <c r="L99" s="35">
        <f>+D99-H99</f>
        <v>106841.46699692306</v>
      </c>
      <c r="M99" s="15"/>
      <c r="N99" s="32">
        <f>IF(H99=0,0,L99/H99)</f>
        <v>-1.5792305915318692</v>
      </c>
      <c r="O99" s="25"/>
      <c r="P99" s="35">
        <f>SUM(P96:P98)</f>
        <v>-121404.25000000009</v>
      </c>
      <c r="Q99" s="13"/>
      <c r="R99" s="32">
        <f>IF(P$12=0,0,P99/P$12)</f>
        <v>-0.16761592081780799</v>
      </c>
      <c r="S99" s="13"/>
      <c r="T99" s="35">
        <f>SUM(T96:T98)</f>
        <v>-361325.1619830773</v>
      </c>
      <c r="U99" s="13"/>
      <c r="V99" s="32">
        <f>IF(T$12=0,0,T99/T$12)</f>
        <v>-0.92933426435976674</v>
      </c>
      <c r="W99" s="15"/>
      <c r="X99" s="35">
        <f>+P99-T99</f>
        <v>239920.91198307721</v>
      </c>
      <c r="Y99" s="15"/>
      <c r="Z99" s="32">
        <f>IF(T99=0,0,X99/T99)</f>
        <v>-0.66400277984048595</v>
      </c>
    </row>
    <row r="100" spans="1:26" ht="15" thickTop="1" x14ac:dyDescent="0.3">
      <c r="A100" s="9"/>
      <c r="C100" s="9"/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  <row r="101" spans="1:26" x14ac:dyDescent="0.3">
      <c r="A101" s="9"/>
      <c r="B101" s="60">
        <v>44543.753113078703</v>
      </c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  <row r="102" spans="1:26" x14ac:dyDescent="0.3">
      <c r="A102" s="9"/>
      <c r="B102" s="58" t="s">
        <v>56</v>
      </c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  <row r="103" spans="1:26" x14ac:dyDescent="0.3">
      <c r="A103" s="9"/>
      <c r="B103" s="55"/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  <row r="104" spans="1:26" x14ac:dyDescent="0.3"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C000"/>
    <outlinePr summaryBelow="0" summaryRight="0"/>
  </sheetPr>
  <dimension ref="A2:Z8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105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16197</v>
      </c>
      <c r="E12" s="4"/>
      <c r="F12" s="12"/>
      <c r="G12" s="4"/>
      <c r="H12" s="4">
        <f>SUM(OSRRefH13x_0)</f>
        <v>33579</v>
      </c>
      <c r="I12" s="4"/>
      <c r="J12" s="12"/>
      <c r="K12" s="4"/>
      <c r="L12" s="4">
        <f t="shared" ref="L12:L13" si="0">+D12-H12</f>
        <v>-17382</v>
      </c>
      <c r="M12" s="4"/>
      <c r="N12" s="12">
        <f t="shared" ref="N12:N13" si="1">IF(H12=0,0,L12/H12)</f>
        <v>-0.51764495666934696</v>
      </c>
      <c r="O12" s="10"/>
      <c r="P12" s="4">
        <f>SUM(OSRRefP13x_0)</f>
        <v>304544</v>
      </c>
      <c r="Q12" s="4"/>
      <c r="R12" s="12"/>
      <c r="S12" s="4"/>
      <c r="T12" s="4">
        <f>SUM(OSRRefT13x_0)</f>
        <v>331871</v>
      </c>
      <c r="U12" s="4"/>
      <c r="V12" s="12"/>
      <c r="W12" s="4"/>
      <c r="X12" s="4">
        <f t="shared" ref="X12:X13" si="2">+P12-T12</f>
        <v>-27327</v>
      </c>
      <c r="Y12" s="4"/>
      <c r="Z12" s="12">
        <f t="shared" ref="Z12:Z13" si="3">IF(T12=0,0,X12/T12)</f>
        <v>-8.2342235386641191E-2</v>
      </c>
    </row>
    <row r="13" spans="1:26" s="24" customFormat="1" hidden="1" outlineLevel="1" x14ac:dyDescent="0.3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--16197</f>
        <v>16197</v>
      </c>
      <c r="E13" s="2"/>
      <c r="F13" s="19"/>
      <c r="G13" s="2"/>
      <c r="H13" s="2">
        <v>33579</v>
      </c>
      <c r="I13" s="2"/>
      <c r="J13" s="19"/>
      <c r="K13" s="2"/>
      <c r="L13" s="2">
        <f t="shared" si="0"/>
        <v>-17382</v>
      </c>
      <c r="M13" s="2"/>
      <c r="N13" s="19">
        <f t="shared" si="1"/>
        <v>-0.51764495666934696</v>
      </c>
      <c r="O13" s="11"/>
      <c r="P13" s="2">
        <f>--304544</f>
        <v>304544</v>
      </c>
      <c r="Q13" s="2"/>
      <c r="R13" s="19"/>
      <c r="S13" s="2"/>
      <c r="T13" s="2">
        <v>331871</v>
      </c>
      <c r="U13" s="2"/>
      <c r="V13" s="19"/>
      <c r="W13" s="2"/>
      <c r="X13" s="2">
        <f t="shared" si="2"/>
        <v>-27327</v>
      </c>
      <c r="Y13" s="2"/>
      <c r="Z13" s="19">
        <f t="shared" si="3"/>
        <v>-8.2342235386641191E-2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3">
      <c r="A15" s="10"/>
      <c r="B15" s="25" t="s">
        <v>257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3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3">
      <c r="A17" s="10"/>
      <c r="B17" s="26" t="s">
        <v>108</v>
      </c>
      <c r="C17" s="26"/>
      <c r="D17" s="20">
        <f>D12-D15</f>
        <v>16197</v>
      </c>
      <c r="E17" s="13"/>
      <c r="F17" s="22">
        <f>IF(D$12=0,0,D17/D$12)</f>
        <v>1</v>
      </c>
      <c r="G17" s="13"/>
      <c r="H17" s="20">
        <f>H12-H15</f>
        <v>33579</v>
      </c>
      <c r="I17" s="13"/>
      <c r="J17" s="22">
        <f>IF(H$12=0,0,H17/H$12)</f>
        <v>1</v>
      </c>
      <c r="K17" s="15"/>
      <c r="L17" s="20">
        <f>+D17-H17</f>
        <v>-17382</v>
      </c>
      <c r="M17" s="15"/>
      <c r="N17" s="22">
        <f>IF(H17=0,0,L17/H17)</f>
        <v>-0.51764495666934696</v>
      </c>
      <c r="O17" s="25"/>
      <c r="P17" s="20">
        <f>P12-P15</f>
        <v>304544</v>
      </c>
      <c r="Q17" s="13"/>
      <c r="R17" s="22">
        <f>IF(P$12=0,0,P17/P$12)</f>
        <v>1</v>
      </c>
      <c r="S17" s="13"/>
      <c r="T17" s="20">
        <f>T12-T15</f>
        <v>331871</v>
      </c>
      <c r="U17" s="13"/>
      <c r="V17" s="22">
        <f>IF(T$12=0,0,T17/T$12)</f>
        <v>1</v>
      </c>
      <c r="W17" s="15"/>
      <c r="X17" s="20">
        <f>+P17-T17</f>
        <v>-27327</v>
      </c>
      <c r="Y17" s="15"/>
      <c r="Z17" s="22">
        <f>IF(T17=0,0,X17/T17)</f>
        <v>-8.2342235386641191E-2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5" t="s">
        <v>295</v>
      </c>
      <c r="C19" s="10"/>
      <c r="D19" s="21">
        <f>SUM(OSRRefD22x_0)</f>
        <v>16817.129999999997</v>
      </c>
      <c r="E19" s="21"/>
      <c r="F19" s="30">
        <f t="shared" ref="F19:F30" si="4">IF(D$12=0,0,D19/D$12)</f>
        <v>1.0382867197629189</v>
      </c>
      <c r="G19" s="21"/>
      <c r="H19" s="21">
        <f>SUM(OSRRefH22x_0)</f>
        <v>32547.44352917769</v>
      </c>
      <c r="I19" s="21"/>
      <c r="J19" s="30">
        <f t="shared" ref="J19:J30" si="5">IF(H$12=0,0,H19/H$12)</f>
        <v>0.96927971438034755</v>
      </c>
      <c r="K19" s="4"/>
      <c r="L19" s="21">
        <f t="shared" ref="L19:L30" si="6">+D19-H19</f>
        <v>-15730.313529177693</v>
      </c>
      <c r="M19" s="4"/>
      <c r="N19" s="30">
        <f t="shared" ref="N19:N30" si="7">IF(H19=0,0,L19/H19)</f>
        <v>-0.48330411926442074</v>
      </c>
      <c r="O19" s="10"/>
      <c r="P19" s="21">
        <f>SUM(OSRRefP22x_0)</f>
        <v>242701.98</v>
      </c>
      <c r="Q19" s="21"/>
      <c r="R19" s="30">
        <f t="shared" ref="R19:R30" si="8">IF(P$12=0,0,P19/P$12)</f>
        <v>0.79693568088683409</v>
      </c>
      <c r="S19" s="21"/>
      <c r="T19" s="21">
        <f>SUM(OSRRefT22x_0)</f>
        <v>309953.23853547731</v>
      </c>
      <c r="U19" s="21"/>
      <c r="V19" s="30">
        <f t="shared" ref="V19:V30" si="9">IF(T$12=0,0,T19/T$12)</f>
        <v>0.93395698489918466</v>
      </c>
      <c r="W19" s="4"/>
      <c r="X19" s="21">
        <f t="shared" ref="X19:X30" si="10">+P19-T19</f>
        <v>-67251.258535477304</v>
      </c>
      <c r="Y19" s="4"/>
      <c r="Z19" s="30">
        <f t="shared" ref="Z19:Z30" si="11">IF(T19=0,0,X19/T19)</f>
        <v>-0.2169722725054854</v>
      </c>
    </row>
    <row r="20" spans="1:26" s="29" customFormat="1" outlineLevel="1" collapsed="1" x14ac:dyDescent="0.3">
      <c r="A20" s="28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3647.92</v>
      </c>
      <c r="E20" s="1"/>
      <c r="F20" s="5">
        <f t="shared" si="4"/>
        <v>0.22522195468296599</v>
      </c>
      <c r="G20" s="1"/>
      <c r="H20" s="1">
        <f>SUM(OSRRefH22_0x_0)</f>
        <v>3261.4052868700001</v>
      </c>
      <c r="I20" s="1"/>
      <c r="J20" s="5">
        <f t="shared" si="5"/>
        <v>9.7126337498734325E-2</v>
      </c>
      <c r="K20" s="1"/>
      <c r="L20" s="1">
        <f t="shared" si="6"/>
        <v>386.51471313000002</v>
      </c>
      <c r="M20" s="1"/>
      <c r="N20" s="5">
        <f t="shared" si="7"/>
        <v>0.11851170864475469</v>
      </c>
      <c r="O20" s="14"/>
      <c r="P20" s="1">
        <f>SUM(OSRRefP22_0x_0)</f>
        <v>19873.249999999996</v>
      </c>
      <c r="Q20" s="1"/>
      <c r="R20" s="5">
        <f t="shared" si="8"/>
        <v>6.5255759430492791E-2</v>
      </c>
      <c r="S20" s="1"/>
      <c r="T20" s="1">
        <f>SUM(OSRRefT22_0x_0)</f>
        <v>19885.028202784997</v>
      </c>
      <c r="U20" s="1"/>
      <c r="V20" s="5">
        <f t="shared" si="9"/>
        <v>5.9917944631453175E-2</v>
      </c>
      <c r="W20" s="1"/>
      <c r="X20" s="1">
        <f t="shared" si="10"/>
        <v>-11.778202785000758</v>
      </c>
      <c r="Y20" s="1"/>
      <c r="Z20" s="5">
        <f t="shared" si="11"/>
        <v>-5.9231511591978337E-4</v>
      </c>
    </row>
    <row r="21" spans="1:26" s="24" customFormat="1" hidden="1" outlineLevel="2" x14ac:dyDescent="0.3">
      <c r="A21" s="27"/>
      <c r="B21" s="11" t="str">
        <f>CONCATENATE("          ", "6111", " - ", "F.I.C.A.")</f>
        <v xml:space="preserve">          6111 - F.I.C.A.</v>
      </c>
      <c r="C21" s="11"/>
      <c r="D21" s="6">
        <v>900.33</v>
      </c>
      <c r="E21" s="2"/>
      <c r="F21" s="7">
        <f t="shared" si="4"/>
        <v>5.5586219670309321E-2</v>
      </c>
      <c r="G21" s="2"/>
      <c r="H21" s="6">
        <v>673.19318387769204</v>
      </c>
      <c r="I21" s="2"/>
      <c r="J21" s="7">
        <f t="shared" si="5"/>
        <v>2.0048041450838085E-2</v>
      </c>
      <c r="K21" s="2"/>
      <c r="L21" s="6">
        <f t="shared" si="6"/>
        <v>227.13681612230801</v>
      </c>
      <c r="M21" s="2"/>
      <c r="N21" s="7">
        <f t="shared" si="7"/>
        <v>0.33740213294193866</v>
      </c>
      <c r="O21" s="11"/>
      <c r="P21" s="6">
        <v>5789.61</v>
      </c>
      <c r="Q21" s="2"/>
      <c r="R21" s="7">
        <f t="shared" si="8"/>
        <v>1.901075049910686E-2</v>
      </c>
      <c r="S21" s="2"/>
      <c r="T21" s="6">
        <v>5691.3858863273099</v>
      </c>
      <c r="U21" s="2"/>
      <c r="V21" s="7">
        <f t="shared" si="9"/>
        <v>1.7149392041869611E-2</v>
      </c>
      <c r="W21" s="2"/>
      <c r="X21" s="6">
        <f t="shared" si="10"/>
        <v>98.224113672689782</v>
      </c>
      <c r="Y21" s="2"/>
      <c r="Z21" s="7">
        <f t="shared" si="11"/>
        <v>1.7258382340346715E-2</v>
      </c>
    </row>
    <row r="22" spans="1:26" s="24" customFormat="1" hidden="1" outlineLevel="2" x14ac:dyDescent="0.3">
      <c r="A22" s="27"/>
      <c r="B22" s="11" t="str">
        <f>CONCATENATE("          ", "6112", " - ", "COMPENSATION INSURANCE")</f>
        <v xml:space="preserve">          6112 - COMPENSATION INSURANCE</v>
      </c>
      <c r="C22" s="11"/>
      <c r="D22" s="6">
        <v>156.38</v>
      </c>
      <c r="E22" s="2"/>
      <c r="F22" s="7">
        <f t="shared" si="4"/>
        <v>9.6548743594492802E-3</v>
      </c>
      <c r="G22" s="2"/>
      <c r="H22" s="6">
        <v>279.49679639999999</v>
      </c>
      <c r="I22" s="2"/>
      <c r="J22" s="7">
        <f t="shared" si="5"/>
        <v>8.3235592602519427E-3</v>
      </c>
      <c r="K22" s="2"/>
      <c r="L22" s="6">
        <f t="shared" si="6"/>
        <v>-123.1167964</v>
      </c>
      <c r="M22" s="2"/>
      <c r="N22" s="7">
        <f t="shared" si="7"/>
        <v>-0.44049448146018177</v>
      </c>
      <c r="O22" s="11"/>
      <c r="P22" s="6">
        <v>895.35</v>
      </c>
      <c r="Q22" s="2"/>
      <c r="R22" s="7">
        <f t="shared" si="8"/>
        <v>2.9399692655248505E-3</v>
      </c>
      <c r="S22" s="2"/>
      <c r="T22" s="6">
        <v>1690.8533801999999</v>
      </c>
      <c r="U22" s="2"/>
      <c r="V22" s="7">
        <f t="shared" si="9"/>
        <v>5.0949115174269517E-3</v>
      </c>
      <c r="W22" s="2"/>
      <c r="X22" s="6">
        <f t="shared" si="10"/>
        <v>-795.50338019999992</v>
      </c>
      <c r="Y22" s="2"/>
      <c r="Z22" s="7">
        <f t="shared" si="11"/>
        <v>-0.47047448910437467</v>
      </c>
    </row>
    <row r="23" spans="1:26" s="24" customFormat="1" hidden="1" outlineLevel="2" x14ac:dyDescent="0.3">
      <c r="A23" s="27"/>
      <c r="B23" s="11" t="str">
        <f>CONCATENATE("          ", "6113", " - ", "GROUP INSURANCE")</f>
        <v xml:space="preserve">          6113 - GROUP INSURANCE</v>
      </c>
      <c r="C23" s="11"/>
      <c r="D23" s="6">
        <v>1054.3499999999999</v>
      </c>
      <c r="E23" s="2"/>
      <c r="F23" s="7">
        <f t="shared" si="4"/>
        <v>6.5095388034821261E-2</v>
      </c>
      <c r="G23" s="2"/>
      <c r="H23" s="6">
        <v>1022.5</v>
      </c>
      <c r="I23" s="2"/>
      <c r="J23" s="7">
        <f t="shared" si="5"/>
        <v>3.0450579231067035E-2</v>
      </c>
      <c r="K23" s="2"/>
      <c r="L23" s="6">
        <f t="shared" si="6"/>
        <v>31.849999999999909</v>
      </c>
      <c r="M23" s="2"/>
      <c r="N23" s="7">
        <f t="shared" si="7"/>
        <v>3.114914425427864E-2</v>
      </c>
      <c r="O23" s="11"/>
      <c r="P23" s="6">
        <v>5271.75</v>
      </c>
      <c r="Q23" s="2"/>
      <c r="R23" s="7">
        <f t="shared" si="8"/>
        <v>1.7310306556688033E-2</v>
      </c>
      <c r="S23" s="2"/>
      <c r="T23" s="6">
        <v>5112.5</v>
      </c>
      <c r="U23" s="2"/>
      <c r="V23" s="7">
        <f t="shared" si="9"/>
        <v>1.5405082095151429E-2</v>
      </c>
      <c r="W23" s="2"/>
      <c r="X23" s="6">
        <f t="shared" si="10"/>
        <v>159.25</v>
      </c>
      <c r="Y23" s="2"/>
      <c r="Z23" s="7">
        <f t="shared" si="11"/>
        <v>3.114914425427873E-2</v>
      </c>
    </row>
    <row r="24" spans="1:26" s="24" customFormat="1" hidden="1" outlineLevel="2" x14ac:dyDescent="0.3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6">
        <v>30.99</v>
      </c>
      <c r="E24" s="2"/>
      <c r="F24" s="7">
        <f t="shared" si="4"/>
        <v>1.9133172809779589E-3</v>
      </c>
      <c r="G24" s="2"/>
      <c r="H24" s="6">
        <v>37.624568746153798</v>
      </c>
      <c r="I24" s="2"/>
      <c r="J24" s="7">
        <f t="shared" si="5"/>
        <v>1.1204791311877601E-3</v>
      </c>
      <c r="K24" s="2"/>
      <c r="L24" s="6">
        <f t="shared" si="6"/>
        <v>-6.6345687461537999</v>
      </c>
      <c r="M24" s="2"/>
      <c r="N24" s="7">
        <f t="shared" si="7"/>
        <v>-0.17633607419970823</v>
      </c>
      <c r="O24" s="11"/>
      <c r="P24" s="6">
        <v>177.15</v>
      </c>
      <c r="Q24" s="2"/>
      <c r="R24" s="7">
        <f t="shared" si="8"/>
        <v>5.8168934538194812E-4</v>
      </c>
      <c r="S24" s="2"/>
      <c r="T24" s="6">
        <v>227.614878103846</v>
      </c>
      <c r="U24" s="2"/>
      <c r="V24" s="7">
        <f t="shared" si="9"/>
        <v>6.8585347349978153E-4</v>
      </c>
      <c r="W24" s="2"/>
      <c r="X24" s="6">
        <f t="shared" si="10"/>
        <v>-50.46487810384599</v>
      </c>
      <c r="Y24" s="2"/>
      <c r="Z24" s="7">
        <f t="shared" si="11"/>
        <v>-0.22171168477318129</v>
      </c>
    </row>
    <row r="25" spans="1:26" s="24" customFormat="1" hidden="1" outlineLevel="2" x14ac:dyDescent="0.3">
      <c r="A25" s="27"/>
      <c r="B25" s="11" t="str">
        <f>CONCATENATE("          ", "6115", " - ", "P.E.R.S.")</f>
        <v xml:space="preserve">          6115 - P.E.R.S.</v>
      </c>
      <c r="C25" s="11"/>
      <c r="D25" s="6">
        <v>610.04</v>
      </c>
      <c r="E25" s="2"/>
      <c r="F25" s="7">
        <f t="shared" si="4"/>
        <v>3.7663764894733588E-2</v>
      </c>
      <c r="G25" s="2"/>
      <c r="H25" s="6">
        <v>576.92767246153903</v>
      </c>
      <c r="I25" s="2"/>
      <c r="J25" s="7">
        <f t="shared" si="5"/>
        <v>1.7181204695242237E-2</v>
      </c>
      <c r="K25" s="2"/>
      <c r="L25" s="6">
        <f t="shared" si="6"/>
        <v>33.112327538460931</v>
      </c>
      <c r="M25" s="2"/>
      <c r="N25" s="7">
        <f t="shared" si="7"/>
        <v>5.7394243887076452E-2</v>
      </c>
      <c r="O25" s="11"/>
      <c r="P25" s="6">
        <v>3249.65</v>
      </c>
      <c r="Q25" s="2"/>
      <c r="R25" s="7">
        <f t="shared" si="8"/>
        <v>1.0670543501103288E-2</v>
      </c>
      <c r="S25" s="2"/>
      <c r="T25" s="6">
        <v>3173.10219853846</v>
      </c>
      <c r="U25" s="2"/>
      <c r="V25" s="7">
        <f t="shared" si="9"/>
        <v>9.561251807293978E-3</v>
      </c>
      <c r="W25" s="2"/>
      <c r="X25" s="6">
        <f t="shared" si="10"/>
        <v>76.547801461540075</v>
      </c>
      <c r="Y25" s="2"/>
      <c r="Z25" s="7">
        <f t="shared" si="11"/>
        <v>2.4123963450278472E-2</v>
      </c>
    </row>
    <row r="26" spans="1:26" s="24" customFormat="1" hidden="1" outlineLevel="2" x14ac:dyDescent="0.3">
      <c r="A26" s="27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4"/>
        <v>0</v>
      </c>
      <c r="G26" s="2"/>
      <c r="H26" s="6">
        <v>0</v>
      </c>
      <c r="I26" s="2"/>
      <c r="J26" s="7">
        <f t="shared" si="5"/>
        <v>0</v>
      </c>
      <c r="K26" s="2"/>
      <c r="L26" s="6">
        <f t="shared" si="6"/>
        <v>0</v>
      </c>
      <c r="M26" s="2"/>
      <c r="N26" s="7">
        <f t="shared" si="7"/>
        <v>0</v>
      </c>
      <c r="O26" s="11"/>
      <c r="P26" s="6"/>
      <c r="Q26" s="2"/>
      <c r="R26" s="7">
        <f t="shared" si="8"/>
        <v>0</v>
      </c>
      <c r="S26" s="2"/>
      <c r="T26" s="6">
        <v>0</v>
      </c>
      <c r="U26" s="2"/>
      <c r="V26" s="7">
        <f t="shared" si="9"/>
        <v>0</v>
      </c>
      <c r="W26" s="2"/>
      <c r="X26" s="6">
        <f t="shared" si="10"/>
        <v>0</v>
      </c>
      <c r="Y26" s="2"/>
      <c r="Z26" s="7">
        <f t="shared" si="11"/>
        <v>0</v>
      </c>
    </row>
    <row r="27" spans="1:26" s="24" customFormat="1" hidden="1" outlineLevel="2" x14ac:dyDescent="0.3">
      <c r="A27" s="27"/>
      <c r="B27" s="11" t="str">
        <f>CONCATENATE("          ", "6117", " - ", "RETIREMENT STAFF HOURLY")</f>
        <v xml:space="preserve">          6117 - RETIREMENT STAFF HOURLY</v>
      </c>
      <c r="C27" s="11"/>
      <c r="D27" s="6"/>
      <c r="E27" s="2"/>
      <c r="F27" s="7">
        <f t="shared" si="4"/>
        <v>0</v>
      </c>
      <c r="G27" s="2"/>
      <c r="H27" s="6"/>
      <c r="I27" s="2"/>
      <c r="J27" s="7">
        <f t="shared" si="5"/>
        <v>0</v>
      </c>
      <c r="K27" s="2"/>
      <c r="L27" s="6">
        <f t="shared" si="6"/>
        <v>0</v>
      </c>
      <c r="M27" s="2"/>
      <c r="N27" s="7">
        <f t="shared" si="7"/>
        <v>0</v>
      </c>
      <c r="O27" s="11"/>
      <c r="P27" s="6">
        <v>215.15</v>
      </c>
      <c r="Q27" s="2"/>
      <c r="R27" s="7">
        <f t="shared" si="8"/>
        <v>7.0646606073342447E-4</v>
      </c>
      <c r="S27" s="2"/>
      <c r="T27" s="6"/>
      <c r="U27" s="2"/>
      <c r="V27" s="7">
        <f t="shared" si="9"/>
        <v>0</v>
      </c>
      <c r="W27" s="2"/>
      <c r="X27" s="6">
        <f t="shared" si="10"/>
        <v>215.15</v>
      </c>
      <c r="Y27" s="2"/>
      <c r="Z27" s="7">
        <f t="shared" si="11"/>
        <v>0</v>
      </c>
    </row>
    <row r="28" spans="1:26" s="24" customFormat="1" hidden="1" outlineLevel="2" x14ac:dyDescent="0.3">
      <c r="A28" s="27"/>
      <c r="B28" s="11" t="str">
        <f>CONCATENATE("          ", "6118", " - ", "VACATION")</f>
        <v xml:space="preserve">          6118 - VACATION</v>
      </c>
      <c r="C28" s="11"/>
      <c r="D28" s="6">
        <v>524.49</v>
      </c>
      <c r="E28" s="2"/>
      <c r="F28" s="7">
        <f t="shared" si="4"/>
        <v>3.2381922578255236E-2</v>
      </c>
      <c r="G28" s="2"/>
      <c r="H28" s="6">
        <v>201.25383923076899</v>
      </c>
      <c r="I28" s="2"/>
      <c r="J28" s="7">
        <f t="shared" si="5"/>
        <v>5.9934434983403015E-3</v>
      </c>
      <c r="K28" s="2"/>
      <c r="L28" s="6">
        <f t="shared" si="6"/>
        <v>323.23616076923099</v>
      </c>
      <c r="M28" s="2"/>
      <c r="N28" s="7">
        <f t="shared" si="7"/>
        <v>1.6061117740893887</v>
      </c>
      <c r="O28" s="11"/>
      <c r="P28" s="6">
        <v>2514.65</v>
      </c>
      <c r="Q28" s="2"/>
      <c r="R28" s="7">
        <f t="shared" si="8"/>
        <v>8.2570991383839453E-3</v>
      </c>
      <c r="S28" s="2"/>
      <c r="T28" s="6">
        <v>1106.8961157692299</v>
      </c>
      <c r="U28" s="2"/>
      <c r="V28" s="7">
        <f t="shared" si="9"/>
        <v>3.3353203978932476E-3</v>
      </c>
      <c r="W28" s="2"/>
      <c r="X28" s="6">
        <f t="shared" si="10"/>
        <v>1407.7538842307702</v>
      </c>
      <c r="Y28" s="2"/>
      <c r="Z28" s="7">
        <f t="shared" si="11"/>
        <v>1.2718030754425957</v>
      </c>
    </row>
    <row r="29" spans="1:26" s="24" customFormat="1" hidden="1" outlineLevel="2" x14ac:dyDescent="0.3">
      <c r="A29" s="27"/>
      <c r="B29" s="11" t="str">
        <f>CONCATENATE("          ", "6119", " - ", "SICK LEAVE")</f>
        <v xml:space="preserve">          6119 - SICK LEAVE</v>
      </c>
      <c r="C29" s="11"/>
      <c r="D29" s="6">
        <v>277.58999999999997</v>
      </c>
      <c r="E29" s="2"/>
      <c r="F29" s="7">
        <f t="shared" si="4"/>
        <v>1.7138358955362101E-2</v>
      </c>
      <c r="G29" s="2"/>
      <c r="H29" s="6">
        <v>470.40922615384602</v>
      </c>
      <c r="I29" s="2"/>
      <c r="J29" s="7">
        <f t="shared" si="5"/>
        <v>1.4009030231806963E-2</v>
      </c>
      <c r="K29" s="2"/>
      <c r="L29" s="6">
        <f t="shared" si="6"/>
        <v>-192.81922615384605</v>
      </c>
      <c r="M29" s="2"/>
      <c r="N29" s="7">
        <f t="shared" si="7"/>
        <v>-0.40989677802532098</v>
      </c>
      <c r="O29" s="11"/>
      <c r="P29" s="6">
        <v>1478.69</v>
      </c>
      <c r="Q29" s="2"/>
      <c r="R29" s="7">
        <f t="shared" si="8"/>
        <v>4.8554231900809078E-3</v>
      </c>
      <c r="S29" s="2"/>
      <c r="T29" s="6">
        <v>2882.67574384615</v>
      </c>
      <c r="U29" s="2"/>
      <c r="V29" s="7">
        <f t="shared" si="9"/>
        <v>8.6861332983181726E-3</v>
      </c>
      <c r="W29" s="2"/>
      <c r="X29" s="6">
        <f t="shared" si="10"/>
        <v>-1403.9857438461499</v>
      </c>
      <c r="Y29" s="2"/>
      <c r="Z29" s="7">
        <f t="shared" si="11"/>
        <v>-0.48704254956296655</v>
      </c>
    </row>
    <row r="30" spans="1:26" s="24" customFormat="1" hidden="1" outlineLevel="2" x14ac:dyDescent="0.3">
      <c r="A30" s="27"/>
      <c r="B30" s="11" t="str">
        <f>CONCATENATE("          ", "6156", " - ", "EMPLOYEE MEALS")</f>
        <v xml:space="preserve">          6156 - EMPLOYEE MEALS</v>
      </c>
      <c r="C30" s="11"/>
      <c r="D30" s="6">
        <v>93.75</v>
      </c>
      <c r="E30" s="2"/>
      <c r="F30" s="7">
        <f t="shared" si="4"/>
        <v>5.7881089090572324E-3</v>
      </c>
      <c r="G30" s="2"/>
      <c r="H30" s="6"/>
      <c r="I30" s="2"/>
      <c r="J30" s="7">
        <f t="shared" si="5"/>
        <v>0</v>
      </c>
      <c r="K30" s="2"/>
      <c r="L30" s="6">
        <f t="shared" si="6"/>
        <v>93.75</v>
      </c>
      <c r="M30" s="2"/>
      <c r="N30" s="7">
        <f t="shared" si="7"/>
        <v>0</v>
      </c>
      <c r="O30" s="11"/>
      <c r="P30" s="6">
        <v>281.25</v>
      </c>
      <c r="Q30" s="2"/>
      <c r="R30" s="7">
        <f t="shared" si="8"/>
        <v>9.2351187348954503E-4</v>
      </c>
      <c r="S30" s="2"/>
      <c r="T30" s="6"/>
      <c r="U30" s="2"/>
      <c r="V30" s="7">
        <f t="shared" si="9"/>
        <v>0</v>
      </c>
      <c r="W30" s="2"/>
      <c r="X30" s="6">
        <f t="shared" si="10"/>
        <v>281.25</v>
      </c>
      <c r="Y30" s="2"/>
      <c r="Z30" s="7">
        <f t="shared" si="11"/>
        <v>0</v>
      </c>
    </row>
    <row r="31" spans="1:26" s="29" customFormat="1" outlineLevel="1" collapsed="1" x14ac:dyDescent="0.3">
      <c r="A31" s="28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11774.15</v>
      </c>
      <c r="E31" s="1"/>
      <c r="F31" s="5">
        <f t="shared" ref="F31:F41" si="12">IF(D$12=0,0,D31/D$12)</f>
        <v>0.72693400012347964</v>
      </c>
      <c r="G31" s="1"/>
      <c r="H31" s="1">
        <f>SUM(OSRRefH22_1x_0)</f>
        <v>17581.038242307688</v>
      </c>
      <c r="I31" s="1"/>
      <c r="J31" s="5">
        <f t="shared" ref="J31:J41" si="13">IF(H$12=0,0,H31/H$12)</f>
        <v>0.52357241854455727</v>
      </c>
      <c r="K31" s="1"/>
      <c r="L31" s="1">
        <f t="shared" ref="L31:L41" si="14">+D31-H31</f>
        <v>-5806.8882423076884</v>
      </c>
      <c r="M31" s="1"/>
      <c r="N31" s="5">
        <f t="shared" ref="N31:N41" si="15">IF(H31=0,0,L31/H31)</f>
        <v>-0.33029268023169239</v>
      </c>
      <c r="O31" s="14"/>
      <c r="P31" s="1">
        <f>SUM(OSRRefP22_1x_0)</f>
        <v>77446.060000000012</v>
      </c>
      <c r="Q31" s="1"/>
      <c r="R31" s="5">
        <f t="shared" ref="R31:R41" si="16">IF(P$12=0,0,P31/P$12)</f>
        <v>0.2543017100977199</v>
      </c>
      <c r="S31" s="1"/>
      <c r="T31" s="1">
        <f>SUM(OSRRefT22_1x_0)</f>
        <v>106543.21033269231</v>
      </c>
      <c r="U31" s="1"/>
      <c r="V31" s="5">
        <f t="shared" ref="V31:V41" si="17">IF(T$12=0,0,T31/T$12)</f>
        <v>0.32103802481293126</v>
      </c>
      <c r="W31" s="1"/>
      <c r="X31" s="1">
        <f t="shared" ref="X31:X41" si="18">+P31-T31</f>
        <v>-29097.150332692298</v>
      </c>
      <c r="Y31" s="1"/>
      <c r="Z31" s="5">
        <f t="shared" ref="Z31:Z41" si="19">IF(T31=0,0,X31/T31)</f>
        <v>-0.27310187333226965</v>
      </c>
    </row>
    <row r="32" spans="1:26" s="24" customFormat="1" hidden="1" outlineLevel="2" x14ac:dyDescent="0.3">
      <c r="A32" s="27"/>
      <c r="B32" s="11" t="str">
        <f>CONCATENATE("          ", "6001", " - ", "ADMINISTRATIVE SALARIES")</f>
        <v xml:space="preserve">          6001 - ADMINISTRATIVE SALARIES</v>
      </c>
      <c r="C32" s="11"/>
      <c r="D32" s="6">
        <v>4192.4399999999996</v>
      </c>
      <c r="E32" s="2"/>
      <c r="F32" s="7">
        <f t="shared" si="12"/>
        <v>0.25884052602333762</v>
      </c>
      <c r="G32" s="2"/>
      <c r="H32" s="6">
        <v>4139.8076923076896</v>
      </c>
      <c r="I32" s="2"/>
      <c r="J32" s="7">
        <f t="shared" si="13"/>
        <v>0.12328561578092527</v>
      </c>
      <c r="K32" s="2"/>
      <c r="L32" s="6">
        <f t="shared" si="14"/>
        <v>52.632307692309951</v>
      </c>
      <c r="M32" s="2"/>
      <c r="N32" s="7">
        <f t="shared" si="15"/>
        <v>1.2713708366238302E-2</v>
      </c>
      <c r="O32" s="11"/>
      <c r="P32" s="6">
        <v>23676.53</v>
      </c>
      <c r="Q32" s="2"/>
      <c r="R32" s="7">
        <f t="shared" si="16"/>
        <v>7.7744201166333932E-2</v>
      </c>
      <c r="S32" s="2"/>
      <c r="T32" s="6">
        <v>22768.942307692301</v>
      </c>
      <c r="U32" s="2"/>
      <c r="V32" s="7">
        <f t="shared" si="17"/>
        <v>6.8607809382839419E-2</v>
      </c>
      <c r="W32" s="2"/>
      <c r="X32" s="6">
        <f t="shared" si="18"/>
        <v>907.58769230769758</v>
      </c>
      <c r="Y32" s="2"/>
      <c r="Z32" s="7">
        <f t="shared" si="19"/>
        <v>3.9860775263200365E-2</v>
      </c>
    </row>
    <row r="33" spans="1:26" s="24" customFormat="1" hidden="1" outlineLevel="2" x14ac:dyDescent="0.3">
      <c r="A33" s="27"/>
      <c r="B33" s="11" t="str">
        <f>CONCATENATE("          ", "6002", " - ", "STAFF SALARIES")</f>
        <v xml:space="preserve">          6002 - STAFF SALARIES</v>
      </c>
      <c r="C33" s="11"/>
      <c r="D33" s="6">
        <v>1156</v>
      </c>
      <c r="E33" s="2"/>
      <c r="F33" s="7">
        <f t="shared" si="12"/>
        <v>7.1371241587948386E-2</v>
      </c>
      <c r="G33" s="2"/>
      <c r="H33" s="6">
        <v>2233.2305500000002</v>
      </c>
      <c r="I33" s="2"/>
      <c r="J33" s="7">
        <f t="shared" si="13"/>
        <v>6.6506761666517769E-2</v>
      </c>
      <c r="K33" s="2"/>
      <c r="L33" s="6">
        <f t="shared" si="14"/>
        <v>-1077.2305500000002</v>
      </c>
      <c r="M33" s="2"/>
      <c r="N33" s="7">
        <f t="shared" si="15"/>
        <v>-0.48236423686752811</v>
      </c>
      <c r="O33" s="11"/>
      <c r="P33" s="6">
        <v>10192.57</v>
      </c>
      <c r="Q33" s="2"/>
      <c r="R33" s="7">
        <f t="shared" si="16"/>
        <v>3.3468300147105182E-2</v>
      </c>
      <c r="S33" s="2"/>
      <c r="T33" s="6">
        <v>12282.768024999999</v>
      </c>
      <c r="U33" s="2"/>
      <c r="V33" s="7">
        <f t="shared" si="17"/>
        <v>3.7010669883780142E-2</v>
      </c>
      <c r="W33" s="2"/>
      <c r="X33" s="6">
        <f t="shared" si="18"/>
        <v>-2090.1980249999997</v>
      </c>
      <c r="Y33" s="2"/>
      <c r="Z33" s="7">
        <f t="shared" si="19"/>
        <v>-0.17017320694697396</v>
      </c>
    </row>
    <row r="34" spans="1:26" s="24" customFormat="1" hidden="1" outlineLevel="2" x14ac:dyDescent="0.3">
      <c r="A34" s="27"/>
      <c r="B34" s="11" t="str">
        <f>CONCATENATE("          ", "6003", " - ", "STAFF HOURLY-9 MONTH")</f>
        <v xml:space="preserve">          6003 - STAFF HOURLY-9 MONTH</v>
      </c>
      <c r="C34" s="11"/>
      <c r="D34" s="6"/>
      <c r="E34" s="2"/>
      <c r="F34" s="7">
        <f t="shared" si="12"/>
        <v>0</v>
      </c>
      <c r="G34" s="2"/>
      <c r="H34" s="6">
        <v>0</v>
      </c>
      <c r="I34" s="2"/>
      <c r="J34" s="7">
        <f t="shared" si="13"/>
        <v>0</v>
      </c>
      <c r="K34" s="2"/>
      <c r="L34" s="6">
        <f t="shared" si="14"/>
        <v>0</v>
      </c>
      <c r="M34" s="2"/>
      <c r="N34" s="7">
        <f t="shared" si="15"/>
        <v>0</v>
      </c>
      <c r="O34" s="11"/>
      <c r="P34" s="6"/>
      <c r="Q34" s="2"/>
      <c r="R34" s="7">
        <f t="shared" si="16"/>
        <v>0</v>
      </c>
      <c r="S34" s="2"/>
      <c r="T34" s="6">
        <v>0</v>
      </c>
      <c r="U34" s="2"/>
      <c r="V34" s="7">
        <f t="shared" si="17"/>
        <v>0</v>
      </c>
      <c r="W34" s="2"/>
      <c r="X34" s="6">
        <f t="shared" si="18"/>
        <v>0</v>
      </c>
      <c r="Y34" s="2"/>
      <c r="Z34" s="7">
        <f t="shared" si="19"/>
        <v>0</v>
      </c>
    </row>
    <row r="35" spans="1:26" s="24" customFormat="1" hidden="1" outlineLevel="2" x14ac:dyDescent="0.3">
      <c r="A35" s="27"/>
      <c r="B35" s="11" t="str">
        <f>CONCATENATE("          ", "6004", " - ", "STAFF HOURLY")</f>
        <v xml:space="preserve">          6004 - STAFF HOURLY</v>
      </c>
      <c r="C35" s="11"/>
      <c r="D35" s="6">
        <v>502.42</v>
      </c>
      <c r="E35" s="2"/>
      <c r="F35" s="7">
        <f t="shared" si="12"/>
        <v>3.1019324566277706E-2</v>
      </c>
      <c r="G35" s="2"/>
      <c r="H35" s="6">
        <v>2088</v>
      </c>
      <c r="I35" s="2"/>
      <c r="J35" s="7">
        <f t="shared" si="13"/>
        <v>6.2181720718306084E-2</v>
      </c>
      <c r="K35" s="2"/>
      <c r="L35" s="6">
        <f t="shared" si="14"/>
        <v>-1585.58</v>
      </c>
      <c r="M35" s="2"/>
      <c r="N35" s="7">
        <f t="shared" si="15"/>
        <v>-0.75937739463601528</v>
      </c>
      <c r="O35" s="11"/>
      <c r="P35" s="6">
        <v>7152.32</v>
      </c>
      <c r="Q35" s="2"/>
      <c r="R35" s="7">
        <f t="shared" si="16"/>
        <v>2.3485342019543973E-2</v>
      </c>
      <c r="S35" s="2"/>
      <c r="T35" s="6">
        <v>11484</v>
      </c>
      <c r="U35" s="2"/>
      <c r="V35" s="7">
        <f t="shared" si="17"/>
        <v>3.4603806900874133E-2</v>
      </c>
      <c r="W35" s="2"/>
      <c r="X35" s="6">
        <f t="shared" si="18"/>
        <v>-4331.68</v>
      </c>
      <c r="Y35" s="2"/>
      <c r="Z35" s="7">
        <f t="shared" si="19"/>
        <v>-0.37719261581330549</v>
      </c>
    </row>
    <row r="36" spans="1:26" s="24" customFormat="1" hidden="1" outlineLevel="2" x14ac:dyDescent="0.3">
      <c r="A36" s="27"/>
      <c r="B36" s="11" t="str">
        <f>CONCATENATE("          ", "6005", " - ", "TEMPORARY WAGES-HOURLY")</f>
        <v xml:space="preserve">          6005 - TEMPORARY WAGES-HOURLY</v>
      </c>
      <c r="C36" s="11"/>
      <c r="D36" s="6">
        <v>5366.19</v>
      </c>
      <c r="E36" s="2"/>
      <c r="F36" s="7">
        <f t="shared" si="12"/>
        <v>0.33130764956473419</v>
      </c>
      <c r="G36" s="2"/>
      <c r="H36" s="6">
        <v>0</v>
      </c>
      <c r="I36" s="2"/>
      <c r="J36" s="7">
        <f t="shared" si="13"/>
        <v>0</v>
      </c>
      <c r="K36" s="2"/>
      <c r="L36" s="6">
        <f t="shared" si="14"/>
        <v>5366.19</v>
      </c>
      <c r="M36" s="2"/>
      <c r="N36" s="7">
        <f t="shared" si="15"/>
        <v>0</v>
      </c>
      <c r="O36" s="11"/>
      <c r="P36" s="6">
        <v>32816.120000000003</v>
      </c>
      <c r="Q36" s="2"/>
      <c r="R36" s="7">
        <f t="shared" si="16"/>
        <v>0.10775493853104971</v>
      </c>
      <c r="S36" s="2"/>
      <c r="T36" s="6">
        <v>0</v>
      </c>
      <c r="U36" s="2"/>
      <c r="V36" s="7">
        <f t="shared" si="17"/>
        <v>0</v>
      </c>
      <c r="W36" s="2"/>
      <c r="X36" s="6">
        <f t="shared" si="18"/>
        <v>32816.120000000003</v>
      </c>
      <c r="Y36" s="2"/>
      <c r="Z36" s="7">
        <f t="shared" si="19"/>
        <v>0</v>
      </c>
    </row>
    <row r="37" spans="1:26" s="24" customFormat="1" hidden="1" outlineLevel="2" x14ac:dyDescent="0.3">
      <c r="A37" s="27"/>
      <c r="B37" s="11" t="str">
        <f>CONCATENATE("          ", "6006", " - ", "TEMPORARY PART TIME")</f>
        <v xml:space="preserve">          6006 - TEMPORARY PART TIME</v>
      </c>
      <c r="C37" s="11"/>
      <c r="D37" s="6"/>
      <c r="E37" s="2"/>
      <c r="F37" s="7">
        <f t="shared" si="12"/>
        <v>0</v>
      </c>
      <c r="G37" s="2"/>
      <c r="H37" s="6">
        <v>0</v>
      </c>
      <c r="I37" s="2"/>
      <c r="J37" s="7">
        <f t="shared" si="13"/>
        <v>0</v>
      </c>
      <c r="K37" s="2"/>
      <c r="L37" s="6">
        <f t="shared" si="14"/>
        <v>0</v>
      </c>
      <c r="M37" s="2"/>
      <c r="N37" s="7">
        <f t="shared" si="15"/>
        <v>0</v>
      </c>
      <c r="O37" s="11"/>
      <c r="P37" s="6"/>
      <c r="Q37" s="2"/>
      <c r="R37" s="7">
        <f t="shared" si="16"/>
        <v>0</v>
      </c>
      <c r="S37" s="2"/>
      <c r="T37" s="6">
        <v>0</v>
      </c>
      <c r="U37" s="2"/>
      <c r="V37" s="7">
        <f t="shared" si="17"/>
        <v>0</v>
      </c>
      <c r="W37" s="2"/>
      <c r="X37" s="6">
        <f t="shared" si="18"/>
        <v>0</v>
      </c>
      <c r="Y37" s="2"/>
      <c r="Z37" s="7">
        <f t="shared" si="19"/>
        <v>0</v>
      </c>
    </row>
    <row r="38" spans="1:26" s="24" customFormat="1" hidden="1" outlineLevel="2" x14ac:dyDescent="0.3">
      <c r="A38" s="27"/>
      <c r="B38" s="11" t="str">
        <f>CONCATENATE("          ", "6007", " - ", "STUDENT HOURLY")</f>
        <v xml:space="preserve">          6007 - STUDENT HOURLY</v>
      </c>
      <c r="C38" s="11"/>
      <c r="D38" s="6">
        <v>557.1</v>
      </c>
      <c r="E38" s="2"/>
      <c r="F38" s="7">
        <f t="shared" si="12"/>
        <v>3.4395258381181702E-2</v>
      </c>
      <c r="G38" s="2"/>
      <c r="H38" s="6">
        <v>0</v>
      </c>
      <c r="I38" s="2"/>
      <c r="J38" s="7">
        <f t="shared" si="13"/>
        <v>0</v>
      </c>
      <c r="K38" s="2"/>
      <c r="L38" s="6">
        <f t="shared" si="14"/>
        <v>557.1</v>
      </c>
      <c r="M38" s="2"/>
      <c r="N38" s="7">
        <f t="shared" si="15"/>
        <v>0</v>
      </c>
      <c r="O38" s="11"/>
      <c r="P38" s="6">
        <v>3444.3</v>
      </c>
      <c r="Q38" s="2"/>
      <c r="R38" s="7">
        <f t="shared" si="16"/>
        <v>1.1309695807502365E-2</v>
      </c>
      <c r="S38" s="2"/>
      <c r="T38" s="6">
        <v>25987.5</v>
      </c>
      <c r="U38" s="2"/>
      <c r="V38" s="7">
        <f t="shared" si="17"/>
        <v>7.8306028547236728E-2</v>
      </c>
      <c r="W38" s="2"/>
      <c r="X38" s="6">
        <f t="shared" si="18"/>
        <v>-22543.200000000001</v>
      </c>
      <c r="Y38" s="2"/>
      <c r="Z38" s="7">
        <f t="shared" si="19"/>
        <v>-0.86746320346320349</v>
      </c>
    </row>
    <row r="39" spans="1:26" s="24" customFormat="1" hidden="1" outlineLevel="2" x14ac:dyDescent="0.3">
      <c r="A39" s="27"/>
      <c r="B39" s="11" t="str">
        <f>CONCATENATE("          ", "6008", " - ", "STUDENT HOURLY-FICA EXEMPT")</f>
        <v xml:space="preserve">          6008 - STUDENT HOURLY-FICA EXEMPT</v>
      </c>
      <c r="C39" s="11"/>
      <c r="D39" s="6"/>
      <c r="E39" s="2"/>
      <c r="F39" s="7">
        <f t="shared" si="12"/>
        <v>0</v>
      </c>
      <c r="G39" s="2"/>
      <c r="H39" s="6">
        <v>9120</v>
      </c>
      <c r="I39" s="2"/>
      <c r="J39" s="7">
        <f t="shared" si="13"/>
        <v>0.27159832037880821</v>
      </c>
      <c r="K39" s="2"/>
      <c r="L39" s="6">
        <f t="shared" si="14"/>
        <v>-9120</v>
      </c>
      <c r="M39" s="2"/>
      <c r="N39" s="7">
        <f t="shared" si="15"/>
        <v>-1</v>
      </c>
      <c r="O39" s="11"/>
      <c r="P39" s="6">
        <v>164.22</v>
      </c>
      <c r="Q39" s="2"/>
      <c r="R39" s="7">
        <f t="shared" si="16"/>
        <v>5.3923242618472212E-4</v>
      </c>
      <c r="S39" s="2"/>
      <c r="T39" s="6">
        <v>34020</v>
      </c>
      <c r="U39" s="2"/>
      <c r="V39" s="7">
        <f t="shared" si="17"/>
        <v>0.10250971009820081</v>
      </c>
      <c r="W39" s="2"/>
      <c r="X39" s="6">
        <f t="shared" si="18"/>
        <v>-33855.78</v>
      </c>
      <c r="Y39" s="2"/>
      <c r="Z39" s="7">
        <f t="shared" si="19"/>
        <v>-0.99517283950617286</v>
      </c>
    </row>
    <row r="40" spans="1:26" s="24" customFormat="1" hidden="1" outlineLevel="2" x14ac:dyDescent="0.3">
      <c r="A40" s="27"/>
      <c r="B40" s="11" t="str">
        <f>CONCATENATE("          ", "6009", " - ", "TEMPORARY-SEASONAL")</f>
        <v xml:space="preserve">          6009 - TEMPORARY-SEASONAL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4" customFormat="1" hidden="1" outlineLevel="2" x14ac:dyDescent="0.3">
      <c r="A41" s="27"/>
      <c r="B41" s="11" t="str">
        <f>CONCATENATE("          ", "6010", " - ", "GRATUITY")</f>
        <v xml:space="preserve">          6010 - GRATUITY</v>
      </c>
      <c r="C41" s="11"/>
      <c r="D41" s="6"/>
      <c r="E41" s="2"/>
      <c r="F41" s="7">
        <f t="shared" si="12"/>
        <v>0</v>
      </c>
      <c r="G41" s="2"/>
      <c r="H41" s="6">
        <v>0</v>
      </c>
      <c r="I41" s="2"/>
      <c r="J41" s="7">
        <f t="shared" si="13"/>
        <v>0</v>
      </c>
      <c r="K41" s="2"/>
      <c r="L41" s="6">
        <f t="shared" si="14"/>
        <v>0</v>
      </c>
      <c r="M41" s="2"/>
      <c r="N41" s="7">
        <f t="shared" si="15"/>
        <v>0</v>
      </c>
      <c r="O41" s="11"/>
      <c r="P41" s="6"/>
      <c r="Q41" s="2"/>
      <c r="R41" s="7">
        <f t="shared" si="16"/>
        <v>0</v>
      </c>
      <c r="S41" s="2"/>
      <c r="T41" s="6">
        <v>0</v>
      </c>
      <c r="U41" s="2"/>
      <c r="V41" s="7">
        <f t="shared" si="17"/>
        <v>0</v>
      </c>
      <c r="W41" s="2"/>
      <c r="X41" s="6">
        <f t="shared" si="18"/>
        <v>0</v>
      </c>
      <c r="Y41" s="2"/>
      <c r="Z41" s="7">
        <f t="shared" si="19"/>
        <v>0</v>
      </c>
    </row>
    <row r="42" spans="1:26" s="29" customFormat="1" outlineLevel="1" collapsed="1" x14ac:dyDescent="0.3">
      <c r="A42" s="28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0</v>
      </c>
      <c r="E42" s="1"/>
      <c r="F42" s="5">
        <f t="shared" ref="F42:F50" si="20">IF(D$12=0,0,D42/D$12)</f>
        <v>0</v>
      </c>
      <c r="G42" s="1"/>
      <c r="H42" s="1">
        <f>SUM(OSRRefH22_2x_0)</f>
        <v>100</v>
      </c>
      <c r="I42" s="1"/>
      <c r="J42" s="5">
        <f t="shared" ref="J42:J50" si="21">IF(H$12=0,0,H42/H$12)</f>
        <v>2.9780517585395634E-3</v>
      </c>
      <c r="K42" s="1"/>
      <c r="L42" s="1">
        <f t="shared" ref="L42:L50" si="22">+D42-H42</f>
        <v>-100</v>
      </c>
      <c r="M42" s="1"/>
      <c r="N42" s="5">
        <f t="shared" ref="N42:N50" si="23">IF(H42=0,0,L42/H42)</f>
        <v>-1</v>
      </c>
      <c r="O42" s="14"/>
      <c r="P42" s="1">
        <f>SUM(OSRRefP22_2x_0)</f>
        <v>112.46</v>
      </c>
      <c r="Q42" s="1"/>
      <c r="R42" s="5">
        <f t="shared" ref="R42:R50" si="24">IF(P$12=0,0,P42/P$12)</f>
        <v>3.6927340548492172E-4</v>
      </c>
      <c r="S42" s="1"/>
      <c r="T42" s="1">
        <f>SUM(OSRRefT22_2x_0)</f>
        <v>500</v>
      </c>
      <c r="U42" s="1"/>
      <c r="V42" s="5">
        <f t="shared" ref="V42:V50" si="25">IF(T$12=0,0,T42/T$12)</f>
        <v>1.5066094958583304E-3</v>
      </c>
      <c r="W42" s="1"/>
      <c r="X42" s="1">
        <f t="shared" ref="X42:X50" si="26">+P42-T42</f>
        <v>-387.54</v>
      </c>
      <c r="Y42" s="1"/>
      <c r="Z42" s="5">
        <f t="shared" ref="Z42:Z50" si="27">IF(T42=0,0,X42/T42)</f>
        <v>-0.77507999999999999</v>
      </c>
    </row>
    <row r="43" spans="1:26" s="24" customFormat="1" hidden="1" outlineLevel="2" x14ac:dyDescent="0.3">
      <c r="A43" s="27"/>
      <c r="B43" s="11" t="str">
        <f>CONCATENATE("          ", "6362", " - ", "ADVERTISING EXPENSE")</f>
        <v xml:space="preserve">          6362 - ADVERTISING EXPENSE</v>
      </c>
      <c r="C43" s="11"/>
      <c r="D43" s="6"/>
      <c r="E43" s="2"/>
      <c r="F43" s="7">
        <f t="shared" si="20"/>
        <v>0</v>
      </c>
      <c r="G43" s="2"/>
      <c r="H43" s="6">
        <v>100</v>
      </c>
      <c r="I43" s="2"/>
      <c r="J43" s="7">
        <f t="shared" si="21"/>
        <v>2.9780517585395634E-3</v>
      </c>
      <c r="K43" s="2"/>
      <c r="L43" s="6">
        <f t="shared" si="22"/>
        <v>-100</v>
      </c>
      <c r="M43" s="2"/>
      <c r="N43" s="7">
        <f t="shared" si="23"/>
        <v>-1</v>
      </c>
      <c r="O43" s="11"/>
      <c r="P43" s="6">
        <v>112.46</v>
      </c>
      <c r="Q43" s="2"/>
      <c r="R43" s="7">
        <f t="shared" si="24"/>
        <v>3.6927340548492172E-4</v>
      </c>
      <c r="S43" s="2"/>
      <c r="T43" s="6">
        <v>500</v>
      </c>
      <c r="U43" s="2"/>
      <c r="V43" s="7">
        <f t="shared" si="25"/>
        <v>1.5066094958583304E-3</v>
      </c>
      <c r="W43" s="2"/>
      <c r="X43" s="6">
        <f t="shared" si="26"/>
        <v>-387.54</v>
      </c>
      <c r="Y43" s="2"/>
      <c r="Z43" s="7">
        <f t="shared" si="27"/>
        <v>-0.77507999999999999</v>
      </c>
    </row>
    <row r="44" spans="1:26" s="29" customFormat="1" outlineLevel="1" collapsed="1" x14ac:dyDescent="0.3">
      <c r="A44" s="28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229.39</v>
      </c>
      <c r="E44" s="1"/>
      <c r="F44" s="5">
        <f t="shared" si="20"/>
        <v>1.4162499228252145E-2</v>
      </c>
      <c r="G44" s="1"/>
      <c r="H44" s="1">
        <f>SUM(OSRRefH22_3x_0)</f>
        <v>1250</v>
      </c>
      <c r="I44" s="1"/>
      <c r="J44" s="5">
        <f t="shared" si="21"/>
        <v>3.7225646981744541E-2</v>
      </c>
      <c r="K44" s="1"/>
      <c r="L44" s="1">
        <f t="shared" si="22"/>
        <v>-1020.61</v>
      </c>
      <c r="M44" s="1"/>
      <c r="N44" s="5">
        <f t="shared" si="23"/>
        <v>-0.81648799999999999</v>
      </c>
      <c r="O44" s="14"/>
      <c r="P44" s="1">
        <f>SUM(OSRRefP22_3x_0)</f>
        <v>1532.5</v>
      </c>
      <c r="Q44" s="1"/>
      <c r="R44" s="5">
        <f t="shared" si="24"/>
        <v>5.0321135862141427E-3</v>
      </c>
      <c r="S44" s="1"/>
      <c r="T44" s="1">
        <f>SUM(OSRRefT22_3x_0)</f>
        <v>6250</v>
      </c>
      <c r="U44" s="1"/>
      <c r="V44" s="5">
        <f t="shared" si="25"/>
        <v>1.883261869822913E-2</v>
      </c>
      <c r="W44" s="1"/>
      <c r="X44" s="1">
        <f t="shared" si="26"/>
        <v>-4717.5</v>
      </c>
      <c r="Y44" s="1"/>
      <c r="Z44" s="5">
        <f t="shared" si="27"/>
        <v>-0.75480000000000003</v>
      </c>
    </row>
    <row r="45" spans="1:26" s="24" customFormat="1" hidden="1" outlineLevel="2" x14ac:dyDescent="0.3">
      <c r="A45" s="27"/>
      <c r="B45" s="11" t="str">
        <f>CONCATENATE("          ", "6381", " - ", "BANK/CREDIT CARD FEES")</f>
        <v xml:space="preserve">          6381 - BANK/CREDIT CARD FEES</v>
      </c>
      <c r="C45" s="11"/>
      <c r="D45" s="6">
        <v>229.39</v>
      </c>
      <c r="E45" s="2"/>
      <c r="F45" s="7">
        <f t="shared" si="20"/>
        <v>1.4162499228252145E-2</v>
      </c>
      <c r="G45" s="2"/>
      <c r="H45" s="6">
        <v>1250</v>
      </c>
      <c r="I45" s="2"/>
      <c r="J45" s="7">
        <f t="shared" si="21"/>
        <v>3.7225646981744541E-2</v>
      </c>
      <c r="K45" s="2"/>
      <c r="L45" s="6">
        <f t="shared" si="22"/>
        <v>-1020.61</v>
      </c>
      <c r="M45" s="2"/>
      <c r="N45" s="7">
        <f t="shared" si="23"/>
        <v>-0.81648799999999999</v>
      </c>
      <c r="O45" s="11"/>
      <c r="P45" s="6">
        <v>1532.5</v>
      </c>
      <c r="Q45" s="2"/>
      <c r="R45" s="7">
        <f t="shared" si="24"/>
        <v>5.0321135862141427E-3</v>
      </c>
      <c r="S45" s="2"/>
      <c r="T45" s="6">
        <v>6250</v>
      </c>
      <c r="U45" s="2"/>
      <c r="V45" s="7">
        <f t="shared" si="25"/>
        <v>1.883261869822913E-2</v>
      </c>
      <c r="W45" s="2"/>
      <c r="X45" s="6">
        <f t="shared" si="26"/>
        <v>-4717.5</v>
      </c>
      <c r="Y45" s="2"/>
      <c r="Z45" s="7">
        <f t="shared" si="27"/>
        <v>-0.75480000000000003</v>
      </c>
    </row>
    <row r="46" spans="1:26" s="29" customFormat="1" outlineLevel="1" collapsed="1" x14ac:dyDescent="0.3">
      <c r="A46" s="28"/>
      <c r="B46" s="14" t="str">
        <f>CONCATENATE("     ","Employees' Appreciation                           ")</f>
        <v xml:space="preserve">     Employees' Appreciation                           </v>
      </c>
      <c r="C46" s="14"/>
      <c r="D46" s="1">
        <f>SUM(OSRRefD22_4x_0)</f>
        <v>0</v>
      </c>
      <c r="E46" s="1"/>
      <c r="F46" s="5">
        <f t="shared" si="20"/>
        <v>0</v>
      </c>
      <c r="G46" s="1"/>
      <c r="H46" s="1">
        <f>SUM(OSRRefH22_4x_0)</f>
        <v>20</v>
      </c>
      <c r="I46" s="1"/>
      <c r="J46" s="5">
        <f t="shared" si="21"/>
        <v>5.9561035170791268E-4</v>
      </c>
      <c r="K46" s="1"/>
      <c r="L46" s="1">
        <f t="shared" si="22"/>
        <v>-20</v>
      </c>
      <c r="M46" s="1"/>
      <c r="N46" s="5">
        <f t="shared" si="23"/>
        <v>-1</v>
      </c>
      <c r="O46" s="14"/>
      <c r="P46" s="1">
        <f>SUM(OSRRefP22_4x_0)</f>
        <v>0</v>
      </c>
      <c r="Q46" s="1"/>
      <c r="R46" s="5">
        <f t="shared" si="24"/>
        <v>0</v>
      </c>
      <c r="S46" s="1"/>
      <c r="T46" s="1">
        <f>SUM(OSRRefT22_4x_0)</f>
        <v>100</v>
      </c>
      <c r="U46" s="1"/>
      <c r="V46" s="5">
        <f t="shared" si="25"/>
        <v>3.0132189917166612E-4</v>
      </c>
      <c r="W46" s="1"/>
      <c r="X46" s="1">
        <f t="shared" si="26"/>
        <v>-100</v>
      </c>
      <c r="Y46" s="1"/>
      <c r="Z46" s="5">
        <f t="shared" si="27"/>
        <v>-1</v>
      </c>
    </row>
    <row r="47" spans="1:26" s="24" customFormat="1" hidden="1" outlineLevel="2" x14ac:dyDescent="0.3">
      <c r="A47" s="27"/>
      <c r="B47" s="11" t="str">
        <f>CONCATENATE("          ", "6277", " - ", "EMPLOYEE APPRECIATION")</f>
        <v xml:space="preserve">          6277 - EMPLOYEE APPRECIATION</v>
      </c>
      <c r="C47" s="11"/>
      <c r="D47" s="6"/>
      <c r="E47" s="2"/>
      <c r="F47" s="7">
        <f t="shared" si="20"/>
        <v>0</v>
      </c>
      <c r="G47" s="2"/>
      <c r="H47" s="6">
        <v>20</v>
      </c>
      <c r="I47" s="2"/>
      <c r="J47" s="7">
        <f t="shared" si="21"/>
        <v>5.9561035170791268E-4</v>
      </c>
      <c r="K47" s="2"/>
      <c r="L47" s="6">
        <f t="shared" si="22"/>
        <v>-20</v>
      </c>
      <c r="M47" s="2"/>
      <c r="N47" s="7">
        <f t="shared" si="23"/>
        <v>-1</v>
      </c>
      <c r="O47" s="11"/>
      <c r="P47" s="6"/>
      <c r="Q47" s="2"/>
      <c r="R47" s="7">
        <f t="shared" si="24"/>
        <v>0</v>
      </c>
      <c r="S47" s="2"/>
      <c r="T47" s="6">
        <v>100</v>
      </c>
      <c r="U47" s="2"/>
      <c r="V47" s="7">
        <f t="shared" si="25"/>
        <v>3.0132189917166612E-4</v>
      </c>
      <c r="W47" s="2"/>
      <c r="X47" s="6">
        <f t="shared" si="26"/>
        <v>-100</v>
      </c>
      <c r="Y47" s="2"/>
      <c r="Z47" s="7">
        <f t="shared" si="27"/>
        <v>-1</v>
      </c>
    </row>
    <row r="48" spans="1:26" s="29" customFormat="1" outlineLevel="1" collapsed="1" x14ac:dyDescent="0.3">
      <c r="A48" s="28"/>
      <c r="B48" s="14" t="str">
        <f>CONCATENATE("     ","Freight out/Postage                               ")</f>
        <v xml:space="preserve">     Freight out/Postage                               </v>
      </c>
      <c r="C48" s="14"/>
      <c r="D48" s="1">
        <f>SUM(OSRRefD22_5x_0)</f>
        <v>0</v>
      </c>
      <c r="E48" s="1"/>
      <c r="F48" s="5">
        <f t="shared" si="20"/>
        <v>0</v>
      </c>
      <c r="G48" s="1"/>
      <c r="H48" s="1">
        <f>SUM(OSRRefH22_5x_0)</f>
        <v>10</v>
      </c>
      <c r="I48" s="1"/>
      <c r="J48" s="5">
        <f t="shared" si="21"/>
        <v>2.9780517585395634E-4</v>
      </c>
      <c r="K48" s="1"/>
      <c r="L48" s="1">
        <f t="shared" si="22"/>
        <v>-10</v>
      </c>
      <c r="M48" s="1"/>
      <c r="N48" s="5">
        <f t="shared" si="23"/>
        <v>-1</v>
      </c>
      <c r="O48" s="14"/>
      <c r="P48" s="1">
        <f>SUM(OSRRefP22_5x_0)</f>
        <v>0.62</v>
      </c>
      <c r="Q48" s="1"/>
      <c r="R48" s="5">
        <f t="shared" si="24"/>
        <v>2.035830618892508E-6</v>
      </c>
      <c r="S48" s="1"/>
      <c r="T48" s="1">
        <f>SUM(OSRRefT22_5x_0)</f>
        <v>50</v>
      </c>
      <c r="U48" s="1"/>
      <c r="V48" s="5">
        <f t="shared" si="25"/>
        <v>1.5066094958583306E-4</v>
      </c>
      <c r="W48" s="1"/>
      <c r="X48" s="1">
        <f t="shared" si="26"/>
        <v>-49.38</v>
      </c>
      <c r="Y48" s="1"/>
      <c r="Z48" s="5">
        <f t="shared" si="27"/>
        <v>-0.98760000000000003</v>
      </c>
    </row>
    <row r="49" spans="1:26" s="24" customFormat="1" hidden="1" outlineLevel="2" x14ac:dyDescent="0.3">
      <c r="A49" s="27"/>
      <c r="B49" s="11" t="str">
        <f>CONCATENATE("          ", "6305", " - ", "FREIGHT OUT")</f>
        <v xml:space="preserve">          6305 - FREIGHT OUT</v>
      </c>
      <c r="C49" s="11"/>
      <c r="D49" s="6"/>
      <c r="E49" s="2"/>
      <c r="F49" s="7">
        <f t="shared" si="20"/>
        <v>0</v>
      </c>
      <c r="G49" s="2"/>
      <c r="H49" s="6"/>
      <c r="I49" s="2"/>
      <c r="J49" s="7">
        <f t="shared" si="21"/>
        <v>0</v>
      </c>
      <c r="K49" s="2"/>
      <c r="L49" s="6">
        <f t="shared" si="22"/>
        <v>0</v>
      </c>
      <c r="M49" s="2"/>
      <c r="N49" s="7">
        <f t="shared" si="23"/>
        <v>0</v>
      </c>
      <c r="O49" s="11"/>
      <c r="P49" s="6">
        <v>0.62</v>
      </c>
      <c r="Q49" s="2"/>
      <c r="R49" s="7">
        <f t="shared" si="24"/>
        <v>2.035830618892508E-6</v>
      </c>
      <c r="S49" s="2"/>
      <c r="T49" s="6"/>
      <c r="U49" s="2"/>
      <c r="V49" s="7">
        <f t="shared" si="25"/>
        <v>0</v>
      </c>
      <c r="W49" s="2"/>
      <c r="X49" s="6">
        <f t="shared" si="26"/>
        <v>0.62</v>
      </c>
      <c r="Y49" s="2"/>
      <c r="Z49" s="7">
        <f t="shared" si="27"/>
        <v>0</v>
      </c>
    </row>
    <row r="50" spans="1:26" s="24" customFormat="1" hidden="1" outlineLevel="2" x14ac:dyDescent="0.3">
      <c r="A50" s="27"/>
      <c r="B50" s="11" t="str">
        <f>CONCATENATE("          ", "6307", " - ", "POSTAGE")</f>
        <v xml:space="preserve">          6307 - POSTAGE</v>
      </c>
      <c r="C50" s="11"/>
      <c r="D50" s="6"/>
      <c r="E50" s="2"/>
      <c r="F50" s="7">
        <f t="shared" si="20"/>
        <v>0</v>
      </c>
      <c r="G50" s="2"/>
      <c r="H50" s="6">
        <v>10</v>
      </c>
      <c r="I50" s="2"/>
      <c r="J50" s="7">
        <f t="shared" si="21"/>
        <v>2.9780517585395634E-4</v>
      </c>
      <c r="K50" s="2"/>
      <c r="L50" s="6">
        <f t="shared" si="22"/>
        <v>-10</v>
      </c>
      <c r="M50" s="2"/>
      <c r="N50" s="7">
        <f t="shared" si="23"/>
        <v>-1</v>
      </c>
      <c r="O50" s="11"/>
      <c r="P50" s="6"/>
      <c r="Q50" s="2"/>
      <c r="R50" s="7">
        <f t="shared" si="24"/>
        <v>0</v>
      </c>
      <c r="S50" s="2"/>
      <c r="T50" s="6">
        <v>50</v>
      </c>
      <c r="U50" s="2"/>
      <c r="V50" s="7">
        <f t="shared" si="25"/>
        <v>1.5066094958583306E-4</v>
      </c>
      <c r="W50" s="2"/>
      <c r="X50" s="6">
        <f t="shared" si="26"/>
        <v>-50</v>
      </c>
      <c r="Y50" s="2"/>
      <c r="Z50" s="7">
        <f t="shared" si="27"/>
        <v>-1</v>
      </c>
    </row>
    <row r="51" spans="1:26" s="29" customFormat="1" outlineLevel="1" collapsed="1" x14ac:dyDescent="0.3">
      <c r="A51" s="28"/>
      <c r="B51" s="14" t="str">
        <f>CONCATENATE("     ","General                                           ")</f>
        <v xml:space="preserve">     General                                           </v>
      </c>
      <c r="C51" s="14"/>
      <c r="D51" s="1">
        <f>SUM(OSRRefD22_6x_0)</f>
        <v>0</v>
      </c>
      <c r="E51" s="1"/>
      <c r="F51" s="5">
        <f t="shared" ref="F51:F60" si="28">IF(D$12=0,0,D51/D$12)</f>
        <v>0</v>
      </c>
      <c r="G51" s="1"/>
      <c r="H51" s="1">
        <f>SUM(OSRRefH22_6x_0)</f>
        <v>50</v>
      </c>
      <c r="I51" s="1"/>
      <c r="J51" s="5">
        <f t="shared" ref="J51:J60" si="29">IF(H$12=0,0,H51/H$12)</f>
        <v>1.4890258792697817E-3</v>
      </c>
      <c r="K51" s="1"/>
      <c r="L51" s="1">
        <f t="shared" ref="L51:L60" si="30">+D51-H51</f>
        <v>-50</v>
      </c>
      <c r="M51" s="1"/>
      <c r="N51" s="5">
        <f t="shared" ref="N51:N60" si="31">IF(H51=0,0,L51/H51)</f>
        <v>-1</v>
      </c>
      <c r="O51" s="14"/>
      <c r="P51" s="1">
        <f>SUM(OSRRefP22_6x_0)</f>
        <v>0</v>
      </c>
      <c r="Q51" s="1"/>
      <c r="R51" s="5">
        <f t="shared" ref="R51:R60" si="32">IF(P$12=0,0,P51/P$12)</f>
        <v>0</v>
      </c>
      <c r="S51" s="1"/>
      <c r="T51" s="1">
        <f>SUM(OSRRefT22_6x_0)</f>
        <v>250</v>
      </c>
      <c r="U51" s="1"/>
      <c r="V51" s="5">
        <f t="shared" ref="V51:V60" si="33">IF(T$12=0,0,T51/T$12)</f>
        <v>7.5330474792916521E-4</v>
      </c>
      <c r="W51" s="1"/>
      <c r="X51" s="1">
        <f t="shared" ref="X51:X60" si="34">+P51-T51</f>
        <v>-250</v>
      </c>
      <c r="Y51" s="1"/>
      <c r="Z51" s="5">
        <f t="shared" ref="Z51:Z60" si="35">IF(T51=0,0,X51/T51)</f>
        <v>-1</v>
      </c>
    </row>
    <row r="52" spans="1:26" s="24" customFormat="1" hidden="1" outlineLevel="2" x14ac:dyDescent="0.3">
      <c r="A52" s="27"/>
      <c r="B52" s="11" t="str">
        <f>CONCATENATE("          ", "6279", " - ", "GENERAL EXPENSE")</f>
        <v xml:space="preserve">          6279 - GENERAL EXPENSE</v>
      </c>
      <c r="C52" s="11"/>
      <c r="D52" s="6"/>
      <c r="E52" s="2"/>
      <c r="F52" s="7">
        <f t="shared" si="28"/>
        <v>0</v>
      </c>
      <c r="G52" s="2"/>
      <c r="H52" s="6">
        <v>50</v>
      </c>
      <c r="I52" s="2"/>
      <c r="J52" s="7">
        <f t="shared" si="29"/>
        <v>1.4890258792697817E-3</v>
      </c>
      <c r="K52" s="2"/>
      <c r="L52" s="6">
        <f t="shared" si="30"/>
        <v>-50</v>
      </c>
      <c r="M52" s="2"/>
      <c r="N52" s="7">
        <f t="shared" si="31"/>
        <v>-1</v>
      </c>
      <c r="O52" s="11"/>
      <c r="P52" s="6"/>
      <c r="Q52" s="2"/>
      <c r="R52" s="7">
        <f t="shared" si="32"/>
        <v>0</v>
      </c>
      <c r="S52" s="2"/>
      <c r="T52" s="6">
        <v>250</v>
      </c>
      <c r="U52" s="2"/>
      <c r="V52" s="7">
        <f t="shared" si="33"/>
        <v>7.5330474792916521E-4</v>
      </c>
      <c r="W52" s="2"/>
      <c r="X52" s="6">
        <f t="shared" si="34"/>
        <v>-250</v>
      </c>
      <c r="Y52" s="2"/>
      <c r="Z52" s="7">
        <f t="shared" si="35"/>
        <v>-1</v>
      </c>
    </row>
    <row r="53" spans="1:26" s="29" customFormat="1" outlineLevel="1" collapsed="1" x14ac:dyDescent="0.3">
      <c r="A53" s="28"/>
      <c r="B53" s="14" t="str">
        <f>CONCATENATE("     ","Insurance                                         ")</f>
        <v xml:space="preserve">     Insurance                                         </v>
      </c>
      <c r="C53" s="14"/>
      <c r="D53" s="1">
        <f>SUM(OSRRefD22_7x_0)</f>
        <v>39.43</v>
      </c>
      <c r="E53" s="1"/>
      <c r="F53" s="5">
        <f t="shared" si="28"/>
        <v>2.434401432364018E-3</v>
      </c>
      <c r="G53" s="1"/>
      <c r="H53" s="1">
        <f>SUM(OSRRefH22_7x_0)</f>
        <v>40</v>
      </c>
      <c r="I53" s="1"/>
      <c r="J53" s="5">
        <f t="shared" si="29"/>
        <v>1.1912207034158254E-3</v>
      </c>
      <c r="K53" s="1"/>
      <c r="L53" s="1">
        <f t="shared" si="30"/>
        <v>-0.57000000000000028</v>
      </c>
      <c r="M53" s="1"/>
      <c r="N53" s="5">
        <f t="shared" si="31"/>
        <v>-1.4250000000000007E-2</v>
      </c>
      <c r="O53" s="14"/>
      <c r="P53" s="1">
        <f>SUM(OSRRefP22_7x_0)</f>
        <v>197.15</v>
      </c>
      <c r="Q53" s="1"/>
      <c r="R53" s="5">
        <f t="shared" si="32"/>
        <v>6.4736130083009353E-4</v>
      </c>
      <c r="S53" s="1"/>
      <c r="T53" s="1">
        <f>SUM(OSRRefT22_7x_0)</f>
        <v>200</v>
      </c>
      <c r="U53" s="1"/>
      <c r="V53" s="5">
        <f t="shared" si="33"/>
        <v>6.0264379834333223E-4</v>
      </c>
      <c r="W53" s="1"/>
      <c r="X53" s="1">
        <f t="shared" si="34"/>
        <v>-2.8499999999999943</v>
      </c>
      <c r="Y53" s="1"/>
      <c r="Z53" s="5">
        <f t="shared" si="35"/>
        <v>-1.4249999999999971E-2</v>
      </c>
    </row>
    <row r="54" spans="1:26" s="24" customFormat="1" hidden="1" outlineLevel="2" x14ac:dyDescent="0.3">
      <c r="A54" s="27"/>
      <c r="B54" s="11" t="str">
        <f>CONCATENATE("          ", "6314", " - ", "LIABILITY INSURANCE")</f>
        <v xml:space="preserve">          6314 - LIABILITY INSURANCE</v>
      </c>
      <c r="C54" s="11"/>
      <c r="D54" s="6">
        <v>39.43</v>
      </c>
      <c r="E54" s="2"/>
      <c r="F54" s="7">
        <f t="shared" si="28"/>
        <v>2.434401432364018E-3</v>
      </c>
      <c r="G54" s="2"/>
      <c r="H54" s="6">
        <v>40</v>
      </c>
      <c r="I54" s="2"/>
      <c r="J54" s="7">
        <f t="shared" si="29"/>
        <v>1.1912207034158254E-3</v>
      </c>
      <c r="K54" s="2"/>
      <c r="L54" s="6">
        <f t="shared" si="30"/>
        <v>-0.57000000000000028</v>
      </c>
      <c r="M54" s="2"/>
      <c r="N54" s="7">
        <f t="shared" si="31"/>
        <v>-1.4250000000000007E-2</v>
      </c>
      <c r="O54" s="11"/>
      <c r="P54" s="6">
        <v>197.15</v>
      </c>
      <c r="Q54" s="2"/>
      <c r="R54" s="7">
        <f t="shared" si="32"/>
        <v>6.4736130083009353E-4</v>
      </c>
      <c r="S54" s="2"/>
      <c r="T54" s="6">
        <v>200</v>
      </c>
      <c r="U54" s="2"/>
      <c r="V54" s="7">
        <f t="shared" si="33"/>
        <v>6.0264379834333223E-4</v>
      </c>
      <c r="W54" s="2"/>
      <c r="X54" s="6">
        <f t="shared" si="34"/>
        <v>-2.8499999999999943</v>
      </c>
      <c r="Y54" s="2"/>
      <c r="Z54" s="7">
        <f t="shared" si="35"/>
        <v>-1.4249999999999971E-2</v>
      </c>
    </row>
    <row r="55" spans="1:26" s="29" customFormat="1" outlineLevel="1" collapsed="1" x14ac:dyDescent="0.3">
      <c r="A55" s="28"/>
      <c r="B55" s="14" t="str">
        <f>CONCATENATE("     ","Rent                                              ")</f>
        <v xml:space="preserve">     Rent                                              </v>
      </c>
      <c r="C55" s="14"/>
      <c r="D55" s="1">
        <f>SUM(OSRRefD22_8x_0)</f>
        <v>800</v>
      </c>
      <c r="E55" s="1"/>
      <c r="F55" s="5">
        <f t="shared" si="28"/>
        <v>4.9391862690621721E-2</v>
      </c>
      <c r="G55" s="1"/>
      <c r="H55" s="1">
        <f>SUM(OSRRefH22_8x_0)</f>
        <v>800</v>
      </c>
      <c r="I55" s="1"/>
      <c r="J55" s="5">
        <f t="shared" si="29"/>
        <v>2.3824414068316507E-2</v>
      </c>
      <c r="K55" s="1"/>
      <c r="L55" s="1">
        <f t="shared" si="30"/>
        <v>0</v>
      </c>
      <c r="M55" s="1"/>
      <c r="N55" s="5">
        <f t="shared" si="31"/>
        <v>0</v>
      </c>
      <c r="O55" s="14"/>
      <c r="P55" s="1">
        <f>SUM(OSRRefP22_8x_0)</f>
        <v>4000</v>
      </c>
      <c r="Q55" s="1"/>
      <c r="R55" s="5">
        <f t="shared" si="32"/>
        <v>1.3134391089629084E-2</v>
      </c>
      <c r="S55" s="1"/>
      <c r="T55" s="1">
        <f>SUM(OSRRefT22_8x_0)</f>
        <v>4000</v>
      </c>
      <c r="U55" s="1"/>
      <c r="V55" s="5">
        <f t="shared" si="33"/>
        <v>1.2052875966866643E-2</v>
      </c>
      <c r="W55" s="1"/>
      <c r="X55" s="1">
        <f t="shared" si="34"/>
        <v>0</v>
      </c>
      <c r="Y55" s="1"/>
      <c r="Z55" s="5">
        <f t="shared" si="35"/>
        <v>0</v>
      </c>
    </row>
    <row r="56" spans="1:26" s="24" customFormat="1" hidden="1" outlineLevel="2" x14ac:dyDescent="0.3">
      <c r="A56" s="27"/>
      <c r="B56" s="11" t="str">
        <f>CONCATENATE("          ", "6273", " - ", "RENT")</f>
        <v xml:space="preserve">          6273 - RENT</v>
      </c>
      <c r="C56" s="11"/>
      <c r="D56" s="6">
        <v>800</v>
      </c>
      <c r="E56" s="2"/>
      <c r="F56" s="7">
        <f t="shared" si="28"/>
        <v>4.9391862690621721E-2</v>
      </c>
      <c r="G56" s="2"/>
      <c r="H56" s="6">
        <v>800</v>
      </c>
      <c r="I56" s="2"/>
      <c r="J56" s="7">
        <f t="shared" si="29"/>
        <v>2.3824414068316507E-2</v>
      </c>
      <c r="K56" s="2"/>
      <c r="L56" s="6">
        <f t="shared" si="30"/>
        <v>0</v>
      </c>
      <c r="M56" s="2"/>
      <c r="N56" s="7">
        <f t="shared" si="31"/>
        <v>0</v>
      </c>
      <c r="O56" s="11"/>
      <c r="P56" s="6">
        <v>4000</v>
      </c>
      <c r="Q56" s="2"/>
      <c r="R56" s="7">
        <f t="shared" si="32"/>
        <v>1.3134391089629084E-2</v>
      </c>
      <c r="S56" s="2"/>
      <c r="T56" s="6">
        <v>4000</v>
      </c>
      <c r="U56" s="2"/>
      <c r="V56" s="7">
        <f t="shared" si="33"/>
        <v>1.2052875966866643E-2</v>
      </c>
      <c r="W56" s="2"/>
      <c r="X56" s="6">
        <f t="shared" si="34"/>
        <v>0</v>
      </c>
      <c r="Y56" s="2"/>
      <c r="Z56" s="7">
        <f t="shared" si="35"/>
        <v>0</v>
      </c>
    </row>
    <row r="57" spans="1:26" s="29" customFormat="1" outlineLevel="1" collapsed="1" x14ac:dyDescent="0.3">
      <c r="A57" s="28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SUM(OSRRefD22_9x_0)</f>
        <v>0</v>
      </c>
      <c r="E57" s="1"/>
      <c r="F57" s="5">
        <f t="shared" si="28"/>
        <v>0</v>
      </c>
      <c r="G57" s="1"/>
      <c r="H57" s="1">
        <f>SUM(OSRRefH22_9x_0)</f>
        <v>3200</v>
      </c>
      <c r="I57" s="1"/>
      <c r="J57" s="5">
        <f t="shared" si="29"/>
        <v>9.5297656273266029E-2</v>
      </c>
      <c r="K57" s="1"/>
      <c r="L57" s="1">
        <f t="shared" si="30"/>
        <v>-3200</v>
      </c>
      <c r="M57" s="1"/>
      <c r="N57" s="5">
        <f t="shared" si="31"/>
        <v>-1</v>
      </c>
      <c r="O57" s="14"/>
      <c r="P57" s="1">
        <f>SUM(OSRRefP22_9x_0)</f>
        <v>122000.62</v>
      </c>
      <c r="Q57" s="1"/>
      <c r="R57" s="5">
        <f t="shared" si="32"/>
        <v>0.40060096406430595</v>
      </c>
      <c r="S57" s="1"/>
      <c r="T57" s="1">
        <f>SUM(OSRRefT22_9x_0)</f>
        <v>141000</v>
      </c>
      <c r="U57" s="1"/>
      <c r="V57" s="5">
        <f t="shared" si="33"/>
        <v>0.42486387783204921</v>
      </c>
      <c r="W57" s="1"/>
      <c r="X57" s="1">
        <f t="shared" si="34"/>
        <v>-18999.380000000005</v>
      </c>
      <c r="Y57" s="1"/>
      <c r="Z57" s="5">
        <f t="shared" si="35"/>
        <v>-0.13474737588652486</v>
      </c>
    </row>
    <row r="58" spans="1:26" s="24" customFormat="1" hidden="1" outlineLevel="2" x14ac:dyDescent="0.3">
      <c r="A58" s="27"/>
      <c r="B58" s="11" t="str">
        <f>CONCATENATE("          ", "6371", " - ", "COMPUTER SOFTWARE MAINTENANCE")</f>
        <v xml:space="preserve">          6371 - COMPUTER SOFTWARE MAINTENANCE</v>
      </c>
      <c r="C58" s="11"/>
      <c r="D58" s="6"/>
      <c r="E58" s="2"/>
      <c r="F58" s="7">
        <f t="shared" si="28"/>
        <v>0</v>
      </c>
      <c r="G58" s="2"/>
      <c r="H58" s="6"/>
      <c r="I58" s="2"/>
      <c r="J58" s="7">
        <f t="shared" si="29"/>
        <v>0</v>
      </c>
      <c r="K58" s="2"/>
      <c r="L58" s="6">
        <f t="shared" si="30"/>
        <v>0</v>
      </c>
      <c r="M58" s="2"/>
      <c r="N58" s="7">
        <f t="shared" si="31"/>
        <v>0</v>
      </c>
      <c r="O58" s="11"/>
      <c r="P58" s="6"/>
      <c r="Q58" s="2"/>
      <c r="R58" s="7">
        <f t="shared" si="32"/>
        <v>0</v>
      </c>
      <c r="S58" s="2"/>
      <c r="T58" s="6">
        <v>125000</v>
      </c>
      <c r="U58" s="2"/>
      <c r="V58" s="7">
        <f t="shared" si="33"/>
        <v>0.37665237396458262</v>
      </c>
      <c r="W58" s="2"/>
      <c r="X58" s="6">
        <f t="shared" si="34"/>
        <v>-125000</v>
      </c>
      <c r="Y58" s="2"/>
      <c r="Z58" s="7">
        <f t="shared" si="35"/>
        <v>-1</v>
      </c>
    </row>
    <row r="59" spans="1:26" s="24" customFormat="1" hidden="1" outlineLevel="2" x14ac:dyDescent="0.3">
      <c r="A59" s="27"/>
      <c r="B59" s="11" t="str">
        <f>CONCATENATE("          ", "6372", " - ", "COMPUTER HARDWARE MAINTENANCE")</f>
        <v xml:space="preserve">          6372 - COMPUTER HARDWARE MAINTENANCE</v>
      </c>
      <c r="C59" s="11"/>
      <c r="D59" s="6"/>
      <c r="E59" s="2"/>
      <c r="F59" s="7">
        <f t="shared" si="28"/>
        <v>0</v>
      </c>
      <c r="G59" s="2"/>
      <c r="H59" s="6">
        <v>3200</v>
      </c>
      <c r="I59" s="2"/>
      <c r="J59" s="7">
        <f t="shared" si="29"/>
        <v>9.5297656273266029E-2</v>
      </c>
      <c r="K59" s="2"/>
      <c r="L59" s="6">
        <f t="shared" si="30"/>
        <v>-3200</v>
      </c>
      <c r="M59" s="2"/>
      <c r="N59" s="7">
        <f t="shared" si="31"/>
        <v>-1</v>
      </c>
      <c r="O59" s="11"/>
      <c r="P59" s="6"/>
      <c r="Q59" s="2"/>
      <c r="R59" s="7">
        <f t="shared" si="32"/>
        <v>0</v>
      </c>
      <c r="S59" s="2"/>
      <c r="T59" s="6">
        <v>16000</v>
      </c>
      <c r="U59" s="2"/>
      <c r="V59" s="7">
        <f t="shared" si="33"/>
        <v>4.8211503867466574E-2</v>
      </c>
      <c r="W59" s="2"/>
      <c r="X59" s="6">
        <f t="shared" si="34"/>
        <v>-16000</v>
      </c>
      <c r="Y59" s="2"/>
      <c r="Z59" s="7">
        <f t="shared" si="35"/>
        <v>-1</v>
      </c>
    </row>
    <row r="60" spans="1:26" s="24" customFormat="1" hidden="1" outlineLevel="2" x14ac:dyDescent="0.3">
      <c r="A60" s="27"/>
      <c r="B60" s="11" t="str">
        <f>CONCATENATE("          ", "6373", " - ", "MAINTENANCE CONTRACTS")</f>
        <v xml:space="preserve">          6373 - MAINTENANCE CONTRACTS</v>
      </c>
      <c r="C60" s="11"/>
      <c r="D60" s="6"/>
      <c r="E60" s="2"/>
      <c r="F60" s="7">
        <f t="shared" si="28"/>
        <v>0</v>
      </c>
      <c r="G60" s="2"/>
      <c r="H60" s="6"/>
      <c r="I60" s="2"/>
      <c r="J60" s="7">
        <f t="shared" si="29"/>
        <v>0</v>
      </c>
      <c r="K60" s="2"/>
      <c r="L60" s="6">
        <f t="shared" si="30"/>
        <v>0</v>
      </c>
      <c r="M60" s="2"/>
      <c r="N60" s="7">
        <f t="shared" si="31"/>
        <v>0</v>
      </c>
      <c r="O60" s="11"/>
      <c r="P60" s="6">
        <v>122000.62</v>
      </c>
      <c r="Q60" s="2"/>
      <c r="R60" s="7">
        <f t="shared" si="32"/>
        <v>0.40060096406430595</v>
      </c>
      <c r="S60" s="2"/>
      <c r="T60" s="6"/>
      <c r="U60" s="2"/>
      <c r="V60" s="7">
        <f t="shared" si="33"/>
        <v>0</v>
      </c>
      <c r="W60" s="2"/>
      <c r="X60" s="6">
        <f t="shared" si="34"/>
        <v>122000.62</v>
      </c>
      <c r="Y60" s="2"/>
      <c r="Z60" s="7">
        <f t="shared" si="35"/>
        <v>0</v>
      </c>
    </row>
    <row r="61" spans="1:26" s="29" customFormat="1" outlineLevel="1" collapsed="1" x14ac:dyDescent="0.3">
      <c r="A61" s="28"/>
      <c r="B61" s="14" t="str">
        <f>CONCATENATE("     ","Subscriptions &amp; Dues                              ")</f>
        <v xml:space="preserve">     Subscriptions &amp; Dues                              </v>
      </c>
      <c r="C61" s="14"/>
      <c r="D61" s="1">
        <f>SUM(OSRRefD22_10x_0)</f>
        <v>0</v>
      </c>
      <c r="E61" s="1"/>
      <c r="F61" s="5">
        <f t="shared" ref="F61:F66" si="36">IF(D$12=0,0,D61/D$12)</f>
        <v>0</v>
      </c>
      <c r="G61" s="1"/>
      <c r="H61" s="1">
        <f>SUM(OSRRefH22_10x_0)</f>
        <v>85</v>
      </c>
      <c r="I61" s="1"/>
      <c r="J61" s="5">
        <f t="shared" ref="J61:J66" si="37">IF(H$12=0,0,H61/H$12)</f>
        <v>2.5313439947586289E-3</v>
      </c>
      <c r="K61" s="1"/>
      <c r="L61" s="1">
        <f t="shared" ref="L61:L66" si="38">+D61-H61</f>
        <v>-85</v>
      </c>
      <c r="M61" s="1"/>
      <c r="N61" s="5">
        <f t="shared" ref="N61:N66" si="39">IF(H61=0,0,L61/H61)</f>
        <v>-1</v>
      </c>
      <c r="O61" s="14"/>
      <c r="P61" s="1">
        <f>SUM(OSRRefP22_10x_0)</f>
        <v>0</v>
      </c>
      <c r="Q61" s="1"/>
      <c r="R61" s="5">
        <f t="shared" ref="R61:R66" si="40">IF(P$12=0,0,P61/P$12)</f>
        <v>0</v>
      </c>
      <c r="S61" s="1"/>
      <c r="T61" s="1">
        <f>SUM(OSRRefT22_10x_0)</f>
        <v>425</v>
      </c>
      <c r="U61" s="1"/>
      <c r="V61" s="5">
        <f t="shared" ref="V61:V66" si="41">IF(T$12=0,0,T61/T$12)</f>
        <v>1.280618071479581E-3</v>
      </c>
      <c r="W61" s="1"/>
      <c r="X61" s="1">
        <f t="shared" ref="X61:X66" si="42">+P61-T61</f>
        <v>-425</v>
      </c>
      <c r="Y61" s="1"/>
      <c r="Z61" s="5">
        <f t="shared" ref="Z61:Z66" si="43">IF(T61=0,0,X61/T61)</f>
        <v>-1</v>
      </c>
    </row>
    <row r="62" spans="1:26" s="24" customFormat="1" hidden="1" outlineLevel="2" x14ac:dyDescent="0.3">
      <c r="A62" s="27"/>
      <c r="B62" s="11" t="str">
        <f>CONCATENATE("          ", "6258", " - ", "MEMBERSHIP DUES")</f>
        <v xml:space="preserve">          6258 - MEMBERSHIP DUES</v>
      </c>
      <c r="C62" s="11"/>
      <c r="D62" s="6"/>
      <c r="E62" s="2"/>
      <c r="F62" s="7">
        <f t="shared" si="36"/>
        <v>0</v>
      </c>
      <c r="G62" s="2"/>
      <c r="H62" s="6">
        <v>85</v>
      </c>
      <c r="I62" s="2"/>
      <c r="J62" s="7">
        <f t="shared" si="37"/>
        <v>2.5313439947586289E-3</v>
      </c>
      <c r="K62" s="2"/>
      <c r="L62" s="6">
        <f t="shared" si="38"/>
        <v>-85</v>
      </c>
      <c r="M62" s="2"/>
      <c r="N62" s="7">
        <f t="shared" si="39"/>
        <v>-1</v>
      </c>
      <c r="O62" s="11"/>
      <c r="P62" s="6"/>
      <c r="Q62" s="2"/>
      <c r="R62" s="7">
        <f t="shared" si="40"/>
        <v>0</v>
      </c>
      <c r="S62" s="2"/>
      <c r="T62" s="6">
        <v>425</v>
      </c>
      <c r="U62" s="2"/>
      <c r="V62" s="7">
        <f t="shared" si="41"/>
        <v>1.280618071479581E-3</v>
      </c>
      <c r="W62" s="2"/>
      <c r="X62" s="6">
        <f t="shared" si="42"/>
        <v>-425</v>
      </c>
      <c r="Y62" s="2"/>
      <c r="Z62" s="7">
        <f t="shared" si="43"/>
        <v>-1</v>
      </c>
    </row>
    <row r="63" spans="1:26" s="29" customFormat="1" outlineLevel="1" collapsed="1" x14ac:dyDescent="0.3">
      <c r="A63" s="28"/>
      <c r="B63" s="14" t="str">
        <f>CONCATENATE("     ","Supplies                                          ")</f>
        <v xml:space="preserve">     Supplies                                          </v>
      </c>
      <c r="C63" s="14"/>
      <c r="D63" s="1">
        <f>SUM(OSRRefD22_11x_0)</f>
        <v>235.39</v>
      </c>
      <c r="E63" s="1"/>
      <c r="F63" s="5">
        <f t="shared" si="36"/>
        <v>1.4532938198431808E-2</v>
      </c>
      <c r="G63" s="1"/>
      <c r="H63" s="1">
        <f>SUM(OSRRefH22_11x_0)</f>
        <v>5800</v>
      </c>
      <c r="I63" s="1"/>
      <c r="J63" s="5">
        <f t="shared" si="37"/>
        <v>0.17272700199529467</v>
      </c>
      <c r="K63" s="1"/>
      <c r="L63" s="1">
        <f t="shared" si="38"/>
        <v>-5564.61</v>
      </c>
      <c r="M63" s="1"/>
      <c r="N63" s="5">
        <f t="shared" si="39"/>
        <v>-0.9594155172413793</v>
      </c>
      <c r="O63" s="14"/>
      <c r="P63" s="1">
        <f>SUM(OSRRefP22_11x_0)</f>
        <v>15524.470000000001</v>
      </c>
      <c r="Q63" s="1"/>
      <c r="R63" s="5">
        <f t="shared" si="40"/>
        <v>5.0976115109803516E-2</v>
      </c>
      <c r="S63" s="1"/>
      <c r="T63" s="1">
        <f>SUM(OSRRefT22_11x_0)</f>
        <v>29000</v>
      </c>
      <c r="U63" s="1"/>
      <c r="V63" s="5">
        <f t="shared" si="41"/>
        <v>8.7383350759783165E-2</v>
      </c>
      <c r="W63" s="1"/>
      <c r="X63" s="1">
        <f t="shared" si="42"/>
        <v>-13475.529999999999</v>
      </c>
      <c r="Y63" s="1"/>
      <c r="Z63" s="5">
        <f t="shared" si="43"/>
        <v>-0.46467344827586204</v>
      </c>
    </row>
    <row r="64" spans="1:26" s="24" customFormat="1" hidden="1" outlineLevel="2" x14ac:dyDescent="0.3">
      <c r="A64" s="27"/>
      <c r="B64" s="11" t="str">
        <f>CONCATENATE("          ", "6234", " - ", "EXPENDABLE SUPPLIES &amp; EQUIPMEN")</f>
        <v xml:space="preserve">          6234 - EXPENDABLE SUPPLIES &amp; EQUIPMEN</v>
      </c>
      <c r="C64" s="11"/>
      <c r="D64" s="6"/>
      <c r="E64" s="2"/>
      <c r="F64" s="7">
        <f t="shared" si="36"/>
        <v>0</v>
      </c>
      <c r="G64" s="2"/>
      <c r="H64" s="6">
        <v>5800</v>
      </c>
      <c r="I64" s="2"/>
      <c r="J64" s="7">
        <f t="shared" si="37"/>
        <v>0.17272700199529467</v>
      </c>
      <c r="K64" s="2"/>
      <c r="L64" s="6">
        <f t="shared" si="38"/>
        <v>-5800</v>
      </c>
      <c r="M64" s="2"/>
      <c r="N64" s="7">
        <f t="shared" si="39"/>
        <v>-1</v>
      </c>
      <c r="O64" s="11"/>
      <c r="P64" s="6"/>
      <c r="Q64" s="2"/>
      <c r="R64" s="7">
        <f t="shared" si="40"/>
        <v>0</v>
      </c>
      <c r="S64" s="2"/>
      <c r="T64" s="6">
        <v>29000</v>
      </c>
      <c r="U64" s="2"/>
      <c r="V64" s="7">
        <f t="shared" si="41"/>
        <v>8.7383350759783165E-2</v>
      </c>
      <c r="W64" s="2"/>
      <c r="X64" s="6">
        <f t="shared" si="42"/>
        <v>-29000</v>
      </c>
      <c r="Y64" s="2"/>
      <c r="Z64" s="7">
        <f t="shared" si="43"/>
        <v>-1</v>
      </c>
    </row>
    <row r="65" spans="1:26" s="24" customFormat="1" hidden="1" outlineLevel="2" x14ac:dyDescent="0.3">
      <c r="A65" s="27"/>
      <c r="B65" s="11" t="str">
        <f>CONCATENATE("          ", "6241", " - ", "OFFICE EXPENSE")</f>
        <v xml:space="preserve">          6241 - OFFICE EXPENSE</v>
      </c>
      <c r="C65" s="11"/>
      <c r="D65" s="6">
        <v>235.39</v>
      </c>
      <c r="E65" s="2"/>
      <c r="F65" s="7">
        <f t="shared" si="36"/>
        <v>1.4532938198431808E-2</v>
      </c>
      <c r="G65" s="2"/>
      <c r="H65" s="6"/>
      <c r="I65" s="2"/>
      <c r="J65" s="7">
        <f t="shared" si="37"/>
        <v>0</v>
      </c>
      <c r="K65" s="2"/>
      <c r="L65" s="6">
        <f t="shared" si="38"/>
        <v>235.39</v>
      </c>
      <c r="M65" s="2"/>
      <c r="N65" s="7">
        <f t="shared" si="39"/>
        <v>0</v>
      </c>
      <c r="O65" s="11"/>
      <c r="P65" s="6">
        <v>15507.93</v>
      </c>
      <c r="Q65" s="2"/>
      <c r="R65" s="7">
        <f t="shared" si="40"/>
        <v>5.0921804402647895E-2</v>
      </c>
      <c r="S65" s="2"/>
      <c r="T65" s="6"/>
      <c r="U65" s="2"/>
      <c r="V65" s="7">
        <f t="shared" si="41"/>
        <v>0</v>
      </c>
      <c r="W65" s="2"/>
      <c r="X65" s="6">
        <f t="shared" si="42"/>
        <v>15507.93</v>
      </c>
      <c r="Y65" s="2"/>
      <c r="Z65" s="7">
        <f t="shared" si="43"/>
        <v>0</v>
      </c>
    </row>
    <row r="66" spans="1:26" s="24" customFormat="1" hidden="1" outlineLevel="2" x14ac:dyDescent="0.3">
      <c r="A66" s="27"/>
      <c r="B66" s="11" t="str">
        <f>CONCATENATE("          ", "6247", " - ", "STORE SUPPLIES")</f>
        <v xml:space="preserve">          6247 - STORE SUPPLIES</v>
      </c>
      <c r="C66" s="11"/>
      <c r="D66" s="6"/>
      <c r="E66" s="2"/>
      <c r="F66" s="7">
        <f t="shared" si="36"/>
        <v>0</v>
      </c>
      <c r="G66" s="2"/>
      <c r="H66" s="6"/>
      <c r="I66" s="2"/>
      <c r="J66" s="7">
        <f t="shared" si="37"/>
        <v>0</v>
      </c>
      <c r="K66" s="2"/>
      <c r="L66" s="6">
        <f t="shared" si="38"/>
        <v>0</v>
      </c>
      <c r="M66" s="2"/>
      <c r="N66" s="7">
        <f t="shared" si="39"/>
        <v>0</v>
      </c>
      <c r="O66" s="11"/>
      <c r="P66" s="6">
        <v>16.54</v>
      </c>
      <c r="Q66" s="2"/>
      <c r="R66" s="7">
        <f t="shared" si="40"/>
        <v>5.4310707155616264E-5</v>
      </c>
      <c r="S66" s="2"/>
      <c r="T66" s="6"/>
      <c r="U66" s="2"/>
      <c r="V66" s="7">
        <f t="shared" si="41"/>
        <v>0</v>
      </c>
      <c r="W66" s="2"/>
      <c r="X66" s="6">
        <f t="shared" si="42"/>
        <v>16.54</v>
      </c>
      <c r="Y66" s="2"/>
      <c r="Z66" s="7">
        <f t="shared" si="43"/>
        <v>0</v>
      </c>
    </row>
    <row r="67" spans="1:26" s="29" customFormat="1" outlineLevel="1" collapsed="1" x14ac:dyDescent="0.3">
      <c r="A67" s="28"/>
      <c r="B67" s="14" t="str">
        <f>CONCATENATE("     ","Telephone/Data Lines                              ")</f>
        <v xml:space="preserve">     Telephone/Data Lines                              </v>
      </c>
      <c r="C67" s="14"/>
      <c r="D67" s="1">
        <f>SUM(OSRRefD22_12x_0)</f>
        <v>90.85</v>
      </c>
      <c r="E67" s="1"/>
      <c r="F67" s="5">
        <f t="shared" ref="F67:F70" si="44">IF(D$12=0,0,D67/D$12)</f>
        <v>5.6090634068037288E-3</v>
      </c>
      <c r="G67" s="1"/>
      <c r="H67" s="1">
        <f>SUM(OSRRefH22_12x_0)</f>
        <v>350</v>
      </c>
      <c r="I67" s="1"/>
      <c r="J67" s="5">
        <f t="shared" ref="J67:J70" si="45">IF(H$12=0,0,H67/H$12)</f>
        <v>1.0423181154888472E-2</v>
      </c>
      <c r="K67" s="1"/>
      <c r="L67" s="1">
        <f t="shared" ref="L67:L70" si="46">+D67-H67</f>
        <v>-259.14999999999998</v>
      </c>
      <c r="M67" s="1"/>
      <c r="N67" s="5">
        <f t="shared" ref="N67:N70" si="47">IF(H67=0,0,L67/H67)</f>
        <v>-0.74042857142857132</v>
      </c>
      <c r="O67" s="14"/>
      <c r="P67" s="1">
        <f>SUM(OSRRefP22_12x_0)</f>
        <v>14.85</v>
      </c>
      <c r="Q67" s="1"/>
      <c r="R67" s="5">
        <f t="shared" ref="R67:R70" si="48">IF(P$12=0,0,P67/P$12)</f>
        <v>4.8761426920247976E-5</v>
      </c>
      <c r="S67" s="1"/>
      <c r="T67" s="1">
        <f>SUM(OSRRefT22_12x_0)</f>
        <v>1750</v>
      </c>
      <c r="U67" s="1"/>
      <c r="V67" s="5">
        <f t="shared" ref="V67:V70" si="49">IF(T$12=0,0,T67/T$12)</f>
        <v>5.2731332355041571E-3</v>
      </c>
      <c r="W67" s="1"/>
      <c r="X67" s="1">
        <f t="shared" ref="X67:X70" si="50">+P67-T67</f>
        <v>-1735.15</v>
      </c>
      <c r="Y67" s="1"/>
      <c r="Z67" s="5">
        <f t="shared" ref="Z67:Z70" si="51">IF(T67=0,0,X67/T67)</f>
        <v>-0.99151428571428579</v>
      </c>
    </row>
    <row r="68" spans="1:26" s="24" customFormat="1" hidden="1" outlineLevel="2" x14ac:dyDescent="0.3">
      <c r="A68" s="27"/>
      <c r="B68" s="11" t="str">
        <f>CONCATENATE("          ", "6309", " - ", "TELEPHONE")</f>
        <v xml:space="preserve">          6309 - TELEPHONE</v>
      </c>
      <c r="C68" s="11"/>
      <c r="D68" s="6">
        <v>90.85</v>
      </c>
      <c r="E68" s="2"/>
      <c r="F68" s="7">
        <f t="shared" si="44"/>
        <v>5.6090634068037288E-3</v>
      </c>
      <c r="G68" s="2"/>
      <c r="H68" s="6">
        <v>350</v>
      </c>
      <c r="I68" s="2"/>
      <c r="J68" s="7">
        <f t="shared" si="45"/>
        <v>1.0423181154888472E-2</v>
      </c>
      <c r="K68" s="2"/>
      <c r="L68" s="6">
        <f t="shared" si="46"/>
        <v>-259.14999999999998</v>
      </c>
      <c r="M68" s="2"/>
      <c r="N68" s="7">
        <f t="shared" si="47"/>
        <v>-0.74042857142857132</v>
      </c>
      <c r="O68" s="11"/>
      <c r="P68" s="6">
        <v>14.85</v>
      </c>
      <c r="Q68" s="2"/>
      <c r="R68" s="7">
        <f t="shared" si="48"/>
        <v>4.8761426920247976E-5</v>
      </c>
      <c r="S68" s="2"/>
      <c r="T68" s="6">
        <v>1750</v>
      </c>
      <c r="U68" s="2"/>
      <c r="V68" s="7">
        <f t="shared" si="49"/>
        <v>5.2731332355041571E-3</v>
      </c>
      <c r="W68" s="2"/>
      <c r="X68" s="6">
        <f t="shared" si="50"/>
        <v>-1735.15</v>
      </c>
      <c r="Y68" s="2"/>
      <c r="Z68" s="7">
        <f t="shared" si="51"/>
        <v>-0.99151428571428579</v>
      </c>
    </row>
    <row r="69" spans="1:26" s="29" customFormat="1" outlineLevel="1" collapsed="1" x14ac:dyDescent="0.3">
      <c r="A69" s="28"/>
      <c r="B69" s="14" t="str">
        <f>CONCATENATE("     ","Training                                          ")</f>
        <v xml:space="preserve">     Training                                          </v>
      </c>
      <c r="C69" s="14"/>
      <c r="D69" s="1">
        <f>SUM(OSRRefD22_13x_0)</f>
        <v>0</v>
      </c>
      <c r="E69" s="1"/>
      <c r="F69" s="5">
        <f t="shared" si="44"/>
        <v>0</v>
      </c>
      <c r="G69" s="1"/>
      <c r="H69" s="1">
        <f>SUM(OSRRefH22_13x_0)</f>
        <v>0</v>
      </c>
      <c r="I69" s="1"/>
      <c r="J69" s="5">
        <f t="shared" si="45"/>
        <v>0</v>
      </c>
      <c r="K69" s="1"/>
      <c r="L69" s="1">
        <f t="shared" si="46"/>
        <v>0</v>
      </c>
      <c r="M69" s="1"/>
      <c r="N69" s="5">
        <f t="shared" si="47"/>
        <v>0</v>
      </c>
      <c r="O69" s="14"/>
      <c r="P69" s="1">
        <f>SUM(OSRRefP22_13x_0)</f>
        <v>2000</v>
      </c>
      <c r="Q69" s="1"/>
      <c r="R69" s="5">
        <f t="shared" si="48"/>
        <v>6.5671955448145421E-3</v>
      </c>
      <c r="S69" s="1"/>
      <c r="T69" s="1">
        <f>SUM(OSRRefT22_13x_0)</f>
        <v>0</v>
      </c>
      <c r="U69" s="1"/>
      <c r="V69" s="5">
        <f t="shared" si="49"/>
        <v>0</v>
      </c>
      <c r="W69" s="1"/>
      <c r="X69" s="1">
        <f t="shared" si="50"/>
        <v>2000</v>
      </c>
      <c r="Y69" s="1"/>
      <c r="Z69" s="5">
        <f t="shared" si="51"/>
        <v>0</v>
      </c>
    </row>
    <row r="70" spans="1:26" s="24" customFormat="1" hidden="1" outlineLevel="2" x14ac:dyDescent="0.3">
      <c r="A70" s="27"/>
      <c r="B70" s="11" t="str">
        <f>CONCATENATE("          ", "6376", " - ", "TRAINING")</f>
        <v xml:space="preserve">          6376 - TRAINING</v>
      </c>
      <c r="C70" s="11"/>
      <c r="D70" s="6"/>
      <c r="E70" s="2"/>
      <c r="F70" s="7">
        <f t="shared" si="44"/>
        <v>0</v>
      </c>
      <c r="G70" s="2"/>
      <c r="H70" s="6"/>
      <c r="I70" s="2"/>
      <c r="J70" s="7">
        <f t="shared" si="45"/>
        <v>0</v>
      </c>
      <c r="K70" s="2"/>
      <c r="L70" s="6">
        <f t="shared" si="46"/>
        <v>0</v>
      </c>
      <c r="M70" s="2"/>
      <c r="N70" s="7">
        <f t="shared" si="47"/>
        <v>0</v>
      </c>
      <c r="O70" s="11"/>
      <c r="P70" s="6">
        <v>2000</v>
      </c>
      <c r="Q70" s="2"/>
      <c r="R70" s="7">
        <f t="shared" si="48"/>
        <v>6.5671955448145421E-3</v>
      </c>
      <c r="S70" s="2"/>
      <c r="T70" s="6"/>
      <c r="U70" s="2"/>
      <c r="V70" s="7">
        <f t="shared" si="49"/>
        <v>0</v>
      </c>
      <c r="W70" s="2"/>
      <c r="X70" s="6">
        <f t="shared" si="50"/>
        <v>2000</v>
      </c>
      <c r="Y70" s="2"/>
      <c r="Z70" s="7">
        <f t="shared" si="51"/>
        <v>0</v>
      </c>
    </row>
    <row r="71" spans="1:26" s="63" customFormat="1" x14ac:dyDescent="0.3">
      <c r="A71" s="36"/>
      <c r="B71" s="36"/>
      <c r="C71" s="36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6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collapsed="1" x14ac:dyDescent="0.3">
      <c r="A72" s="10"/>
      <c r="B72" s="25" t="s">
        <v>293</v>
      </c>
      <c r="C72" s="10"/>
      <c r="D72" s="4">
        <f>SUM(OSRRefD25x_0)</f>
        <v>620.46</v>
      </c>
      <c r="E72" s="4"/>
      <c r="F72" s="12">
        <f t="shared" ref="F72:F73" si="52">IF(D$12=0,0,D72/D$12)</f>
        <v>3.8307093906278941E-2</v>
      </c>
      <c r="G72" s="4"/>
      <c r="H72" s="4">
        <f>SUM(OSRRefH25x_0)</f>
        <v>2400</v>
      </c>
      <c r="I72" s="4"/>
      <c r="J72" s="12">
        <f t="shared" ref="J72:J73" si="53">IF(H$12=0,0,H72/H$12)</f>
        <v>7.1473242204949522E-2</v>
      </c>
      <c r="K72" s="4"/>
      <c r="L72" s="4">
        <f t="shared" ref="L72:L73" si="54">+D72-H72</f>
        <v>-1779.54</v>
      </c>
      <c r="M72" s="4"/>
      <c r="N72" s="12">
        <f t="shared" ref="N72:N73" si="55">IF(H72=0,0,L72/H72)</f>
        <v>-0.741475</v>
      </c>
      <c r="O72" s="10"/>
      <c r="P72" s="4">
        <f>SUM(OSRRefP25x_0)</f>
        <v>5017.33</v>
      </c>
      <c r="Q72" s="4"/>
      <c r="R72" s="12">
        <f t="shared" ref="R72:R73" si="56">IF(P$12=0,0,P72/P$12)</f>
        <v>1.6474893611432173E-2</v>
      </c>
      <c r="S72" s="4"/>
      <c r="T72" s="4">
        <f>SUM(OSRRefT25x_0)</f>
        <v>12000</v>
      </c>
      <c r="U72" s="4"/>
      <c r="V72" s="12">
        <f t="shared" ref="V72:V73" si="57">IF(T$12=0,0,T72/T$12)</f>
        <v>3.6158627900599934E-2</v>
      </c>
      <c r="W72" s="4"/>
      <c r="X72" s="4">
        <f t="shared" ref="X72:X73" si="58">+P72-T72</f>
        <v>-6982.67</v>
      </c>
      <c r="Y72" s="4"/>
      <c r="Z72" s="12">
        <f t="shared" ref="Z72:Z73" si="59">IF(T72=0,0,X72/T72)</f>
        <v>-0.58188916666666668</v>
      </c>
    </row>
    <row r="73" spans="1:26" s="24" customFormat="1" hidden="1" outlineLevel="1" x14ac:dyDescent="0.3">
      <c r="A73" s="44"/>
      <c r="B73" s="11" t="str">
        <f>CONCATENATE("          ", "9150", " - ", "MISC. INCOME")</f>
        <v xml:space="preserve">          9150 - MISC. INCOME</v>
      </c>
      <c r="C73" s="11"/>
      <c r="D73" s="2">
        <f>--620.46</f>
        <v>620.46</v>
      </c>
      <c r="E73" s="2"/>
      <c r="F73" s="19">
        <f t="shared" si="52"/>
        <v>3.8307093906278941E-2</v>
      </c>
      <c r="G73" s="2"/>
      <c r="H73" s="2">
        <v>2400</v>
      </c>
      <c r="I73" s="2"/>
      <c r="J73" s="19">
        <f t="shared" si="53"/>
        <v>7.1473242204949522E-2</v>
      </c>
      <c r="K73" s="2"/>
      <c r="L73" s="2">
        <f t="shared" si="54"/>
        <v>-1779.54</v>
      </c>
      <c r="M73" s="2"/>
      <c r="N73" s="19">
        <f t="shared" si="55"/>
        <v>-0.741475</v>
      </c>
      <c r="O73" s="11"/>
      <c r="P73" s="2">
        <f>--5017.33</f>
        <v>5017.33</v>
      </c>
      <c r="Q73" s="2"/>
      <c r="R73" s="19">
        <f t="shared" si="56"/>
        <v>1.6474893611432173E-2</v>
      </c>
      <c r="S73" s="2"/>
      <c r="T73" s="2">
        <v>12000</v>
      </c>
      <c r="U73" s="2"/>
      <c r="V73" s="19">
        <f t="shared" si="57"/>
        <v>3.6158627900599934E-2</v>
      </c>
      <c r="W73" s="2"/>
      <c r="X73" s="2">
        <f t="shared" si="58"/>
        <v>-6982.67</v>
      </c>
      <c r="Y73" s="2"/>
      <c r="Z73" s="19">
        <f t="shared" si="59"/>
        <v>-0.58188916666666668</v>
      </c>
    </row>
    <row r="74" spans="1:26" x14ac:dyDescent="0.3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3">
      <c r="A75" s="10"/>
      <c r="B75" s="26" t="s">
        <v>277</v>
      </c>
      <c r="C75" s="26"/>
      <c r="D75" s="20">
        <f>+D17-D19+D72</f>
        <v>0.33000000000265572</v>
      </c>
      <c r="E75" s="13"/>
      <c r="F75" s="22">
        <f>IF(D$12=0,0,D75/D$12)</f>
        <v>2.0374143360045425E-5</v>
      </c>
      <c r="G75" s="13"/>
      <c r="H75" s="20">
        <f>+H17-H19+H72</f>
        <v>3431.5564708223101</v>
      </c>
      <c r="I75" s="13"/>
      <c r="J75" s="22">
        <f>IF(H$12=0,0,H75/H$12)</f>
        <v>0.10219352782460199</v>
      </c>
      <c r="K75" s="15"/>
      <c r="L75" s="20">
        <f>+D75-H75</f>
        <v>-3431.2264708223074</v>
      </c>
      <c r="M75" s="15"/>
      <c r="N75" s="22">
        <f>IF(H75=0,0,L75/H75)</f>
        <v>-0.9999038337259466</v>
      </c>
      <c r="O75" s="25"/>
      <c r="P75" s="20">
        <f>+P17-P19+P72</f>
        <v>66859.349999999991</v>
      </c>
      <c r="Q75" s="13"/>
      <c r="R75" s="22">
        <f>IF(P$12=0,0,P75/P$12)</f>
        <v>0.21953921272459806</v>
      </c>
      <c r="S75" s="13"/>
      <c r="T75" s="20">
        <f>+T17-T19+T72</f>
        <v>33917.761464522686</v>
      </c>
      <c r="U75" s="13"/>
      <c r="V75" s="22">
        <f>IF(T$12=0,0,T75/T$12)</f>
        <v>0.10220164300141527</v>
      </c>
      <c r="W75" s="15"/>
      <c r="X75" s="20">
        <f>+P75-T75</f>
        <v>32941.588535477305</v>
      </c>
      <c r="Y75" s="15"/>
      <c r="Z75" s="22">
        <f>IF(T75=0,0,X75/T75)</f>
        <v>0.97121941758843844</v>
      </c>
    </row>
    <row r="76" spans="1:26" x14ac:dyDescent="0.3">
      <c r="A76" s="9"/>
      <c r="B76" s="10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3">
      <c r="A77" s="52"/>
      <c r="B77" s="10" t="s">
        <v>128</v>
      </c>
      <c r="C77" s="10"/>
      <c r="D77" s="4">
        <v>2944.24</v>
      </c>
      <c r="E77" s="4"/>
      <c r="F77" s="12">
        <f>IF(D$12=0,0,D77/D$12)</f>
        <v>0.1817768722602951</v>
      </c>
      <c r="G77" s="4"/>
      <c r="H77" s="4">
        <v>7187</v>
      </c>
      <c r="I77" s="4"/>
      <c r="J77" s="12">
        <f>IF(H$12=0,0,H77/H$12)</f>
        <v>0.21403257988623842</v>
      </c>
      <c r="K77" s="4"/>
      <c r="L77" s="4">
        <f>+D77-H77</f>
        <v>-4242.76</v>
      </c>
      <c r="M77" s="4"/>
      <c r="N77" s="12">
        <f>IF(H77=0,0,L77/H77)</f>
        <v>-0.5903381104772506</v>
      </c>
      <c r="O77" s="10"/>
      <c r="P77" s="4">
        <v>36274.769999999997</v>
      </c>
      <c r="Q77" s="4"/>
      <c r="R77" s="12">
        <f>IF(P$12=0,0,P77/P$12)</f>
        <v>0.1191117539665861</v>
      </c>
      <c r="S77" s="4"/>
      <c r="T77" s="4">
        <v>41488</v>
      </c>
      <c r="U77" s="4"/>
      <c r="V77" s="12">
        <f>IF(T$12=0,0,T77/T$12)</f>
        <v>0.12501242952834082</v>
      </c>
      <c r="W77" s="4"/>
      <c r="X77" s="4">
        <f>+P77-T77</f>
        <v>-5213.2300000000032</v>
      </c>
      <c r="Y77" s="4"/>
      <c r="Z77" s="12">
        <f>IF(T77=0,0,X77/T77)</f>
        <v>-0.12565633436174323</v>
      </c>
    </row>
    <row r="78" spans="1:26" x14ac:dyDescent="0.3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" thickBot="1" x14ac:dyDescent="0.35">
      <c r="A79" s="10"/>
      <c r="B79" s="26" t="s">
        <v>126</v>
      </c>
      <c r="C79" s="26"/>
      <c r="D79" s="33">
        <f>+D75-D77</f>
        <v>-2943.9099999999971</v>
      </c>
      <c r="E79" s="13"/>
      <c r="F79" s="34">
        <f>IF(D$12=0,0,D79/D$12)</f>
        <v>-0.18175649811693506</v>
      </c>
      <c r="G79" s="13"/>
      <c r="H79" s="33">
        <f>+H75-H77</f>
        <v>-3755.4435291776899</v>
      </c>
      <c r="I79" s="13"/>
      <c r="J79" s="34">
        <f>IF(H$12=0,0,H79/H$12)</f>
        <v>-0.11183905206163644</v>
      </c>
      <c r="K79" s="15"/>
      <c r="L79" s="33">
        <f>D79-H79</f>
        <v>811.5335291776928</v>
      </c>
      <c r="M79" s="15"/>
      <c r="N79" s="34">
        <f>IF(H79=0,0,L79/H79)</f>
        <v>-0.21609525555970485</v>
      </c>
      <c r="O79" s="25"/>
      <c r="P79" s="33">
        <f>+P75-P77</f>
        <v>30584.579999999994</v>
      </c>
      <c r="Q79" s="13"/>
      <c r="R79" s="34">
        <f>IF(P$12=0,0,P79/P$12)</f>
        <v>0.10042745875801196</v>
      </c>
      <c r="S79" s="13"/>
      <c r="T79" s="33">
        <f>+T75-T77</f>
        <v>-7570.2385354773141</v>
      </c>
      <c r="U79" s="13"/>
      <c r="V79" s="34">
        <f>IF(T$12=0,0,T79/T$12)</f>
        <v>-2.2810786526925565E-2</v>
      </c>
      <c r="W79" s="15"/>
      <c r="X79" s="33">
        <f>P79-T79</f>
        <v>38154.818535477309</v>
      </c>
      <c r="Y79" s="15"/>
      <c r="Z79" s="34">
        <f>IF(T79=0,0,X79/T79)</f>
        <v>-5.0401078323579656</v>
      </c>
    </row>
    <row r="80" spans="1:26" ht="15" thickTop="1" x14ac:dyDescent="0.3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x14ac:dyDescent="0.3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" thickBot="1" x14ac:dyDescent="0.35">
      <c r="A82" s="10"/>
      <c r="B82" s="26" t="s">
        <v>294</v>
      </c>
      <c r="C82" s="26"/>
      <c r="D82" s="35">
        <f>SUM(D79:D81)</f>
        <v>-2943.9099999999971</v>
      </c>
      <c r="E82" s="13"/>
      <c r="F82" s="32">
        <f>IF(D$12=0,0,D82/D$12)</f>
        <v>-0.18175649811693506</v>
      </c>
      <c r="G82" s="13"/>
      <c r="H82" s="35">
        <f>SUM(H79:H81)</f>
        <v>-3755.4435291776899</v>
      </c>
      <c r="I82" s="13"/>
      <c r="J82" s="32">
        <f>IF(H$12=0,0,H82/H$12)</f>
        <v>-0.11183905206163644</v>
      </c>
      <c r="K82" s="15"/>
      <c r="L82" s="35">
        <f>+D82-H82</f>
        <v>811.5335291776928</v>
      </c>
      <c r="M82" s="15"/>
      <c r="N82" s="32">
        <f>IF(H82=0,0,L82/H82)</f>
        <v>-0.21609525555970485</v>
      </c>
      <c r="O82" s="25"/>
      <c r="P82" s="35">
        <f>SUM(P79:P81)</f>
        <v>30584.579999999994</v>
      </c>
      <c r="Q82" s="13"/>
      <c r="R82" s="32">
        <f>IF(P$12=0,0,P82/P$12)</f>
        <v>0.10042745875801196</v>
      </c>
      <c r="S82" s="13"/>
      <c r="T82" s="35">
        <f>SUM(T79:T81)</f>
        <v>-7570.2385354773141</v>
      </c>
      <c r="U82" s="13"/>
      <c r="V82" s="32">
        <f>IF(T$12=0,0,T82/T$12)</f>
        <v>-2.2810786526925565E-2</v>
      </c>
      <c r="W82" s="15"/>
      <c r="X82" s="35">
        <f>+P82-T82</f>
        <v>38154.818535477309</v>
      </c>
      <c r="Y82" s="15"/>
      <c r="Z82" s="32">
        <f>IF(T82=0,0,X82/T82)</f>
        <v>-5.0401078323579656</v>
      </c>
    </row>
    <row r="83" spans="1:26" ht="15" thickTop="1" x14ac:dyDescent="0.3">
      <c r="A83" s="9"/>
      <c r="C83" s="9"/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6" x14ac:dyDescent="0.3">
      <c r="A84" s="9"/>
      <c r="B84" s="60">
        <v>44543.753085416669</v>
      </c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6" x14ac:dyDescent="0.3">
      <c r="A85" s="9"/>
      <c r="B85" s="58" t="s">
        <v>56</v>
      </c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3">
      <c r="A86" s="9"/>
      <c r="B86" s="55"/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  <row r="87" spans="1:26" x14ac:dyDescent="0.3"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139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rgb="FF92D050"/>
    <outlinePr summaryBelow="0" summaryRight="0"/>
  </sheetPr>
  <dimension ref="A2:Z8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str">
        <f>CONCATENATE("Period ",RIGHT(202205,2),", ",2022)</f>
        <v>Period 05, 2022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44527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","501", " - ", "ID Card Services")</f>
        <v>Department 501 - ID Card Services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16197</v>
      </c>
      <c r="E12" s="4"/>
      <c r="F12" s="12"/>
      <c r="G12" s="4"/>
      <c r="H12" s="4">
        <f>SUM(OSRRefH13x_0)</f>
        <v>33579</v>
      </c>
      <c r="I12" s="4"/>
      <c r="J12" s="12"/>
      <c r="K12" s="4"/>
      <c r="L12" s="4">
        <f t="shared" ref="L12:L13" si="0">+D12-H12</f>
        <v>-17382</v>
      </c>
      <c r="M12" s="4"/>
      <c r="N12" s="12">
        <f t="shared" ref="N12:N13" si="1">IF(H12=0,0,L12/H12)</f>
        <v>-0.51764495666934696</v>
      </c>
      <c r="O12" s="10"/>
      <c r="P12" s="4">
        <f>SUM(OSRRefP13x_0)</f>
        <v>304544</v>
      </c>
      <c r="Q12" s="4"/>
      <c r="R12" s="12"/>
      <c r="S12" s="4"/>
      <c r="T12" s="4">
        <f>SUM(OSRRefT13x_0)</f>
        <v>331871</v>
      </c>
      <c r="U12" s="4"/>
      <c r="V12" s="12"/>
      <c r="W12" s="4"/>
      <c r="X12" s="4">
        <f t="shared" ref="X12:X13" si="2">+P12-T12</f>
        <v>-27327</v>
      </c>
      <c r="Y12" s="4"/>
      <c r="Z12" s="12">
        <f t="shared" ref="Z12:Z13" si="3">IF(T12=0,0,X12/T12)</f>
        <v>-8.2342235386641191E-2</v>
      </c>
    </row>
    <row r="13" spans="1:26" s="24" customFormat="1" hidden="1" outlineLevel="1" x14ac:dyDescent="0.3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--16197</f>
        <v>16197</v>
      </c>
      <c r="E13" s="2"/>
      <c r="F13" s="19"/>
      <c r="G13" s="2"/>
      <c r="H13" s="2">
        <v>33579</v>
      </c>
      <c r="I13" s="2"/>
      <c r="J13" s="19"/>
      <c r="K13" s="2"/>
      <c r="L13" s="2">
        <f t="shared" si="0"/>
        <v>-17382</v>
      </c>
      <c r="M13" s="2"/>
      <c r="N13" s="19">
        <f t="shared" si="1"/>
        <v>-0.51764495666934696</v>
      </c>
      <c r="O13" s="11"/>
      <c r="P13" s="2">
        <f>--304544</f>
        <v>304544</v>
      </c>
      <c r="Q13" s="2"/>
      <c r="R13" s="19"/>
      <c r="S13" s="2"/>
      <c r="T13" s="2">
        <v>331871</v>
      </c>
      <c r="U13" s="2"/>
      <c r="V13" s="19"/>
      <c r="W13" s="2"/>
      <c r="X13" s="2">
        <f t="shared" si="2"/>
        <v>-27327</v>
      </c>
      <c r="Y13" s="2"/>
      <c r="Z13" s="19">
        <f t="shared" si="3"/>
        <v>-8.2342235386641191E-2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3">
      <c r="A15" s="10"/>
      <c r="B15" s="25" t="s">
        <v>257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3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3">
      <c r="A17" s="10"/>
      <c r="B17" s="26" t="s">
        <v>108</v>
      </c>
      <c r="C17" s="26"/>
      <c r="D17" s="20">
        <f>D12-D15</f>
        <v>16197</v>
      </c>
      <c r="E17" s="13"/>
      <c r="F17" s="22">
        <f>IF(D$12=0,0,D17/D$12)</f>
        <v>1</v>
      </c>
      <c r="G17" s="13"/>
      <c r="H17" s="20">
        <f>H12-H15</f>
        <v>33579</v>
      </c>
      <c r="I17" s="13"/>
      <c r="J17" s="22">
        <f>IF(H$12=0,0,H17/H$12)</f>
        <v>1</v>
      </c>
      <c r="K17" s="15"/>
      <c r="L17" s="20">
        <f>+D17-H17</f>
        <v>-17382</v>
      </c>
      <c r="M17" s="15"/>
      <c r="N17" s="22">
        <f>IF(H17=0,0,L17/H17)</f>
        <v>-0.51764495666934696</v>
      </c>
      <c r="O17" s="25"/>
      <c r="P17" s="20">
        <f>P12-P15</f>
        <v>304544</v>
      </c>
      <c r="Q17" s="13"/>
      <c r="R17" s="22">
        <f>IF(P$12=0,0,P17/P$12)</f>
        <v>1</v>
      </c>
      <c r="S17" s="13"/>
      <c r="T17" s="20">
        <f>T12-T15</f>
        <v>331871</v>
      </c>
      <c r="U17" s="13"/>
      <c r="V17" s="22">
        <f>IF(T$12=0,0,T17/T$12)</f>
        <v>1</v>
      </c>
      <c r="W17" s="15"/>
      <c r="X17" s="20">
        <f>+P17-T17</f>
        <v>-27327</v>
      </c>
      <c r="Y17" s="15"/>
      <c r="Z17" s="22">
        <f>IF(T17=0,0,X17/T17)</f>
        <v>-8.2342235386641191E-2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5" t="s">
        <v>295</v>
      </c>
      <c r="C19" s="10"/>
      <c r="D19" s="21">
        <f>SUM(OSRRefD22x_0)</f>
        <v>16817.129999999997</v>
      </c>
      <c r="E19" s="21"/>
      <c r="F19" s="30">
        <f t="shared" ref="F19:F30" si="4">IF(D$12=0,0,D19/D$12)</f>
        <v>1.0382867197629189</v>
      </c>
      <c r="G19" s="21"/>
      <c r="H19" s="21">
        <f>SUM(OSRRefH22x_0)</f>
        <v>32547.44352917769</v>
      </c>
      <c r="I19" s="21"/>
      <c r="J19" s="30">
        <f t="shared" ref="J19:J30" si="5">IF(H$12=0,0,H19/H$12)</f>
        <v>0.96927971438034755</v>
      </c>
      <c r="K19" s="4"/>
      <c r="L19" s="21">
        <f t="shared" ref="L19:L30" si="6">+D19-H19</f>
        <v>-15730.313529177693</v>
      </c>
      <c r="M19" s="4"/>
      <c r="N19" s="30">
        <f t="shared" ref="N19:N30" si="7">IF(H19=0,0,L19/H19)</f>
        <v>-0.48330411926442074</v>
      </c>
      <c r="O19" s="10"/>
      <c r="P19" s="21">
        <f>SUM(OSRRefP22x_0)</f>
        <v>242701.98</v>
      </c>
      <c r="Q19" s="21"/>
      <c r="R19" s="30">
        <f t="shared" ref="R19:R30" si="8">IF(P$12=0,0,P19/P$12)</f>
        <v>0.79693568088683409</v>
      </c>
      <c r="S19" s="21"/>
      <c r="T19" s="21">
        <f>SUM(OSRRefT22x_0)</f>
        <v>309953.23853547731</v>
      </c>
      <c r="U19" s="21"/>
      <c r="V19" s="30">
        <f t="shared" ref="V19:V30" si="9">IF(T$12=0,0,T19/T$12)</f>
        <v>0.93395698489918466</v>
      </c>
      <c r="W19" s="4"/>
      <c r="X19" s="21">
        <f t="shared" ref="X19:X30" si="10">+P19-T19</f>
        <v>-67251.258535477304</v>
      </c>
      <c r="Y19" s="4"/>
      <c r="Z19" s="30">
        <f t="shared" ref="Z19:Z30" si="11">IF(T19=0,0,X19/T19)</f>
        <v>-0.2169722725054854</v>
      </c>
    </row>
    <row r="20" spans="1:26" s="29" customFormat="1" outlineLevel="1" collapsed="1" x14ac:dyDescent="0.3">
      <c r="A20" s="28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3647.92</v>
      </c>
      <c r="E20" s="1"/>
      <c r="F20" s="5">
        <f t="shared" si="4"/>
        <v>0.22522195468296599</v>
      </c>
      <c r="G20" s="1"/>
      <c r="H20" s="1">
        <f>SUM(OSRRefH22_0x_0)</f>
        <v>3261.4052868700001</v>
      </c>
      <c r="I20" s="1"/>
      <c r="J20" s="5">
        <f t="shared" si="5"/>
        <v>9.7126337498734325E-2</v>
      </c>
      <c r="K20" s="1"/>
      <c r="L20" s="1">
        <f t="shared" si="6"/>
        <v>386.51471313000002</v>
      </c>
      <c r="M20" s="1"/>
      <c r="N20" s="5">
        <f t="shared" si="7"/>
        <v>0.11851170864475469</v>
      </c>
      <c r="O20" s="14"/>
      <c r="P20" s="1">
        <f>SUM(OSRRefP22_0x_0)</f>
        <v>19873.249999999996</v>
      </c>
      <c r="Q20" s="1"/>
      <c r="R20" s="5">
        <f t="shared" si="8"/>
        <v>6.5255759430492791E-2</v>
      </c>
      <c r="S20" s="1"/>
      <c r="T20" s="1">
        <f>SUM(OSRRefT22_0x_0)</f>
        <v>19885.028202784997</v>
      </c>
      <c r="U20" s="1"/>
      <c r="V20" s="5">
        <f t="shared" si="9"/>
        <v>5.9917944631453175E-2</v>
      </c>
      <c r="W20" s="1"/>
      <c r="X20" s="1">
        <f t="shared" si="10"/>
        <v>-11.778202785000758</v>
      </c>
      <c r="Y20" s="1"/>
      <c r="Z20" s="5">
        <f t="shared" si="11"/>
        <v>-5.9231511591978337E-4</v>
      </c>
    </row>
    <row r="21" spans="1:26" s="24" customFormat="1" hidden="1" outlineLevel="2" x14ac:dyDescent="0.3">
      <c r="A21" s="27"/>
      <c r="B21" s="11" t="str">
        <f>CONCATENATE("          ", "6111", " - ", "F.I.C.A.")</f>
        <v xml:space="preserve">          6111 - F.I.C.A.</v>
      </c>
      <c r="C21" s="11"/>
      <c r="D21" s="6">
        <v>900.33</v>
      </c>
      <c r="E21" s="2"/>
      <c r="F21" s="7">
        <f t="shared" si="4"/>
        <v>5.5586219670309321E-2</v>
      </c>
      <c r="G21" s="2"/>
      <c r="H21" s="6">
        <v>673.19318387769204</v>
      </c>
      <c r="I21" s="2"/>
      <c r="J21" s="7">
        <f t="shared" si="5"/>
        <v>2.0048041450838085E-2</v>
      </c>
      <c r="K21" s="2"/>
      <c r="L21" s="6">
        <f t="shared" si="6"/>
        <v>227.13681612230801</v>
      </c>
      <c r="M21" s="2"/>
      <c r="N21" s="7">
        <f t="shared" si="7"/>
        <v>0.33740213294193866</v>
      </c>
      <c r="O21" s="11"/>
      <c r="P21" s="6">
        <v>5789.61</v>
      </c>
      <c r="Q21" s="2"/>
      <c r="R21" s="7">
        <f t="shared" si="8"/>
        <v>1.901075049910686E-2</v>
      </c>
      <c r="S21" s="2"/>
      <c r="T21" s="6">
        <v>5691.3858863273099</v>
      </c>
      <c r="U21" s="2"/>
      <c r="V21" s="7">
        <f t="shared" si="9"/>
        <v>1.7149392041869611E-2</v>
      </c>
      <c r="W21" s="2"/>
      <c r="X21" s="6">
        <f t="shared" si="10"/>
        <v>98.224113672689782</v>
      </c>
      <c r="Y21" s="2"/>
      <c r="Z21" s="7">
        <f t="shared" si="11"/>
        <v>1.7258382340346715E-2</v>
      </c>
    </row>
    <row r="22" spans="1:26" s="24" customFormat="1" hidden="1" outlineLevel="2" x14ac:dyDescent="0.3">
      <c r="A22" s="27"/>
      <c r="B22" s="11" t="str">
        <f>CONCATENATE("          ", "6112", " - ", "COMPENSATION INSURANCE")</f>
        <v xml:space="preserve">          6112 - COMPENSATION INSURANCE</v>
      </c>
      <c r="C22" s="11"/>
      <c r="D22" s="6">
        <v>156.38</v>
      </c>
      <c r="E22" s="2"/>
      <c r="F22" s="7">
        <f t="shared" si="4"/>
        <v>9.6548743594492802E-3</v>
      </c>
      <c r="G22" s="2"/>
      <c r="H22" s="6">
        <v>279.49679639999999</v>
      </c>
      <c r="I22" s="2"/>
      <c r="J22" s="7">
        <f t="shared" si="5"/>
        <v>8.3235592602519427E-3</v>
      </c>
      <c r="K22" s="2"/>
      <c r="L22" s="6">
        <f t="shared" si="6"/>
        <v>-123.1167964</v>
      </c>
      <c r="M22" s="2"/>
      <c r="N22" s="7">
        <f t="shared" si="7"/>
        <v>-0.44049448146018177</v>
      </c>
      <c r="O22" s="11"/>
      <c r="P22" s="6">
        <v>895.35</v>
      </c>
      <c r="Q22" s="2"/>
      <c r="R22" s="7">
        <f t="shared" si="8"/>
        <v>2.9399692655248505E-3</v>
      </c>
      <c r="S22" s="2"/>
      <c r="T22" s="6">
        <v>1690.8533801999999</v>
      </c>
      <c r="U22" s="2"/>
      <c r="V22" s="7">
        <f t="shared" si="9"/>
        <v>5.0949115174269517E-3</v>
      </c>
      <c r="W22" s="2"/>
      <c r="X22" s="6">
        <f t="shared" si="10"/>
        <v>-795.50338019999992</v>
      </c>
      <c r="Y22" s="2"/>
      <c r="Z22" s="7">
        <f t="shared" si="11"/>
        <v>-0.47047448910437467</v>
      </c>
    </row>
    <row r="23" spans="1:26" s="24" customFormat="1" hidden="1" outlineLevel="2" x14ac:dyDescent="0.3">
      <c r="A23" s="27"/>
      <c r="B23" s="11" t="str">
        <f>CONCATENATE("          ", "6113", " - ", "GROUP INSURANCE")</f>
        <v xml:space="preserve">          6113 - GROUP INSURANCE</v>
      </c>
      <c r="C23" s="11"/>
      <c r="D23" s="6">
        <v>1054.3499999999999</v>
      </c>
      <c r="E23" s="2"/>
      <c r="F23" s="7">
        <f t="shared" si="4"/>
        <v>6.5095388034821261E-2</v>
      </c>
      <c r="G23" s="2"/>
      <c r="H23" s="6">
        <v>1022.5</v>
      </c>
      <c r="I23" s="2"/>
      <c r="J23" s="7">
        <f t="shared" si="5"/>
        <v>3.0450579231067035E-2</v>
      </c>
      <c r="K23" s="2"/>
      <c r="L23" s="6">
        <f t="shared" si="6"/>
        <v>31.849999999999909</v>
      </c>
      <c r="M23" s="2"/>
      <c r="N23" s="7">
        <f t="shared" si="7"/>
        <v>3.114914425427864E-2</v>
      </c>
      <c r="O23" s="11"/>
      <c r="P23" s="6">
        <v>5271.75</v>
      </c>
      <c r="Q23" s="2"/>
      <c r="R23" s="7">
        <f t="shared" si="8"/>
        <v>1.7310306556688033E-2</v>
      </c>
      <c r="S23" s="2"/>
      <c r="T23" s="6">
        <v>5112.5</v>
      </c>
      <c r="U23" s="2"/>
      <c r="V23" s="7">
        <f t="shared" si="9"/>
        <v>1.5405082095151429E-2</v>
      </c>
      <c r="W23" s="2"/>
      <c r="X23" s="6">
        <f t="shared" si="10"/>
        <v>159.25</v>
      </c>
      <c r="Y23" s="2"/>
      <c r="Z23" s="7">
        <f t="shared" si="11"/>
        <v>3.114914425427873E-2</v>
      </c>
    </row>
    <row r="24" spans="1:26" s="24" customFormat="1" hidden="1" outlineLevel="2" x14ac:dyDescent="0.3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6">
        <v>30.99</v>
      </c>
      <c r="E24" s="2"/>
      <c r="F24" s="7">
        <f t="shared" si="4"/>
        <v>1.9133172809779589E-3</v>
      </c>
      <c r="G24" s="2"/>
      <c r="H24" s="6">
        <v>37.624568746153798</v>
      </c>
      <c r="I24" s="2"/>
      <c r="J24" s="7">
        <f t="shared" si="5"/>
        <v>1.1204791311877601E-3</v>
      </c>
      <c r="K24" s="2"/>
      <c r="L24" s="6">
        <f t="shared" si="6"/>
        <v>-6.6345687461537999</v>
      </c>
      <c r="M24" s="2"/>
      <c r="N24" s="7">
        <f t="shared" si="7"/>
        <v>-0.17633607419970823</v>
      </c>
      <c r="O24" s="11"/>
      <c r="P24" s="6">
        <v>177.15</v>
      </c>
      <c r="Q24" s="2"/>
      <c r="R24" s="7">
        <f t="shared" si="8"/>
        <v>5.8168934538194812E-4</v>
      </c>
      <c r="S24" s="2"/>
      <c r="T24" s="6">
        <v>227.614878103846</v>
      </c>
      <c r="U24" s="2"/>
      <c r="V24" s="7">
        <f t="shared" si="9"/>
        <v>6.8585347349978153E-4</v>
      </c>
      <c r="W24" s="2"/>
      <c r="X24" s="6">
        <f t="shared" si="10"/>
        <v>-50.46487810384599</v>
      </c>
      <c r="Y24" s="2"/>
      <c r="Z24" s="7">
        <f t="shared" si="11"/>
        <v>-0.22171168477318129</v>
      </c>
    </row>
    <row r="25" spans="1:26" s="24" customFormat="1" hidden="1" outlineLevel="2" x14ac:dyDescent="0.3">
      <c r="A25" s="27"/>
      <c r="B25" s="11" t="str">
        <f>CONCATENATE("          ", "6115", " - ", "P.E.R.S.")</f>
        <v xml:space="preserve">          6115 - P.E.R.S.</v>
      </c>
      <c r="C25" s="11"/>
      <c r="D25" s="6">
        <v>610.04</v>
      </c>
      <c r="E25" s="2"/>
      <c r="F25" s="7">
        <f t="shared" si="4"/>
        <v>3.7663764894733588E-2</v>
      </c>
      <c r="G25" s="2"/>
      <c r="H25" s="6">
        <v>576.92767246153903</v>
      </c>
      <c r="I25" s="2"/>
      <c r="J25" s="7">
        <f t="shared" si="5"/>
        <v>1.7181204695242237E-2</v>
      </c>
      <c r="K25" s="2"/>
      <c r="L25" s="6">
        <f t="shared" si="6"/>
        <v>33.112327538460931</v>
      </c>
      <c r="M25" s="2"/>
      <c r="N25" s="7">
        <f t="shared" si="7"/>
        <v>5.7394243887076452E-2</v>
      </c>
      <c r="O25" s="11"/>
      <c r="P25" s="6">
        <v>3249.65</v>
      </c>
      <c r="Q25" s="2"/>
      <c r="R25" s="7">
        <f t="shared" si="8"/>
        <v>1.0670543501103288E-2</v>
      </c>
      <c r="S25" s="2"/>
      <c r="T25" s="6">
        <v>3173.10219853846</v>
      </c>
      <c r="U25" s="2"/>
      <c r="V25" s="7">
        <f t="shared" si="9"/>
        <v>9.561251807293978E-3</v>
      </c>
      <c r="W25" s="2"/>
      <c r="X25" s="6">
        <f t="shared" si="10"/>
        <v>76.547801461540075</v>
      </c>
      <c r="Y25" s="2"/>
      <c r="Z25" s="7">
        <f t="shared" si="11"/>
        <v>2.4123963450278472E-2</v>
      </c>
    </row>
    <row r="26" spans="1:26" s="24" customFormat="1" hidden="1" outlineLevel="2" x14ac:dyDescent="0.3">
      <c r="A26" s="27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4"/>
        <v>0</v>
      </c>
      <c r="G26" s="2"/>
      <c r="H26" s="6">
        <v>0</v>
      </c>
      <c r="I26" s="2"/>
      <c r="J26" s="7">
        <f t="shared" si="5"/>
        <v>0</v>
      </c>
      <c r="K26" s="2"/>
      <c r="L26" s="6">
        <f t="shared" si="6"/>
        <v>0</v>
      </c>
      <c r="M26" s="2"/>
      <c r="N26" s="7">
        <f t="shared" si="7"/>
        <v>0</v>
      </c>
      <c r="O26" s="11"/>
      <c r="P26" s="6"/>
      <c r="Q26" s="2"/>
      <c r="R26" s="7">
        <f t="shared" si="8"/>
        <v>0</v>
      </c>
      <c r="S26" s="2"/>
      <c r="T26" s="6">
        <v>0</v>
      </c>
      <c r="U26" s="2"/>
      <c r="V26" s="7">
        <f t="shared" si="9"/>
        <v>0</v>
      </c>
      <c r="W26" s="2"/>
      <c r="X26" s="6">
        <f t="shared" si="10"/>
        <v>0</v>
      </c>
      <c r="Y26" s="2"/>
      <c r="Z26" s="7">
        <f t="shared" si="11"/>
        <v>0</v>
      </c>
    </row>
    <row r="27" spans="1:26" s="24" customFormat="1" hidden="1" outlineLevel="2" x14ac:dyDescent="0.3">
      <c r="A27" s="27"/>
      <c r="B27" s="11" t="str">
        <f>CONCATENATE("          ", "6117", " - ", "RETIREMENT STAFF HOURLY")</f>
        <v xml:space="preserve">          6117 - RETIREMENT STAFF HOURLY</v>
      </c>
      <c r="C27" s="11"/>
      <c r="D27" s="6"/>
      <c r="E27" s="2"/>
      <c r="F27" s="7">
        <f t="shared" si="4"/>
        <v>0</v>
      </c>
      <c r="G27" s="2"/>
      <c r="H27" s="6"/>
      <c r="I27" s="2"/>
      <c r="J27" s="7">
        <f t="shared" si="5"/>
        <v>0</v>
      </c>
      <c r="K27" s="2"/>
      <c r="L27" s="6">
        <f t="shared" si="6"/>
        <v>0</v>
      </c>
      <c r="M27" s="2"/>
      <c r="N27" s="7">
        <f t="shared" si="7"/>
        <v>0</v>
      </c>
      <c r="O27" s="11"/>
      <c r="P27" s="6">
        <v>215.15</v>
      </c>
      <c r="Q27" s="2"/>
      <c r="R27" s="7">
        <f t="shared" si="8"/>
        <v>7.0646606073342447E-4</v>
      </c>
      <c r="S27" s="2"/>
      <c r="T27" s="6"/>
      <c r="U27" s="2"/>
      <c r="V27" s="7">
        <f t="shared" si="9"/>
        <v>0</v>
      </c>
      <c r="W27" s="2"/>
      <c r="X27" s="6">
        <f t="shared" si="10"/>
        <v>215.15</v>
      </c>
      <c r="Y27" s="2"/>
      <c r="Z27" s="7">
        <f t="shared" si="11"/>
        <v>0</v>
      </c>
    </row>
    <row r="28" spans="1:26" s="24" customFormat="1" hidden="1" outlineLevel="2" x14ac:dyDescent="0.3">
      <c r="A28" s="27"/>
      <c r="B28" s="11" t="str">
        <f>CONCATENATE("          ", "6118", " - ", "VACATION")</f>
        <v xml:space="preserve">          6118 - VACATION</v>
      </c>
      <c r="C28" s="11"/>
      <c r="D28" s="6">
        <v>524.49</v>
      </c>
      <c r="E28" s="2"/>
      <c r="F28" s="7">
        <f t="shared" si="4"/>
        <v>3.2381922578255236E-2</v>
      </c>
      <c r="G28" s="2"/>
      <c r="H28" s="6">
        <v>201.25383923076899</v>
      </c>
      <c r="I28" s="2"/>
      <c r="J28" s="7">
        <f t="shared" si="5"/>
        <v>5.9934434983403015E-3</v>
      </c>
      <c r="K28" s="2"/>
      <c r="L28" s="6">
        <f t="shared" si="6"/>
        <v>323.23616076923099</v>
      </c>
      <c r="M28" s="2"/>
      <c r="N28" s="7">
        <f t="shared" si="7"/>
        <v>1.6061117740893887</v>
      </c>
      <c r="O28" s="11"/>
      <c r="P28" s="6">
        <v>2514.65</v>
      </c>
      <c r="Q28" s="2"/>
      <c r="R28" s="7">
        <f t="shared" si="8"/>
        <v>8.2570991383839453E-3</v>
      </c>
      <c r="S28" s="2"/>
      <c r="T28" s="6">
        <v>1106.8961157692299</v>
      </c>
      <c r="U28" s="2"/>
      <c r="V28" s="7">
        <f t="shared" si="9"/>
        <v>3.3353203978932476E-3</v>
      </c>
      <c r="W28" s="2"/>
      <c r="X28" s="6">
        <f t="shared" si="10"/>
        <v>1407.7538842307702</v>
      </c>
      <c r="Y28" s="2"/>
      <c r="Z28" s="7">
        <f t="shared" si="11"/>
        <v>1.2718030754425957</v>
      </c>
    </row>
    <row r="29" spans="1:26" s="24" customFormat="1" hidden="1" outlineLevel="2" x14ac:dyDescent="0.3">
      <c r="A29" s="27"/>
      <c r="B29" s="11" t="str">
        <f>CONCATENATE("          ", "6119", " - ", "SICK LEAVE")</f>
        <v xml:space="preserve">          6119 - SICK LEAVE</v>
      </c>
      <c r="C29" s="11"/>
      <c r="D29" s="6">
        <v>277.58999999999997</v>
      </c>
      <c r="E29" s="2"/>
      <c r="F29" s="7">
        <f t="shared" si="4"/>
        <v>1.7138358955362101E-2</v>
      </c>
      <c r="G29" s="2"/>
      <c r="H29" s="6">
        <v>470.40922615384602</v>
      </c>
      <c r="I29" s="2"/>
      <c r="J29" s="7">
        <f t="shared" si="5"/>
        <v>1.4009030231806963E-2</v>
      </c>
      <c r="K29" s="2"/>
      <c r="L29" s="6">
        <f t="shared" si="6"/>
        <v>-192.81922615384605</v>
      </c>
      <c r="M29" s="2"/>
      <c r="N29" s="7">
        <f t="shared" si="7"/>
        <v>-0.40989677802532098</v>
      </c>
      <c r="O29" s="11"/>
      <c r="P29" s="6">
        <v>1478.69</v>
      </c>
      <c r="Q29" s="2"/>
      <c r="R29" s="7">
        <f t="shared" si="8"/>
        <v>4.8554231900809078E-3</v>
      </c>
      <c r="S29" s="2"/>
      <c r="T29" s="6">
        <v>2882.67574384615</v>
      </c>
      <c r="U29" s="2"/>
      <c r="V29" s="7">
        <f t="shared" si="9"/>
        <v>8.6861332983181726E-3</v>
      </c>
      <c r="W29" s="2"/>
      <c r="X29" s="6">
        <f t="shared" si="10"/>
        <v>-1403.9857438461499</v>
      </c>
      <c r="Y29" s="2"/>
      <c r="Z29" s="7">
        <f t="shared" si="11"/>
        <v>-0.48704254956296655</v>
      </c>
    </row>
    <row r="30" spans="1:26" s="24" customFormat="1" hidden="1" outlineLevel="2" x14ac:dyDescent="0.3">
      <c r="A30" s="27"/>
      <c r="B30" s="11" t="str">
        <f>CONCATENATE("          ", "6156", " - ", "EMPLOYEE MEALS")</f>
        <v xml:space="preserve">          6156 - EMPLOYEE MEALS</v>
      </c>
      <c r="C30" s="11"/>
      <c r="D30" s="6">
        <v>93.75</v>
      </c>
      <c r="E30" s="2"/>
      <c r="F30" s="7">
        <f t="shared" si="4"/>
        <v>5.7881089090572324E-3</v>
      </c>
      <c r="G30" s="2"/>
      <c r="H30" s="6"/>
      <c r="I30" s="2"/>
      <c r="J30" s="7">
        <f t="shared" si="5"/>
        <v>0</v>
      </c>
      <c r="K30" s="2"/>
      <c r="L30" s="6">
        <f t="shared" si="6"/>
        <v>93.75</v>
      </c>
      <c r="M30" s="2"/>
      <c r="N30" s="7">
        <f t="shared" si="7"/>
        <v>0</v>
      </c>
      <c r="O30" s="11"/>
      <c r="P30" s="6">
        <v>281.25</v>
      </c>
      <c r="Q30" s="2"/>
      <c r="R30" s="7">
        <f t="shared" si="8"/>
        <v>9.2351187348954503E-4</v>
      </c>
      <c r="S30" s="2"/>
      <c r="T30" s="6"/>
      <c r="U30" s="2"/>
      <c r="V30" s="7">
        <f t="shared" si="9"/>
        <v>0</v>
      </c>
      <c r="W30" s="2"/>
      <c r="X30" s="6">
        <f t="shared" si="10"/>
        <v>281.25</v>
      </c>
      <c r="Y30" s="2"/>
      <c r="Z30" s="7">
        <f t="shared" si="11"/>
        <v>0</v>
      </c>
    </row>
    <row r="31" spans="1:26" s="29" customFormat="1" outlineLevel="1" collapsed="1" x14ac:dyDescent="0.3">
      <c r="A31" s="28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11774.15</v>
      </c>
      <c r="E31" s="1"/>
      <c r="F31" s="5">
        <f t="shared" ref="F31:F41" si="12">IF(D$12=0,0,D31/D$12)</f>
        <v>0.72693400012347964</v>
      </c>
      <c r="G31" s="1"/>
      <c r="H31" s="1">
        <f>SUM(OSRRefH22_1x_0)</f>
        <v>17581.038242307688</v>
      </c>
      <c r="I31" s="1"/>
      <c r="J31" s="5">
        <f t="shared" ref="J31:J41" si="13">IF(H$12=0,0,H31/H$12)</f>
        <v>0.52357241854455727</v>
      </c>
      <c r="K31" s="1"/>
      <c r="L31" s="1">
        <f t="shared" ref="L31:L41" si="14">+D31-H31</f>
        <v>-5806.8882423076884</v>
      </c>
      <c r="M31" s="1"/>
      <c r="N31" s="5">
        <f t="shared" ref="N31:N41" si="15">IF(H31=0,0,L31/H31)</f>
        <v>-0.33029268023169239</v>
      </c>
      <c r="O31" s="14"/>
      <c r="P31" s="1">
        <f>SUM(OSRRefP22_1x_0)</f>
        <v>77446.060000000012</v>
      </c>
      <c r="Q31" s="1"/>
      <c r="R31" s="5">
        <f t="shared" ref="R31:R41" si="16">IF(P$12=0,0,P31/P$12)</f>
        <v>0.2543017100977199</v>
      </c>
      <c r="S31" s="1"/>
      <c r="T31" s="1">
        <f>SUM(OSRRefT22_1x_0)</f>
        <v>106543.21033269231</v>
      </c>
      <c r="U31" s="1"/>
      <c r="V31" s="5">
        <f t="shared" ref="V31:V41" si="17">IF(T$12=0,0,T31/T$12)</f>
        <v>0.32103802481293126</v>
      </c>
      <c r="W31" s="1"/>
      <c r="X31" s="1">
        <f t="shared" ref="X31:X41" si="18">+P31-T31</f>
        <v>-29097.150332692298</v>
      </c>
      <c r="Y31" s="1"/>
      <c r="Z31" s="5">
        <f t="shared" ref="Z31:Z41" si="19">IF(T31=0,0,X31/T31)</f>
        <v>-0.27310187333226965</v>
      </c>
    </row>
    <row r="32" spans="1:26" s="24" customFormat="1" hidden="1" outlineLevel="2" x14ac:dyDescent="0.3">
      <c r="A32" s="27"/>
      <c r="B32" s="11" t="str">
        <f>CONCATENATE("          ", "6001", " - ", "ADMINISTRATIVE SALARIES")</f>
        <v xml:space="preserve">          6001 - ADMINISTRATIVE SALARIES</v>
      </c>
      <c r="C32" s="11"/>
      <c r="D32" s="6">
        <v>4192.4399999999996</v>
      </c>
      <c r="E32" s="2"/>
      <c r="F32" s="7">
        <f t="shared" si="12"/>
        <v>0.25884052602333762</v>
      </c>
      <c r="G32" s="2"/>
      <c r="H32" s="6">
        <v>4139.8076923076896</v>
      </c>
      <c r="I32" s="2"/>
      <c r="J32" s="7">
        <f t="shared" si="13"/>
        <v>0.12328561578092527</v>
      </c>
      <c r="K32" s="2"/>
      <c r="L32" s="6">
        <f t="shared" si="14"/>
        <v>52.632307692309951</v>
      </c>
      <c r="M32" s="2"/>
      <c r="N32" s="7">
        <f t="shared" si="15"/>
        <v>1.2713708366238302E-2</v>
      </c>
      <c r="O32" s="11"/>
      <c r="P32" s="6">
        <v>23676.53</v>
      </c>
      <c r="Q32" s="2"/>
      <c r="R32" s="7">
        <f t="shared" si="16"/>
        <v>7.7744201166333932E-2</v>
      </c>
      <c r="S32" s="2"/>
      <c r="T32" s="6">
        <v>22768.942307692301</v>
      </c>
      <c r="U32" s="2"/>
      <c r="V32" s="7">
        <f t="shared" si="17"/>
        <v>6.8607809382839419E-2</v>
      </c>
      <c r="W32" s="2"/>
      <c r="X32" s="6">
        <f t="shared" si="18"/>
        <v>907.58769230769758</v>
      </c>
      <c r="Y32" s="2"/>
      <c r="Z32" s="7">
        <f t="shared" si="19"/>
        <v>3.9860775263200365E-2</v>
      </c>
    </row>
    <row r="33" spans="1:26" s="24" customFormat="1" hidden="1" outlineLevel="2" x14ac:dyDescent="0.3">
      <c r="A33" s="27"/>
      <c r="B33" s="11" t="str">
        <f>CONCATENATE("          ", "6002", " - ", "STAFF SALARIES")</f>
        <v xml:space="preserve">          6002 - STAFF SALARIES</v>
      </c>
      <c r="C33" s="11"/>
      <c r="D33" s="6">
        <v>1156</v>
      </c>
      <c r="E33" s="2"/>
      <c r="F33" s="7">
        <f t="shared" si="12"/>
        <v>7.1371241587948386E-2</v>
      </c>
      <c r="G33" s="2"/>
      <c r="H33" s="6">
        <v>2233.2305500000002</v>
      </c>
      <c r="I33" s="2"/>
      <c r="J33" s="7">
        <f t="shared" si="13"/>
        <v>6.6506761666517769E-2</v>
      </c>
      <c r="K33" s="2"/>
      <c r="L33" s="6">
        <f t="shared" si="14"/>
        <v>-1077.2305500000002</v>
      </c>
      <c r="M33" s="2"/>
      <c r="N33" s="7">
        <f t="shared" si="15"/>
        <v>-0.48236423686752811</v>
      </c>
      <c r="O33" s="11"/>
      <c r="P33" s="6">
        <v>10192.57</v>
      </c>
      <c r="Q33" s="2"/>
      <c r="R33" s="7">
        <f t="shared" si="16"/>
        <v>3.3468300147105182E-2</v>
      </c>
      <c r="S33" s="2"/>
      <c r="T33" s="6">
        <v>12282.768024999999</v>
      </c>
      <c r="U33" s="2"/>
      <c r="V33" s="7">
        <f t="shared" si="17"/>
        <v>3.7010669883780142E-2</v>
      </c>
      <c r="W33" s="2"/>
      <c r="X33" s="6">
        <f t="shared" si="18"/>
        <v>-2090.1980249999997</v>
      </c>
      <c r="Y33" s="2"/>
      <c r="Z33" s="7">
        <f t="shared" si="19"/>
        <v>-0.17017320694697396</v>
      </c>
    </row>
    <row r="34" spans="1:26" s="24" customFormat="1" hidden="1" outlineLevel="2" x14ac:dyDescent="0.3">
      <c r="A34" s="27"/>
      <c r="B34" s="11" t="str">
        <f>CONCATENATE("          ", "6003", " - ", "STAFF HOURLY-9 MONTH")</f>
        <v xml:space="preserve">          6003 - STAFF HOURLY-9 MONTH</v>
      </c>
      <c r="C34" s="11"/>
      <c r="D34" s="6"/>
      <c r="E34" s="2"/>
      <c r="F34" s="7">
        <f t="shared" si="12"/>
        <v>0</v>
      </c>
      <c r="G34" s="2"/>
      <c r="H34" s="6">
        <v>0</v>
      </c>
      <c r="I34" s="2"/>
      <c r="J34" s="7">
        <f t="shared" si="13"/>
        <v>0</v>
      </c>
      <c r="K34" s="2"/>
      <c r="L34" s="6">
        <f t="shared" si="14"/>
        <v>0</v>
      </c>
      <c r="M34" s="2"/>
      <c r="N34" s="7">
        <f t="shared" si="15"/>
        <v>0</v>
      </c>
      <c r="O34" s="11"/>
      <c r="P34" s="6"/>
      <c r="Q34" s="2"/>
      <c r="R34" s="7">
        <f t="shared" si="16"/>
        <v>0</v>
      </c>
      <c r="S34" s="2"/>
      <c r="T34" s="6">
        <v>0</v>
      </c>
      <c r="U34" s="2"/>
      <c r="V34" s="7">
        <f t="shared" si="17"/>
        <v>0</v>
      </c>
      <c r="W34" s="2"/>
      <c r="X34" s="6">
        <f t="shared" si="18"/>
        <v>0</v>
      </c>
      <c r="Y34" s="2"/>
      <c r="Z34" s="7">
        <f t="shared" si="19"/>
        <v>0</v>
      </c>
    </row>
    <row r="35" spans="1:26" s="24" customFormat="1" hidden="1" outlineLevel="2" x14ac:dyDescent="0.3">
      <c r="A35" s="27"/>
      <c r="B35" s="11" t="str">
        <f>CONCATENATE("          ", "6004", " - ", "STAFF HOURLY")</f>
        <v xml:space="preserve">          6004 - STAFF HOURLY</v>
      </c>
      <c r="C35" s="11"/>
      <c r="D35" s="6">
        <v>502.42</v>
      </c>
      <c r="E35" s="2"/>
      <c r="F35" s="7">
        <f t="shared" si="12"/>
        <v>3.1019324566277706E-2</v>
      </c>
      <c r="G35" s="2"/>
      <c r="H35" s="6">
        <v>2088</v>
      </c>
      <c r="I35" s="2"/>
      <c r="J35" s="7">
        <f t="shared" si="13"/>
        <v>6.2181720718306084E-2</v>
      </c>
      <c r="K35" s="2"/>
      <c r="L35" s="6">
        <f t="shared" si="14"/>
        <v>-1585.58</v>
      </c>
      <c r="M35" s="2"/>
      <c r="N35" s="7">
        <f t="shared" si="15"/>
        <v>-0.75937739463601528</v>
      </c>
      <c r="O35" s="11"/>
      <c r="P35" s="6">
        <v>7152.32</v>
      </c>
      <c r="Q35" s="2"/>
      <c r="R35" s="7">
        <f t="shared" si="16"/>
        <v>2.3485342019543973E-2</v>
      </c>
      <c r="S35" s="2"/>
      <c r="T35" s="6">
        <v>11484</v>
      </c>
      <c r="U35" s="2"/>
      <c r="V35" s="7">
        <f t="shared" si="17"/>
        <v>3.4603806900874133E-2</v>
      </c>
      <c r="W35" s="2"/>
      <c r="X35" s="6">
        <f t="shared" si="18"/>
        <v>-4331.68</v>
      </c>
      <c r="Y35" s="2"/>
      <c r="Z35" s="7">
        <f t="shared" si="19"/>
        <v>-0.37719261581330549</v>
      </c>
    </row>
    <row r="36" spans="1:26" s="24" customFormat="1" hidden="1" outlineLevel="2" x14ac:dyDescent="0.3">
      <c r="A36" s="27"/>
      <c r="B36" s="11" t="str">
        <f>CONCATENATE("          ", "6005", " - ", "TEMPORARY WAGES-HOURLY")</f>
        <v xml:space="preserve">          6005 - TEMPORARY WAGES-HOURLY</v>
      </c>
      <c r="C36" s="11"/>
      <c r="D36" s="6">
        <v>5366.19</v>
      </c>
      <c r="E36" s="2"/>
      <c r="F36" s="7">
        <f t="shared" si="12"/>
        <v>0.33130764956473419</v>
      </c>
      <c r="G36" s="2"/>
      <c r="H36" s="6">
        <v>0</v>
      </c>
      <c r="I36" s="2"/>
      <c r="J36" s="7">
        <f t="shared" si="13"/>
        <v>0</v>
      </c>
      <c r="K36" s="2"/>
      <c r="L36" s="6">
        <f t="shared" si="14"/>
        <v>5366.19</v>
      </c>
      <c r="M36" s="2"/>
      <c r="N36" s="7">
        <f t="shared" si="15"/>
        <v>0</v>
      </c>
      <c r="O36" s="11"/>
      <c r="P36" s="6">
        <v>32816.120000000003</v>
      </c>
      <c r="Q36" s="2"/>
      <c r="R36" s="7">
        <f t="shared" si="16"/>
        <v>0.10775493853104971</v>
      </c>
      <c r="S36" s="2"/>
      <c r="T36" s="6">
        <v>0</v>
      </c>
      <c r="U36" s="2"/>
      <c r="V36" s="7">
        <f t="shared" si="17"/>
        <v>0</v>
      </c>
      <c r="W36" s="2"/>
      <c r="X36" s="6">
        <f t="shared" si="18"/>
        <v>32816.120000000003</v>
      </c>
      <c r="Y36" s="2"/>
      <c r="Z36" s="7">
        <f t="shared" si="19"/>
        <v>0</v>
      </c>
    </row>
    <row r="37" spans="1:26" s="24" customFormat="1" hidden="1" outlineLevel="2" x14ac:dyDescent="0.3">
      <c r="A37" s="27"/>
      <c r="B37" s="11" t="str">
        <f>CONCATENATE("          ", "6006", " - ", "TEMPORARY PART TIME")</f>
        <v xml:space="preserve">          6006 - TEMPORARY PART TIME</v>
      </c>
      <c r="C37" s="11"/>
      <c r="D37" s="6"/>
      <c r="E37" s="2"/>
      <c r="F37" s="7">
        <f t="shared" si="12"/>
        <v>0</v>
      </c>
      <c r="G37" s="2"/>
      <c r="H37" s="6">
        <v>0</v>
      </c>
      <c r="I37" s="2"/>
      <c r="J37" s="7">
        <f t="shared" si="13"/>
        <v>0</v>
      </c>
      <c r="K37" s="2"/>
      <c r="L37" s="6">
        <f t="shared" si="14"/>
        <v>0</v>
      </c>
      <c r="M37" s="2"/>
      <c r="N37" s="7">
        <f t="shared" si="15"/>
        <v>0</v>
      </c>
      <c r="O37" s="11"/>
      <c r="P37" s="6"/>
      <c r="Q37" s="2"/>
      <c r="R37" s="7">
        <f t="shared" si="16"/>
        <v>0</v>
      </c>
      <c r="S37" s="2"/>
      <c r="T37" s="6">
        <v>0</v>
      </c>
      <c r="U37" s="2"/>
      <c r="V37" s="7">
        <f t="shared" si="17"/>
        <v>0</v>
      </c>
      <c r="W37" s="2"/>
      <c r="X37" s="6">
        <f t="shared" si="18"/>
        <v>0</v>
      </c>
      <c r="Y37" s="2"/>
      <c r="Z37" s="7">
        <f t="shared" si="19"/>
        <v>0</v>
      </c>
    </row>
    <row r="38" spans="1:26" s="24" customFormat="1" hidden="1" outlineLevel="2" x14ac:dyDescent="0.3">
      <c r="A38" s="27"/>
      <c r="B38" s="11" t="str">
        <f>CONCATENATE("          ", "6007", " - ", "STUDENT HOURLY")</f>
        <v xml:space="preserve">          6007 - STUDENT HOURLY</v>
      </c>
      <c r="C38" s="11"/>
      <c r="D38" s="6">
        <v>557.1</v>
      </c>
      <c r="E38" s="2"/>
      <c r="F38" s="7">
        <f t="shared" si="12"/>
        <v>3.4395258381181702E-2</v>
      </c>
      <c r="G38" s="2"/>
      <c r="H38" s="6">
        <v>0</v>
      </c>
      <c r="I38" s="2"/>
      <c r="J38" s="7">
        <f t="shared" si="13"/>
        <v>0</v>
      </c>
      <c r="K38" s="2"/>
      <c r="L38" s="6">
        <f t="shared" si="14"/>
        <v>557.1</v>
      </c>
      <c r="M38" s="2"/>
      <c r="N38" s="7">
        <f t="shared" si="15"/>
        <v>0</v>
      </c>
      <c r="O38" s="11"/>
      <c r="P38" s="6">
        <v>3444.3</v>
      </c>
      <c r="Q38" s="2"/>
      <c r="R38" s="7">
        <f t="shared" si="16"/>
        <v>1.1309695807502365E-2</v>
      </c>
      <c r="S38" s="2"/>
      <c r="T38" s="6">
        <v>25987.5</v>
      </c>
      <c r="U38" s="2"/>
      <c r="V38" s="7">
        <f t="shared" si="17"/>
        <v>7.8306028547236728E-2</v>
      </c>
      <c r="W38" s="2"/>
      <c r="X38" s="6">
        <f t="shared" si="18"/>
        <v>-22543.200000000001</v>
      </c>
      <c r="Y38" s="2"/>
      <c r="Z38" s="7">
        <f t="shared" si="19"/>
        <v>-0.86746320346320349</v>
      </c>
    </row>
    <row r="39" spans="1:26" s="24" customFormat="1" hidden="1" outlineLevel="2" x14ac:dyDescent="0.3">
      <c r="A39" s="27"/>
      <c r="B39" s="11" t="str">
        <f>CONCATENATE("          ", "6008", " - ", "STUDENT HOURLY-FICA EXEMPT")</f>
        <v xml:space="preserve">          6008 - STUDENT HOURLY-FICA EXEMPT</v>
      </c>
      <c r="C39" s="11"/>
      <c r="D39" s="6"/>
      <c r="E39" s="2"/>
      <c r="F39" s="7">
        <f t="shared" si="12"/>
        <v>0</v>
      </c>
      <c r="G39" s="2"/>
      <c r="H39" s="6">
        <v>9120</v>
      </c>
      <c r="I39" s="2"/>
      <c r="J39" s="7">
        <f t="shared" si="13"/>
        <v>0.27159832037880821</v>
      </c>
      <c r="K39" s="2"/>
      <c r="L39" s="6">
        <f t="shared" si="14"/>
        <v>-9120</v>
      </c>
      <c r="M39" s="2"/>
      <c r="N39" s="7">
        <f t="shared" si="15"/>
        <v>-1</v>
      </c>
      <c r="O39" s="11"/>
      <c r="P39" s="6">
        <v>164.22</v>
      </c>
      <c r="Q39" s="2"/>
      <c r="R39" s="7">
        <f t="shared" si="16"/>
        <v>5.3923242618472212E-4</v>
      </c>
      <c r="S39" s="2"/>
      <c r="T39" s="6">
        <v>34020</v>
      </c>
      <c r="U39" s="2"/>
      <c r="V39" s="7">
        <f t="shared" si="17"/>
        <v>0.10250971009820081</v>
      </c>
      <c r="W39" s="2"/>
      <c r="X39" s="6">
        <f t="shared" si="18"/>
        <v>-33855.78</v>
      </c>
      <c r="Y39" s="2"/>
      <c r="Z39" s="7">
        <f t="shared" si="19"/>
        <v>-0.99517283950617286</v>
      </c>
    </row>
    <row r="40" spans="1:26" s="24" customFormat="1" hidden="1" outlineLevel="2" x14ac:dyDescent="0.3">
      <c r="A40" s="27"/>
      <c r="B40" s="11" t="str">
        <f>CONCATENATE("          ", "6009", " - ", "TEMPORARY-SEASONAL")</f>
        <v xml:space="preserve">          6009 - TEMPORARY-SEASONAL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4" customFormat="1" hidden="1" outlineLevel="2" x14ac:dyDescent="0.3">
      <c r="A41" s="27"/>
      <c r="B41" s="11" t="str">
        <f>CONCATENATE("          ", "6010", " - ", "GRATUITY")</f>
        <v xml:space="preserve">          6010 - GRATUITY</v>
      </c>
      <c r="C41" s="11"/>
      <c r="D41" s="6"/>
      <c r="E41" s="2"/>
      <c r="F41" s="7">
        <f t="shared" si="12"/>
        <v>0</v>
      </c>
      <c r="G41" s="2"/>
      <c r="H41" s="6">
        <v>0</v>
      </c>
      <c r="I41" s="2"/>
      <c r="J41" s="7">
        <f t="shared" si="13"/>
        <v>0</v>
      </c>
      <c r="K41" s="2"/>
      <c r="L41" s="6">
        <f t="shared" si="14"/>
        <v>0</v>
      </c>
      <c r="M41" s="2"/>
      <c r="N41" s="7">
        <f t="shared" si="15"/>
        <v>0</v>
      </c>
      <c r="O41" s="11"/>
      <c r="P41" s="6"/>
      <c r="Q41" s="2"/>
      <c r="R41" s="7">
        <f t="shared" si="16"/>
        <v>0</v>
      </c>
      <c r="S41" s="2"/>
      <c r="T41" s="6">
        <v>0</v>
      </c>
      <c r="U41" s="2"/>
      <c r="V41" s="7">
        <f t="shared" si="17"/>
        <v>0</v>
      </c>
      <c r="W41" s="2"/>
      <c r="X41" s="6">
        <f t="shared" si="18"/>
        <v>0</v>
      </c>
      <c r="Y41" s="2"/>
      <c r="Z41" s="7">
        <f t="shared" si="19"/>
        <v>0</v>
      </c>
    </row>
    <row r="42" spans="1:26" s="29" customFormat="1" outlineLevel="1" collapsed="1" x14ac:dyDescent="0.3">
      <c r="A42" s="28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0</v>
      </c>
      <c r="E42" s="1"/>
      <c r="F42" s="5">
        <f t="shared" ref="F42:F50" si="20">IF(D$12=0,0,D42/D$12)</f>
        <v>0</v>
      </c>
      <c r="G42" s="1"/>
      <c r="H42" s="1">
        <f>SUM(OSRRefH22_2x_0)</f>
        <v>100</v>
      </c>
      <c r="I42" s="1"/>
      <c r="J42" s="5">
        <f t="shared" ref="J42:J50" si="21">IF(H$12=0,0,H42/H$12)</f>
        <v>2.9780517585395634E-3</v>
      </c>
      <c r="K42" s="1"/>
      <c r="L42" s="1">
        <f t="shared" ref="L42:L50" si="22">+D42-H42</f>
        <v>-100</v>
      </c>
      <c r="M42" s="1"/>
      <c r="N42" s="5">
        <f t="shared" ref="N42:N50" si="23">IF(H42=0,0,L42/H42)</f>
        <v>-1</v>
      </c>
      <c r="O42" s="14"/>
      <c r="P42" s="1">
        <f>SUM(OSRRefP22_2x_0)</f>
        <v>112.46</v>
      </c>
      <c r="Q42" s="1"/>
      <c r="R42" s="5">
        <f t="shared" ref="R42:R50" si="24">IF(P$12=0,0,P42/P$12)</f>
        <v>3.6927340548492172E-4</v>
      </c>
      <c r="S42" s="1"/>
      <c r="T42" s="1">
        <f>SUM(OSRRefT22_2x_0)</f>
        <v>500</v>
      </c>
      <c r="U42" s="1"/>
      <c r="V42" s="5">
        <f t="shared" ref="V42:V50" si="25">IF(T$12=0,0,T42/T$12)</f>
        <v>1.5066094958583304E-3</v>
      </c>
      <c r="W42" s="1"/>
      <c r="X42" s="1">
        <f t="shared" ref="X42:X50" si="26">+P42-T42</f>
        <v>-387.54</v>
      </c>
      <c r="Y42" s="1"/>
      <c r="Z42" s="5">
        <f t="shared" ref="Z42:Z50" si="27">IF(T42=0,0,X42/T42)</f>
        <v>-0.77507999999999999</v>
      </c>
    </row>
    <row r="43" spans="1:26" s="24" customFormat="1" hidden="1" outlineLevel="2" x14ac:dyDescent="0.3">
      <c r="A43" s="27"/>
      <c r="B43" s="11" t="str">
        <f>CONCATENATE("          ", "6362", " - ", "ADVERTISING EXPENSE")</f>
        <v xml:space="preserve">          6362 - ADVERTISING EXPENSE</v>
      </c>
      <c r="C43" s="11"/>
      <c r="D43" s="6"/>
      <c r="E43" s="2"/>
      <c r="F43" s="7">
        <f t="shared" si="20"/>
        <v>0</v>
      </c>
      <c r="G43" s="2"/>
      <c r="H43" s="6">
        <v>100</v>
      </c>
      <c r="I43" s="2"/>
      <c r="J43" s="7">
        <f t="shared" si="21"/>
        <v>2.9780517585395634E-3</v>
      </c>
      <c r="K43" s="2"/>
      <c r="L43" s="6">
        <f t="shared" si="22"/>
        <v>-100</v>
      </c>
      <c r="M43" s="2"/>
      <c r="N43" s="7">
        <f t="shared" si="23"/>
        <v>-1</v>
      </c>
      <c r="O43" s="11"/>
      <c r="P43" s="6">
        <v>112.46</v>
      </c>
      <c r="Q43" s="2"/>
      <c r="R43" s="7">
        <f t="shared" si="24"/>
        <v>3.6927340548492172E-4</v>
      </c>
      <c r="S43" s="2"/>
      <c r="T43" s="6">
        <v>500</v>
      </c>
      <c r="U43" s="2"/>
      <c r="V43" s="7">
        <f t="shared" si="25"/>
        <v>1.5066094958583304E-3</v>
      </c>
      <c r="W43" s="2"/>
      <c r="X43" s="6">
        <f t="shared" si="26"/>
        <v>-387.54</v>
      </c>
      <c r="Y43" s="2"/>
      <c r="Z43" s="7">
        <f t="shared" si="27"/>
        <v>-0.77507999999999999</v>
      </c>
    </row>
    <row r="44" spans="1:26" s="29" customFormat="1" outlineLevel="1" collapsed="1" x14ac:dyDescent="0.3">
      <c r="A44" s="28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229.39</v>
      </c>
      <c r="E44" s="1"/>
      <c r="F44" s="5">
        <f t="shared" si="20"/>
        <v>1.4162499228252145E-2</v>
      </c>
      <c r="G44" s="1"/>
      <c r="H44" s="1">
        <f>SUM(OSRRefH22_3x_0)</f>
        <v>1250</v>
      </c>
      <c r="I44" s="1"/>
      <c r="J44" s="5">
        <f t="shared" si="21"/>
        <v>3.7225646981744541E-2</v>
      </c>
      <c r="K44" s="1"/>
      <c r="L44" s="1">
        <f t="shared" si="22"/>
        <v>-1020.61</v>
      </c>
      <c r="M44" s="1"/>
      <c r="N44" s="5">
        <f t="shared" si="23"/>
        <v>-0.81648799999999999</v>
      </c>
      <c r="O44" s="14"/>
      <c r="P44" s="1">
        <f>SUM(OSRRefP22_3x_0)</f>
        <v>1532.5</v>
      </c>
      <c r="Q44" s="1"/>
      <c r="R44" s="5">
        <f t="shared" si="24"/>
        <v>5.0321135862141427E-3</v>
      </c>
      <c r="S44" s="1"/>
      <c r="T44" s="1">
        <f>SUM(OSRRefT22_3x_0)</f>
        <v>6250</v>
      </c>
      <c r="U44" s="1"/>
      <c r="V44" s="5">
        <f t="shared" si="25"/>
        <v>1.883261869822913E-2</v>
      </c>
      <c r="W44" s="1"/>
      <c r="X44" s="1">
        <f t="shared" si="26"/>
        <v>-4717.5</v>
      </c>
      <c r="Y44" s="1"/>
      <c r="Z44" s="5">
        <f t="shared" si="27"/>
        <v>-0.75480000000000003</v>
      </c>
    </row>
    <row r="45" spans="1:26" s="24" customFormat="1" hidden="1" outlineLevel="2" x14ac:dyDescent="0.3">
      <c r="A45" s="27"/>
      <c r="B45" s="11" t="str">
        <f>CONCATENATE("          ", "6381", " - ", "BANK/CREDIT CARD FEES")</f>
        <v xml:space="preserve">          6381 - BANK/CREDIT CARD FEES</v>
      </c>
      <c r="C45" s="11"/>
      <c r="D45" s="6">
        <v>229.39</v>
      </c>
      <c r="E45" s="2"/>
      <c r="F45" s="7">
        <f t="shared" si="20"/>
        <v>1.4162499228252145E-2</v>
      </c>
      <c r="G45" s="2"/>
      <c r="H45" s="6">
        <v>1250</v>
      </c>
      <c r="I45" s="2"/>
      <c r="J45" s="7">
        <f t="shared" si="21"/>
        <v>3.7225646981744541E-2</v>
      </c>
      <c r="K45" s="2"/>
      <c r="L45" s="6">
        <f t="shared" si="22"/>
        <v>-1020.61</v>
      </c>
      <c r="M45" s="2"/>
      <c r="N45" s="7">
        <f t="shared" si="23"/>
        <v>-0.81648799999999999</v>
      </c>
      <c r="O45" s="11"/>
      <c r="P45" s="6">
        <v>1532.5</v>
      </c>
      <c r="Q45" s="2"/>
      <c r="R45" s="7">
        <f t="shared" si="24"/>
        <v>5.0321135862141427E-3</v>
      </c>
      <c r="S45" s="2"/>
      <c r="T45" s="6">
        <v>6250</v>
      </c>
      <c r="U45" s="2"/>
      <c r="V45" s="7">
        <f t="shared" si="25"/>
        <v>1.883261869822913E-2</v>
      </c>
      <c r="W45" s="2"/>
      <c r="X45" s="6">
        <f t="shared" si="26"/>
        <v>-4717.5</v>
      </c>
      <c r="Y45" s="2"/>
      <c r="Z45" s="7">
        <f t="shared" si="27"/>
        <v>-0.75480000000000003</v>
      </c>
    </row>
    <row r="46" spans="1:26" s="29" customFormat="1" outlineLevel="1" collapsed="1" x14ac:dyDescent="0.3">
      <c r="A46" s="28"/>
      <c r="B46" s="14" t="str">
        <f>CONCATENATE("     ","Employees' Appreciation                           ")</f>
        <v xml:space="preserve">     Employees' Appreciation                           </v>
      </c>
      <c r="C46" s="14"/>
      <c r="D46" s="1">
        <f>SUM(OSRRefD22_4x_0)</f>
        <v>0</v>
      </c>
      <c r="E46" s="1"/>
      <c r="F46" s="5">
        <f t="shared" si="20"/>
        <v>0</v>
      </c>
      <c r="G46" s="1"/>
      <c r="H46" s="1">
        <f>SUM(OSRRefH22_4x_0)</f>
        <v>20</v>
      </c>
      <c r="I46" s="1"/>
      <c r="J46" s="5">
        <f t="shared" si="21"/>
        <v>5.9561035170791268E-4</v>
      </c>
      <c r="K46" s="1"/>
      <c r="L46" s="1">
        <f t="shared" si="22"/>
        <v>-20</v>
      </c>
      <c r="M46" s="1"/>
      <c r="N46" s="5">
        <f t="shared" si="23"/>
        <v>-1</v>
      </c>
      <c r="O46" s="14"/>
      <c r="P46" s="1">
        <f>SUM(OSRRefP22_4x_0)</f>
        <v>0</v>
      </c>
      <c r="Q46" s="1"/>
      <c r="R46" s="5">
        <f t="shared" si="24"/>
        <v>0</v>
      </c>
      <c r="S46" s="1"/>
      <c r="T46" s="1">
        <f>SUM(OSRRefT22_4x_0)</f>
        <v>100</v>
      </c>
      <c r="U46" s="1"/>
      <c r="V46" s="5">
        <f t="shared" si="25"/>
        <v>3.0132189917166612E-4</v>
      </c>
      <c r="W46" s="1"/>
      <c r="X46" s="1">
        <f t="shared" si="26"/>
        <v>-100</v>
      </c>
      <c r="Y46" s="1"/>
      <c r="Z46" s="5">
        <f t="shared" si="27"/>
        <v>-1</v>
      </c>
    </row>
    <row r="47" spans="1:26" s="24" customFormat="1" hidden="1" outlineLevel="2" x14ac:dyDescent="0.3">
      <c r="A47" s="27"/>
      <c r="B47" s="11" t="str">
        <f>CONCATENATE("          ", "6277", " - ", "EMPLOYEE APPRECIATION")</f>
        <v xml:space="preserve">          6277 - EMPLOYEE APPRECIATION</v>
      </c>
      <c r="C47" s="11"/>
      <c r="D47" s="6"/>
      <c r="E47" s="2"/>
      <c r="F47" s="7">
        <f t="shared" si="20"/>
        <v>0</v>
      </c>
      <c r="G47" s="2"/>
      <c r="H47" s="6">
        <v>20</v>
      </c>
      <c r="I47" s="2"/>
      <c r="J47" s="7">
        <f t="shared" si="21"/>
        <v>5.9561035170791268E-4</v>
      </c>
      <c r="K47" s="2"/>
      <c r="L47" s="6">
        <f t="shared" si="22"/>
        <v>-20</v>
      </c>
      <c r="M47" s="2"/>
      <c r="N47" s="7">
        <f t="shared" si="23"/>
        <v>-1</v>
      </c>
      <c r="O47" s="11"/>
      <c r="P47" s="6"/>
      <c r="Q47" s="2"/>
      <c r="R47" s="7">
        <f t="shared" si="24"/>
        <v>0</v>
      </c>
      <c r="S47" s="2"/>
      <c r="T47" s="6">
        <v>100</v>
      </c>
      <c r="U47" s="2"/>
      <c r="V47" s="7">
        <f t="shared" si="25"/>
        <v>3.0132189917166612E-4</v>
      </c>
      <c r="W47" s="2"/>
      <c r="X47" s="6">
        <f t="shared" si="26"/>
        <v>-100</v>
      </c>
      <c r="Y47" s="2"/>
      <c r="Z47" s="7">
        <f t="shared" si="27"/>
        <v>-1</v>
      </c>
    </row>
    <row r="48" spans="1:26" s="29" customFormat="1" outlineLevel="1" collapsed="1" x14ac:dyDescent="0.3">
      <c r="A48" s="28"/>
      <c r="B48" s="14" t="str">
        <f>CONCATENATE("     ","Freight out/Postage                               ")</f>
        <v xml:space="preserve">     Freight out/Postage                               </v>
      </c>
      <c r="C48" s="14"/>
      <c r="D48" s="1">
        <f>SUM(OSRRefD22_5x_0)</f>
        <v>0</v>
      </c>
      <c r="E48" s="1"/>
      <c r="F48" s="5">
        <f t="shared" si="20"/>
        <v>0</v>
      </c>
      <c r="G48" s="1"/>
      <c r="H48" s="1">
        <f>SUM(OSRRefH22_5x_0)</f>
        <v>10</v>
      </c>
      <c r="I48" s="1"/>
      <c r="J48" s="5">
        <f t="shared" si="21"/>
        <v>2.9780517585395634E-4</v>
      </c>
      <c r="K48" s="1"/>
      <c r="L48" s="1">
        <f t="shared" si="22"/>
        <v>-10</v>
      </c>
      <c r="M48" s="1"/>
      <c r="N48" s="5">
        <f t="shared" si="23"/>
        <v>-1</v>
      </c>
      <c r="O48" s="14"/>
      <c r="P48" s="1">
        <f>SUM(OSRRefP22_5x_0)</f>
        <v>0.62</v>
      </c>
      <c r="Q48" s="1"/>
      <c r="R48" s="5">
        <f t="shared" si="24"/>
        <v>2.035830618892508E-6</v>
      </c>
      <c r="S48" s="1"/>
      <c r="T48" s="1">
        <f>SUM(OSRRefT22_5x_0)</f>
        <v>50</v>
      </c>
      <c r="U48" s="1"/>
      <c r="V48" s="5">
        <f t="shared" si="25"/>
        <v>1.5066094958583306E-4</v>
      </c>
      <c r="W48" s="1"/>
      <c r="X48" s="1">
        <f t="shared" si="26"/>
        <v>-49.38</v>
      </c>
      <c r="Y48" s="1"/>
      <c r="Z48" s="5">
        <f t="shared" si="27"/>
        <v>-0.98760000000000003</v>
      </c>
    </row>
    <row r="49" spans="1:26" s="24" customFormat="1" hidden="1" outlineLevel="2" x14ac:dyDescent="0.3">
      <c r="A49" s="27"/>
      <c r="B49" s="11" t="str">
        <f>CONCATENATE("          ", "6305", " - ", "FREIGHT OUT")</f>
        <v xml:space="preserve">          6305 - FREIGHT OUT</v>
      </c>
      <c r="C49" s="11"/>
      <c r="D49" s="6"/>
      <c r="E49" s="2"/>
      <c r="F49" s="7">
        <f t="shared" si="20"/>
        <v>0</v>
      </c>
      <c r="G49" s="2"/>
      <c r="H49" s="6"/>
      <c r="I49" s="2"/>
      <c r="J49" s="7">
        <f t="shared" si="21"/>
        <v>0</v>
      </c>
      <c r="K49" s="2"/>
      <c r="L49" s="6">
        <f t="shared" si="22"/>
        <v>0</v>
      </c>
      <c r="M49" s="2"/>
      <c r="N49" s="7">
        <f t="shared" si="23"/>
        <v>0</v>
      </c>
      <c r="O49" s="11"/>
      <c r="P49" s="6">
        <v>0.62</v>
      </c>
      <c r="Q49" s="2"/>
      <c r="R49" s="7">
        <f t="shared" si="24"/>
        <v>2.035830618892508E-6</v>
      </c>
      <c r="S49" s="2"/>
      <c r="T49" s="6"/>
      <c r="U49" s="2"/>
      <c r="V49" s="7">
        <f t="shared" si="25"/>
        <v>0</v>
      </c>
      <c r="W49" s="2"/>
      <c r="X49" s="6">
        <f t="shared" si="26"/>
        <v>0.62</v>
      </c>
      <c r="Y49" s="2"/>
      <c r="Z49" s="7">
        <f t="shared" si="27"/>
        <v>0</v>
      </c>
    </row>
    <row r="50" spans="1:26" s="24" customFormat="1" hidden="1" outlineLevel="2" x14ac:dyDescent="0.3">
      <c r="A50" s="27"/>
      <c r="B50" s="11" t="str">
        <f>CONCATENATE("          ", "6307", " - ", "POSTAGE")</f>
        <v xml:space="preserve">          6307 - POSTAGE</v>
      </c>
      <c r="C50" s="11"/>
      <c r="D50" s="6"/>
      <c r="E50" s="2"/>
      <c r="F50" s="7">
        <f t="shared" si="20"/>
        <v>0</v>
      </c>
      <c r="G50" s="2"/>
      <c r="H50" s="6">
        <v>10</v>
      </c>
      <c r="I50" s="2"/>
      <c r="J50" s="7">
        <f t="shared" si="21"/>
        <v>2.9780517585395634E-4</v>
      </c>
      <c r="K50" s="2"/>
      <c r="L50" s="6">
        <f t="shared" si="22"/>
        <v>-10</v>
      </c>
      <c r="M50" s="2"/>
      <c r="N50" s="7">
        <f t="shared" si="23"/>
        <v>-1</v>
      </c>
      <c r="O50" s="11"/>
      <c r="P50" s="6"/>
      <c r="Q50" s="2"/>
      <c r="R50" s="7">
        <f t="shared" si="24"/>
        <v>0</v>
      </c>
      <c r="S50" s="2"/>
      <c r="T50" s="6">
        <v>50</v>
      </c>
      <c r="U50" s="2"/>
      <c r="V50" s="7">
        <f t="shared" si="25"/>
        <v>1.5066094958583306E-4</v>
      </c>
      <c r="W50" s="2"/>
      <c r="X50" s="6">
        <f t="shared" si="26"/>
        <v>-50</v>
      </c>
      <c r="Y50" s="2"/>
      <c r="Z50" s="7">
        <f t="shared" si="27"/>
        <v>-1</v>
      </c>
    </row>
    <row r="51" spans="1:26" s="29" customFormat="1" outlineLevel="1" collapsed="1" x14ac:dyDescent="0.3">
      <c r="A51" s="28"/>
      <c r="B51" s="14" t="str">
        <f>CONCATENATE("     ","General                                           ")</f>
        <v xml:space="preserve">     General                                           </v>
      </c>
      <c r="C51" s="14"/>
      <c r="D51" s="1">
        <f>SUM(OSRRefD22_6x_0)</f>
        <v>0</v>
      </c>
      <c r="E51" s="1"/>
      <c r="F51" s="5">
        <f t="shared" ref="F51:F60" si="28">IF(D$12=0,0,D51/D$12)</f>
        <v>0</v>
      </c>
      <c r="G51" s="1"/>
      <c r="H51" s="1">
        <f>SUM(OSRRefH22_6x_0)</f>
        <v>50</v>
      </c>
      <c r="I51" s="1"/>
      <c r="J51" s="5">
        <f t="shared" ref="J51:J60" si="29">IF(H$12=0,0,H51/H$12)</f>
        <v>1.4890258792697817E-3</v>
      </c>
      <c r="K51" s="1"/>
      <c r="L51" s="1">
        <f t="shared" ref="L51:L60" si="30">+D51-H51</f>
        <v>-50</v>
      </c>
      <c r="M51" s="1"/>
      <c r="N51" s="5">
        <f t="shared" ref="N51:N60" si="31">IF(H51=0,0,L51/H51)</f>
        <v>-1</v>
      </c>
      <c r="O51" s="14"/>
      <c r="P51" s="1">
        <f>SUM(OSRRefP22_6x_0)</f>
        <v>0</v>
      </c>
      <c r="Q51" s="1"/>
      <c r="R51" s="5">
        <f t="shared" ref="R51:R60" si="32">IF(P$12=0,0,P51/P$12)</f>
        <v>0</v>
      </c>
      <c r="S51" s="1"/>
      <c r="T51" s="1">
        <f>SUM(OSRRefT22_6x_0)</f>
        <v>250</v>
      </c>
      <c r="U51" s="1"/>
      <c r="V51" s="5">
        <f t="shared" ref="V51:V60" si="33">IF(T$12=0,0,T51/T$12)</f>
        <v>7.5330474792916521E-4</v>
      </c>
      <c r="W51" s="1"/>
      <c r="X51" s="1">
        <f t="shared" ref="X51:X60" si="34">+P51-T51</f>
        <v>-250</v>
      </c>
      <c r="Y51" s="1"/>
      <c r="Z51" s="5">
        <f t="shared" ref="Z51:Z60" si="35">IF(T51=0,0,X51/T51)</f>
        <v>-1</v>
      </c>
    </row>
    <row r="52" spans="1:26" s="24" customFormat="1" hidden="1" outlineLevel="2" x14ac:dyDescent="0.3">
      <c r="A52" s="27"/>
      <c r="B52" s="11" t="str">
        <f>CONCATENATE("          ", "6279", " - ", "GENERAL EXPENSE")</f>
        <v xml:space="preserve">          6279 - GENERAL EXPENSE</v>
      </c>
      <c r="C52" s="11"/>
      <c r="D52" s="6"/>
      <c r="E52" s="2"/>
      <c r="F52" s="7">
        <f t="shared" si="28"/>
        <v>0</v>
      </c>
      <c r="G52" s="2"/>
      <c r="H52" s="6">
        <v>50</v>
      </c>
      <c r="I52" s="2"/>
      <c r="J52" s="7">
        <f t="shared" si="29"/>
        <v>1.4890258792697817E-3</v>
      </c>
      <c r="K52" s="2"/>
      <c r="L52" s="6">
        <f t="shared" si="30"/>
        <v>-50</v>
      </c>
      <c r="M52" s="2"/>
      <c r="N52" s="7">
        <f t="shared" si="31"/>
        <v>-1</v>
      </c>
      <c r="O52" s="11"/>
      <c r="P52" s="6"/>
      <c r="Q52" s="2"/>
      <c r="R52" s="7">
        <f t="shared" si="32"/>
        <v>0</v>
      </c>
      <c r="S52" s="2"/>
      <c r="T52" s="6">
        <v>250</v>
      </c>
      <c r="U52" s="2"/>
      <c r="V52" s="7">
        <f t="shared" si="33"/>
        <v>7.5330474792916521E-4</v>
      </c>
      <c r="W52" s="2"/>
      <c r="X52" s="6">
        <f t="shared" si="34"/>
        <v>-250</v>
      </c>
      <c r="Y52" s="2"/>
      <c r="Z52" s="7">
        <f t="shared" si="35"/>
        <v>-1</v>
      </c>
    </row>
    <row r="53" spans="1:26" s="29" customFormat="1" outlineLevel="1" collapsed="1" x14ac:dyDescent="0.3">
      <c r="A53" s="28"/>
      <c r="B53" s="14" t="str">
        <f>CONCATENATE("     ","Insurance                                         ")</f>
        <v xml:space="preserve">     Insurance                                         </v>
      </c>
      <c r="C53" s="14"/>
      <c r="D53" s="1">
        <f>SUM(OSRRefD22_7x_0)</f>
        <v>39.43</v>
      </c>
      <c r="E53" s="1"/>
      <c r="F53" s="5">
        <f t="shared" si="28"/>
        <v>2.434401432364018E-3</v>
      </c>
      <c r="G53" s="1"/>
      <c r="H53" s="1">
        <f>SUM(OSRRefH22_7x_0)</f>
        <v>40</v>
      </c>
      <c r="I53" s="1"/>
      <c r="J53" s="5">
        <f t="shared" si="29"/>
        <v>1.1912207034158254E-3</v>
      </c>
      <c r="K53" s="1"/>
      <c r="L53" s="1">
        <f t="shared" si="30"/>
        <v>-0.57000000000000028</v>
      </c>
      <c r="M53" s="1"/>
      <c r="N53" s="5">
        <f t="shared" si="31"/>
        <v>-1.4250000000000007E-2</v>
      </c>
      <c r="O53" s="14"/>
      <c r="P53" s="1">
        <f>SUM(OSRRefP22_7x_0)</f>
        <v>197.15</v>
      </c>
      <c r="Q53" s="1"/>
      <c r="R53" s="5">
        <f t="shared" si="32"/>
        <v>6.4736130083009353E-4</v>
      </c>
      <c r="S53" s="1"/>
      <c r="T53" s="1">
        <f>SUM(OSRRefT22_7x_0)</f>
        <v>200</v>
      </c>
      <c r="U53" s="1"/>
      <c r="V53" s="5">
        <f t="shared" si="33"/>
        <v>6.0264379834333223E-4</v>
      </c>
      <c r="W53" s="1"/>
      <c r="X53" s="1">
        <f t="shared" si="34"/>
        <v>-2.8499999999999943</v>
      </c>
      <c r="Y53" s="1"/>
      <c r="Z53" s="5">
        <f t="shared" si="35"/>
        <v>-1.4249999999999971E-2</v>
      </c>
    </row>
    <row r="54" spans="1:26" s="24" customFormat="1" hidden="1" outlineLevel="2" x14ac:dyDescent="0.3">
      <c r="A54" s="27"/>
      <c r="B54" s="11" t="str">
        <f>CONCATENATE("          ", "6314", " - ", "LIABILITY INSURANCE")</f>
        <v xml:space="preserve">          6314 - LIABILITY INSURANCE</v>
      </c>
      <c r="C54" s="11"/>
      <c r="D54" s="6">
        <v>39.43</v>
      </c>
      <c r="E54" s="2"/>
      <c r="F54" s="7">
        <f t="shared" si="28"/>
        <v>2.434401432364018E-3</v>
      </c>
      <c r="G54" s="2"/>
      <c r="H54" s="6">
        <v>40</v>
      </c>
      <c r="I54" s="2"/>
      <c r="J54" s="7">
        <f t="shared" si="29"/>
        <v>1.1912207034158254E-3</v>
      </c>
      <c r="K54" s="2"/>
      <c r="L54" s="6">
        <f t="shared" si="30"/>
        <v>-0.57000000000000028</v>
      </c>
      <c r="M54" s="2"/>
      <c r="N54" s="7">
        <f t="shared" si="31"/>
        <v>-1.4250000000000007E-2</v>
      </c>
      <c r="O54" s="11"/>
      <c r="P54" s="6">
        <v>197.15</v>
      </c>
      <c r="Q54" s="2"/>
      <c r="R54" s="7">
        <f t="shared" si="32"/>
        <v>6.4736130083009353E-4</v>
      </c>
      <c r="S54" s="2"/>
      <c r="T54" s="6">
        <v>200</v>
      </c>
      <c r="U54" s="2"/>
      <c r="V54" s="7">
        <f t="shared" si="33"/>
        <v>6.0264379834333223E-4</v>
      </c>
      <c r="W54" s="2"/>
      <c r="X54" s="6">
        <f t="shared" si="34"/>
        <v>-2.8499999999999943</v>
      </c>
      <c r="Y54" s="2"/>
      <c r="Z54" s="7">
        <f t="shared" si="35"/>
        <v>-1.4249999999999971E-2</v>
      </c>
    </row>
    <row r="55" spans="1:26" s="29" customFormat="1" outlineLevel="1" collapsed="1" x14ac:dyDescent="0.3">
      <c r="A55" s="28"/>
      <c r="B55" s="14" t="str">
        <f>CONCATENATE("     ","Rent                                              ")</f>
        <v xml:space="preserve">     Rent                                              </v>
      </c>
      <c r="C55" s="14"/>
      <c r="D55" s="1">
        <f>SUM(OSRRefD22_8x_0)</f>
        <v>800</v>
      </c>
      <c r="E55" s="1"/>
      <c r="F55" s="5">
        <f t="shared" si="28"/>
        <v>4.9391862690621721E-2</v>
      </c>
      <c r="G55" s="1"/>
      <c r="H55" s="1">
        <f>SUM(OSRRefH22_8x_0)</f>
        <v>800</v>
      </c>
      <c r="I55" s="1"/>
      <c r="J55" s="5">
        <f t="shared" si="29"/>
        <v>2.3824414068316507E-2</v>
      </c>
      <c r="K55" s="1"/>
      <c r="L55" s="1">
        <f t="shared" si="30"/>
        <v>0</v>
      </c>
      <c r="M55" s="1"/>
      <c r="N55" s="5">
        <f t="shared" si="31"/>
        <v>0</v>
      </c>
      <c r="O55" s="14"/>
      <c r="P55" s="1">
        <f>SUM(OSRRefP22_8x_0)</f>
        <v>4000</v>
      </c>
      <c r="Q55" s="1"/>
      <c r="R55" s="5">
        <f t="shared" si="32"/>
        <v>1.3134391089629084E-2</v>
      </c>
      <c r="S55" s="1"/>
      <c r="T55" s="1">
        <f>SUM(OSRRefT22_8x_0)</f>
        <v>4000</v>
      </c>
      <c r="U55" s="1"/>
      <c r="V55" s="5">
        <f t="shared" si="33"/>
        <v>1.2052875966866643E-2</v>
      </c>
      <c r="W55" s="1"/>
      <c r="X55" s="1">
        <f t="shared" si="34"/>
        <v>0</v>
      </c>
      <c r="Y55" s="1"/>
      <c r="Z55" s="5">
        <f t="shared" si="35"/>
        <v>0</v>
      </c>
    </row>
    <row r="56" spans="1:26" s="24" customFormat="1" hidden="1" outlineLevel="2" x14ac:dyDescent="0.3">
      <c r="A56" s="27"/>
      <c r="B56" s="11" t="str">
        <f>CONCATENATE("          ", "6273", " - ", "RENT")</f>
        <v xml:space="preserve">          6273 - RENT</v>
      </c>
      <c r="C56" s="11"/>
      <c r="D56" s="6">
        <v>800</v>
      </c>
      <c r="E56" s="2"/>
      <c r="F56" s="7">
        <f t="shared" si="28"/>
        <v>4.9391862690621721E-2</v>
      </c>
      <c r="G56" s="2"/>
      <c r="H56" s="6">
        <v>800</v>
      </c>
      <c r="I56" s="2"/>
      <c r="J56" s="7">
        <f t="shared" si="29"/>
        <v>2.3824414068316507E-2</v>
      </c>
      <c r="K56" s="2"/>
      <c r="L56" s="6">
        <f t="shared" si="30"/>
        <v>0</v>
      </c>
      <c r="M56" s="2"/>
      <c r="N56" s="7">
        <f t="shared" si="31"/>
        <v>0</v>
      </c>
      <c r="O56" s="11"/>
      <c r="P56" s="6">
        <v>4000</v>
      </c>
      <c r="Q56" s="2"/>
      <c r="R56" s="7">
        <f t="shared" si="32"/>
        <v>1.3134391089629084E-2</v>
      </c>
      <c r="S56" s="2"/>
      <c r="T56" s="6">
        <v>4000</v>
      </c>
      <c r="U56" s="2"/>
      <c r="V56" s="7">
        <f t="shared" si="33"/>
        <v>1.2052875966866643E-2</v>
      </c>
      <c r="W56" s="2"/>
      <c r="X56" s="6">
        <f t="shared" si="34"/>
        <v>0</v>
      </c>
      <c r="Y56" s="2"/>
      <c r="Z56" s="7">
        <f t="shared" si="35"/>
        <v>0</v>
      </c>
    </row>
    <row r="57" spans="1:26" s="29" customFormat="1" outlineLevel="1" collapsed="1" x14ac:dyDescent="0.3">
      <c r="A57" s="28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SUM(OSRRefD22_9x_0)</f>
        <v>0</v>
      </c>
      <c r="E57" s="1"/>
      <c r="F57" s="5">
        <f t="shared" si="28"/>
        <v>0</v>
      </c>
      <c r="G57" s="1"/>
      <c r="H57" s="1">
        <f>SUM(OSRRefH22_9x_0)</f>
        <v>3200</v>
      </c>
      <c r="I57" s="1"/>
      <c r="J57" s="5">
        <f t="shared" si="29"/>
        <v>9.5297656273266029E-2</v>
      </c>
      <c r="K57" s="1"/>
      <c r="L57" s="1">
        <f t="shared" si="30"/>
        <v>-3200</v>
      </c>
      <c r="M57" s="1"/>
      <c r="N57" s="5">
        <f t="shared" si="31"/>
        <v>-1</v>
      </c>
      <c r="O57" s="14"/>
      <c r="P57" s="1">
        <f>SUM(OSRRefP22_9x_0)</f>
        <v>122000.62</v>
      </c>
      <c r="Q57" s="1"/>
      <c r="R57" s="5">
        <f t="shared" si="32"/>
        <v>0.40060096406430595</v>
      </c>
      <c r="S57" s="1"/>
      <c r="T57" s="1">
        <f>SUM(OSRRefT22_9x_0)</f>
        <v>141000</v>
      </c>
      <c r="U57" s="1"/>
      <c r="V57" s="5">
        <f t="shared" si="33"/>
        <v>0.42486387783204921</v>
      </c>
      <c r="W57" s="1"/>
      <c r="X57" s="1">
        <f t="shared" si="34"/>
        <v>-18999.380000000005</v>
      </c>
      <c r="Y57" s="1"/>
      <c r="Z57" s="5">
        <f t="shared" si="35"/>
        <v>-0.13474737588652486</v>
      </c>
    </row>
    <row r="58" spans="1:26" s="24" customFormat="1" hidden="1" outlineLevel="2" x14ac:dyDescent="0.3">
      <c r="A58" s="27"/>
      <c r="B58" s="11" t="str">
        <f>CONCATENATE("          ", "6371", " - ", "COMPUTER SOFTWARE MAINTENANCE")</f>
        <v xml:space="preserve">          6371 - COMPUTER SOFTWARE MAINTENANCE</v>
      </c>
      <c r="C58" s="11"/>
      <c r="D58" s="6"/>
      <c r="E58" s="2"/>
      <c r="F58" s="7">
        <f t="shared" si="28"/>
        <v>0</v>
      </c>
      <c r="G58" s="2"/>
      <c r="H58" s="6"/>
      <c r="I58" s="2"/>
      <c r="J58" s="7">
        <f t="shared" si="29"/>
        <v>0</v>
      </c>
      <c r="K58" s="2"/>
      <c r="L58" s="6">
        <f t="shared" si="30"/>
        <v>0</v>
      </c>
      <c r="M58" s="2"/>
      <c r="N58" s="7">
        <f t="shared" si="31"/>
        <v>0</v>
      </c>
      <c r="O58" s="11"/>
      <c r="P58" s="6"/>
      <c r="Q58" s="2"/>
      <c r="R58" s="7">
        <f t="shared" si="32"/>
        <v>0</v>
      </c>
      <c r="S58" s="2"/>
      <c r="T58" s="6">
        <v>125000</v>
      </c>
      <c r="U58" s="2"/>
      <c r="V58" s="7">
        <f t="shared" si="33"/>
        <v>0.37665237396458262</v>
      </c>
      <c r="W58" s="2"/>
      <c r="X58" s="6">
        <f t="shared" si="34"/>
        <v>-125000</v>
      </c>
      <c r="Y58" s="2"/>
      <c r="Z58" s="7">
        <f t="shared" si="35"/>
        <v>-1</v>
      </c>
    </row>
    <row r="59" spans="1:26" s="24" customFormat="1" hidden="1" outlineLevel="2" x14ac:dyDescent="0.3">
      <c r="A59" s="27"/>
      <c r="B59" s="11" t="str">
        <f>CONCATENATE("          ", "6372", " - ", "COMPUTER HARDWARE MAINTENANCE")</f>
        <v xml:space="preserve">          6372 - COMPUTER HARDWARE MAINTENANCE</v>
      </c>
      <c r="C59" s="11"/>
      <c r="D59" s="6"/>
      <c r="E59" s="2"/>
      <c r="F59" s="7">
        <f t="shared" si="28"/>
        <v>0</v>
      </c>
      <c r="G59" s="2"/>
      <c r="H59" s="6">
        <v>3200</v>
      </c>
      <c r="I59" s="2"/>
      <c r="J59" s="7">
        <f t="shared" si="29"/>
        <v>9.5297656273266029E-2</v>
      </c>
      <c r="K59" s="2"/>
      <c r="L59" s="6">
        <f t="shared" si="30"/>
        <v>-3200</v>
      </c>
      <c r="M59" s="2"/>
      <c r="N59" s="7">
        <f t="shared" si="31"/>
        <v>-1</v>
      </c>
      <c r="O59" s="11"/>
      <c r="P59" s="6"/>
      <c r="Q59" s="2"/>
      <c r="R59" s="7">
        <f t="shared" si="32"/>
        <v>0</v>
      </c>
      <c r="S59" s="2"/>
      <c r="T59" s="6">
        <v>16000</v>
      </c>
      <c r="U59" s="2"/>
      <c r="V59" s="7">
        <f t="shared" si="33"/>
        <v>4.8211503867466574E-2</v>
      </c>
      <c r="W59" s="2"/>
      <c r="X59" s="6">
        <f t="shared" si="34"/>
        <v>-16000</v>
      </c>
      <c r="Y59" s="2"/>
      <c r="Z59" s="7">
        <f t="shared" si="35"/>
        <v>-1</v>
      </c>
    </row>
    <row r="60" spans="1:26" s="24" customFormat="1" hidden="1" outlineLevel="2" x14ac:dyDescent="0.3">
      <c r="A60" s="27"/>
      <c r="B60" s="11" t="str">
        <f>CONCATENATE("          ", "6373", " - ", "MAINTENANCE CONTRACTS")</f>
        <v xml:space="preserve">          6373 - MAINTENANCE CONTRACTS</v>
      </c>
      <c r="C60" s="11"/>
      <c r="D60" s="6"/>
      <c r="E60" s="2"/>
      <c r="F60" s="7">
        <f t="shared" si="28"/>
        <v>0</v>
      </c>
      <c r="G60" s="2"/>
      <c r="H60" s="6"/>
      <c r="I60" s="2"/>
      <c r="J60" s="7">
        <f t="shared" si="29"/>
        <v>0</v>
      </c>
      <c r="K60" s="2"/>
      <c r="L60" s="6">
        <f t="shared" si="30"/>
        <v>0</v>
      </c>
      <c r="M60" s="2"/>
      <c r="N60" s="7">
        <f t="shared" si="31"/>
        <v>0</v>
      </c>
      <c r="O60" s="11"/>
      <c r="P60" s="6">
        <v>122000.62</v>
      </c>
      <c r="Q60" s="2"/>
      <c r="R60" s="7">
        <f t="shared" si="32"/>
        <v>0.40060096406430595</v>
      </c>
      <c r="S60" s="2"/>
      <c r="T60" s="6"/>
      <c r="U60" s="2"/>
      <c r="V60" s="7">
        <f t="shared" si="33"/>
        <v>0</v>
      </c>
      <c r="W60" s="2"/>
      <c r="X60" s="6">
        <f t="shared" si="34"/>
        <v>122000.62</v>
      </c>
      <c r="Y60" s="2"/>
      <c r="Z60" s="7">
        <f t="shared" si="35"/>
        <v>0</v>
      </c>
    </row>
    <row r="61" spans="1:26" s="29" customFormat="1" outlineLevel="1" collapsed="1" x14ac:dyDescent="0.3">
      <c r="A61" s="28"/>
      <c r="B61" s="14" t="str">
        <f>CONCATENATE("     ","Subscriptions &amp; Dues                              ")</f>
        <v xml:space="preserve">     Subscriptions &amp; Dues                              </v>
      </c>
      <c r="C61" s="14"/>
      <c r="D61" s="1">
        <f>SUM(OSRRefD22_10x_0)</f>
        <v>0</v>
      </c>
      <c r="E61" s="1"/>
      <c r="F61" s="5">
        <f t="shared" ref="F61:F66" si="36">IF(D$12=0,0,D61/D$12)</f>
        <v>0</v>
      </c>
      <c r="G61" s="1"/>
      <c r="H61" s="1">
        <f>SUM(OSRRefH22_10x_0)</f>
        <v>85</v>
      </c>
      <c r="I61" s="1"/>
      <c r="J61" s="5">
        <f t="shared" ref="J61:J66" si="37">IF(H$12=0,0,H61/H$12)</f>
        <v>2.5313439947586289E-3</v>
      </c>
      <c r="K61" s="1"/>
      <c r="L61" s="1">
        <f t="shared" ref="L61:L66" si="38">+D61-H61</f>
        <v>-85</v>
      </c>
      <c r="M61" s="1"/>
      <c r="N61" s="5">
        <f t="shared" ref="N61:N66" si="39">IF(H61=0,0,L61/H61)</f>
        <v>-1</v>
      </c>
      <c r="O61" s="14"/>
      <c r="P61" s="1">
        <f>SUM(OSRRefP22_10x_0)</f>
        <v>0</v>
      </c>
      <c r="Q61" s="1"/>
      <c r="R61" s="5">
        <f t="shared" ref="R61:R66" si="40">IF(P$12=0,0,P61/P$12)</f>
        <v>0</v>
      </c>
      <c r="S61" s="1"/>
      <c r="T61" s="1">
        <f>SUM(OSRRefT22_10x_0)</f>
        <v>425</v>
      </c>
      <c r="U61" s="1"/>
      <c r="V61" s="5">
        <f t="shared" ref="V61:V66" si="41">IF(T$12=0,0,T61/T$12)</f>
        <v>1.280618071479581E-3</v>
      </c>
      <c r="W61" s="1"/>
      <c r="X61" s="1">
        <f t="shared" ref="X61:X66" si="42">+P61-T61</f>
        <v>-425</v>
      </c>
      <c r="Y61" s="1"/>
      <c r="Z61" s="5">
        <f t="shared" ref="Z61:Z66" si="43">IF(T61=0,0,X61/T61)</f>
        <v>-1</v>
      </c>
    </row>
    <row r="62" spans="1:26" s="24" customFormat="1" hidden="1" outlineLevel="2" x14ac:dyDescent="0.3">
      <c r="A62" s="27"/>
      <c r="B62" s="11" t="str">
        <f>CONCATENATE("          ", "6258", " - ", "MEMBERSHIP DUES")</f>
        <v xml:space="preserve">          6258 - MEMBERSHIP DUES</v>
      </c>
      <c r="C62" s="11"/>
      <c r="D62" s="6"/>
      <c r="E62" s="2"/>
      <c r="F62" s="7">
        <f t="shared" si="36"/>
        <v>0</v>
      </c>
      <c r="G62" s="2"/>
      <c r="H62" s="6">
        <v>85</v>
      </c>
      <c r="I62" s="2"/>
      <c r="J62" s="7">
        <f t="shared" si="37"/>
        <v>2.5313439947586289E-3</v>
      </c>
      <c r="K62" s="2"/>
      <c r="L62" s="6">
        <f t="shared" si="38"/>
        <v>-85</v>
      </c>
      <c r="M62" s="2"/>
      <c r="N62" s="7">
        <f t="shared" si="39"/>
        <v>-1</v>
      </c>
      <c r="O62" s="11"/>
      <c r="P62" s="6"/>
      <c r="Q62" s="2"/>
      <c r="R62" s="7">
        <f t="shared" si="40"/>
        <v>0</v>
      </c>
      <c r="S62" s="2"/>
      <c r="T62" s="6">
        <v>425</v>
      </c>
      <c r="U62" s="2"/>
      <c r="V62" s="7">
        <f t="shared" si="41"/>
        <v>1.280618071479581E-3</v>
      </c>
      <c r="W62" s="2"/>
      <c r="X62" s="6">
        <f t="shared" si="42"/>
        <v>-425</v>
      </c>
      <c r="Y62" s="2"/>
      <c r="Z62" s="7">
        <f t="shared" si="43"/>
        <v>-1</v>
      </c>
    </row>
    <row r="63" spans="1:26" s="29" customFormat="1" outlineLevel="1" collapsed="1" x14ac:dyDescent="0.3">
      <c r="A63" s="28"/>
      <c r="B63" s="14" t="str">
        <f>CONCATENATE("     ","Supplies                                          ")</f>
        <v xml:space="preserve">     Supplies                                          </v>
      </c>
      <c r="C63" s="14"/>
      <c r="D63" s="1">
        <f>SUM(OSRRefD22_11x_0)</f>
        <v>235.39</v>
      </c>
      <c r="E63" s="1"/>
      <c r="F63" s="5">
        <f t="shared" si="36"/>
        <v>1.4532938198431808E-2</v>
      </c>
      <c r="G63" s="1"/>
      <c r="H63" s="1">
        <f>SUM(OSRRefH22_11x_0)</f>
        <v>5800</v>
      </c>
      <c r="I63" s="1"/>
      <c r="J63" s="5">
        <f t="shared" si="37"/>
        <v>0.17272700199529467</v>
      </c>
      <c r="K63" s="1"/>
      <c r="L63" s="1">
        <f t="shared" si="38"/>
        <v>-5564.61</v>
      </c>
      <c r="M63" s="1"/>
      <c r="N63" s="5">
        <f t="shared" si="39"/>
        <v>-0.9594155172413793</v>
      </c>
      <c r="O63" s="14"/>
      <c r="P63" s="1">
        <f>SUM(OSRRefP22_11x_0)</f>
        <v>15524.470000000001</v>
      </c>
      <c r="Q63" s="1"/>
      <c r="R63" s="5">
        <f t="shared" si="40"/>
        <v>5.0976115109803516E-2</v>
      </c>
      <c r="S63" s="1"/>
      <c r="T63" s="1">
        <f>SUM(OSRRefT22_11x_0)</f>
        <v>29000</v>
      </c>
      <c r="U63" s="1"/>
      <c r="V63" s="5">
        <f t="shared" si="41"/>
        <v>8.7383350759783165E-2</v>
      </c>
      <c r="W63" s="1"/>
      <c r="X63" s="1">
        <f t="shared" si="42"/>
        <v>-13475.529999999999</v>
      </c>
      <c r="Y63" s="1"/>
      <c r="Z63" s="5">
        <f t="shared" si="43"/>
        <v>-0.46467344827586204</v>
      </c>
    </row>
    <row r="64" spans="1:26" s="24" customFormat="1" hidden="1" outlineLevel="2" x14ac:dyDescent="0.3">
      <c r="A64" s="27"/>
      <c r="B64" s="11" t="str">
        <f>CONCATENATE("          ", "6234", " - ", "EXPENDABLE SUPPLIES &amp; EQUIPMEN")</f>
        <v xml:space="preserve">          6234 - EXPENDABLE SUPPLIES &amp; EQUIPMEN</v>
      </c>
      <c r="C64" s="11"/>
      <c r="D64" s="6"/>
      <c r="E64" s="2"/>
      <c r="F64" s="7">
        <f t="shared" si="36"/>
        <v>0</v>
      </c>
      <c r="G64" s="2"/>
      <c r="H64" s="6">
        <v>5800</v>
      </c>
      <c r="I64" s="2"/>
      <c r="J64" s="7">
        <f t="shared" si="37"/>
        <v>0.17272700199529467</v>
      </c>
      <c r="K64" s="2"/>
      <c r="L64" s="6">
        <f t="shared" si="38"/>
        <v>-5800</v>
      </c>
      <c r="M64" s="2"/>
      <c r="N64" s="7">
        <f t="shared" si="39"/>
        <v>-1</v>
      </c>
      <c r="O64" s="11"/>
      <c r="P64" s="6"/>
      <c r="Q64" s="2"/>
      <c r="R64" s="7">
        <f t="shared" si="40"/>
        <v>0</v>
      </c>
      <c r="S64" s="2"/>
      <c r="T64" s="6">
        <v>29000</v>
      </c>
      <c r="U64" s="2"/>
      <c r="V64" s="7">
        <f t="shared" si="41"/>
        <v>8.7383350759783165E-2</v>
      </c>
      <c r="W64" s="2"/>
      <c r="X64" s="6">
        <f t="shared" si="42"/>
        <v>-29000</v>
      </c>
      <c r="Y64" s="2"/>
      <c r="Z64" s="7">
        <f t="shared" si="43"/>
        <v>-1</v>
      </c>
    </row>
    <row r="65" spans="1:26" s="24" customFormat="1" hidden="1" outlineLevel="2" x14ac:dyDescent="0.3">
      <c r="A65" s="27"/>
      <c r="B65" s="11" t="str">
        <f>CONCATENATE("          ", "6241", " - ", "OFFICE EXPENSE")</f>
        <v xml:space="preserve">          6241 - OFFICE EXPENSE</v>
      </c>
      <c r="C65" s="11"/>
      <c r="D65" s="6">
        <v>235.39</v>
      </c>
      <c r="E65" s="2"/>
      <c r="F65" s="7">
        <f t="shared" si="36"/>
        <v>1.4532938198431808E-2</v>
      </c>
      <c r="G65" s="2"/>
      <c r="H65" s="6"/>
      <c r="I65" s="2"/>
      <c r="J65" s="7">
        <f t="shared" si="37"/>
        <v>0</v>
      </c>
      <c r="K65" s="2"/>
      <c r="L65" s="6">
        <f t="shared" si="38"/>
        <v>235.39</v>
      </c>
      <c r="M65" s="2"/>
      <c r="N65" s="7">
        <f t="shared" si="39"/>
        <v>0</v>
      </c>
      <c r="O65" s="11"/>
      <c r="P65" s="6">
        <v>15507.93</v>
      </c>
      <c r="Q65" s="2"/>
      <c r="R65" s="7">
        <f t="shared" si="40"/>
        <v>5.0921804402647895E-2</v>
      </c>
      <c r="S65" s="2"/>
      <c r="T65" s="6"/>
      <c r="U65" s="2"/>
      <c r="V65" s="7">
        <f t="shared" si="41"/>
        <v>0</v>
      </c>
      <c r="W65" s="2"/>
      <c r="X65" s="6">
        <f t="shared" si="42"/>
        <v>15507.93</v>
      </c>
      <c r="Y65" s="2"/>
      <c r="Z65" s="7">
        <f t="shared" si="43"/>
        <v>0</v>
      </c>
    </row>
    <row r="66" spans="1:26" s="24" customFormat="1" hidden="1" outlineLevel="2" x14ac:dyDescent="0.3">
      <c r="A66" s="27"/>
      <c r="B66" s="11" t="str">
        <f>CONCATENATE("          ", "6247", " - ", "STORE SUPPLIES")</f>
        <v xml:space="preserve">          6247 - STORE SUPPLIES</v>
      </c>
      <c r="C66" s="11"/>
      <c r="D66" s="6"/>
      <c r="E66" s="2"/>
      <c r="F66" s="7">
        <f t="shared" si="36"/>
        <v>0</v>
      </c>
      <c r="G66" s="2"/>
      <c r="H66" s="6"/>
      <c r="I66" s="2"/>
      <c r="J66" s="7">
        <f t="shared" si="37"/>
        <v>0</v>
      </c>
      <c r="K66" s="2"/>
      <c r="L66" s="6">
        <f t="shared" si="38"/>
        <v>0</v>
      </c>
      <c r="M66" s="2"/>
      <c r="N66" s="7">
        <f t="shared" si="39"/>
        <v>0</v>
      </c>
      <c r="O66" s="11"/>
      <c r="P66" s="6">
        <v>16.54</v>
      </c>
      <c r="Q66" s="2"/>
      <c r="R66" s="7">
        <f t="shared" si="40"/>
        <v>5.4310707155616264E-5</v>
      </c>
      <c r="S66" s="2"/>
      <c r="T66" s="6"/>
      <c r="U66" s="2"/>
      <c r="V66" s="7">
        <f t="shared" si="41"/>
        <v>0</v>
      </c>
      <c r="W66" s="2"/>
      <c r="X66" s="6">
        <f t="shared" si="42"/>
        <v>16.54</v>
      </c>
      <c r="Y66" s="2"/>
      <c r="Z66" s="7">
        <f t="shared" si="43"/>
        <v>0</v>
      </c>
    </row>
    <row r="67" spans="1:26" s="29" customFormat="1" outlineLevel="1" collapsed="1" x14ac:dyDescent="0.3">
      <c r="A67" s="28"/>
      <c r="B67" s="14" t="str">
        <f>CONCATENATE("     ","Telephone/Data Lines                              ")</f>
        <v xml:space="preserve">     Telephone/Data Lines                              </v>
      </c>
      <c r="C67" s="14"/>
      <c r="D67" s="1">
        <f>SUM(OSRRefD22_12x_0)</f>
        <v>90.85</v>
      </c>
      <c r="E67" s="1"/>
      <c r="F67" s="5">
        <f t="shared" ref="F67:F70" si="44">IF(D$12=0,0,D67/D$12)</f>
        <v>5.6090634068037288E-3</v>
      </c>
      <c r="G67" s="1"/>
      <c r="H67" s="1">
        <f>SUM(OSRRefH22_12x_0)</f>
        <v>350</v>
      </c>
      <c r="I67" s="1"/>
      <c r="J67" s="5">
        <f t="shared" ref="J67:J70" si="45">IF(H$12=0,0,H67/H$12)</f>
        <v>1.0423181154888472E-2</v>
      </c>
      <c r="K67" s="1"/>
      <c r="L67" s="1">
        <f t="shared" ref="L67:L70" si="46">+D67-H67</f>
        <v>-259.14999999999998</v>
      </c>
      <c r="M67" s="1"/>
      <c r="N67" s="5">
        <f t="shared" ref="N67:N70" si="47">IF(H67=0,0,L67/H67)</f>
        <v>-0.74042857142857132</v>
      </c>
      <c r="O67" s="14"/>
      <c r="P67" s="1">
        <f>SUM(OSRRefP22_12x_0)</f>
        <v>14.85</v>
      </c>
      <c r="Q67" s="1"/>
      <c r="R67" s="5">
        <f t="shared" ref="R67:R70" si="48">IF(P$12=0,0,P67/P$12)</f>
        <v>4.8761426920247976E-5</v>
      </c>
      <c r="S67" s="1"/>
      <c r="T67" s="1">
        <f>SUM(OSRRefT22_12x_0)</f>
        <v>1750</v>
      </c>
      <c r="U67" s="1"/>
      <c r="V67" s="5">
        <f t="shared" ref="V67:V70" si="49">IF(T$12=0,0,T67/T$12)</f>
        <v>5.2731332355041571E-3</v>
      </c>
      <c r="W67" s="1"/>
      <c r="X67" s="1">
        <f t="shared" ref="X67:X70" si="50">+P67-T67</f>
        <v>-1735.15</v>
      </c>
      <c r="Y67" s="1"/>
      <c r="Z67" s="5">
        <f t="shared" ref="Z67:Z70" si="51">IF(T67=0,0,X67/T67)</f>
        <v>-0.99151428571428579</v>
      </c>
    </row>
    <row r="68" spans="1:26" s="24" customFormat="1" hidden="1" outlineLevel="2" x14ac:dyDescent="0.3">
      <c r="A68" s="27"/>
      <c r="B68" s="11" t="str">
        <f>CONCATENATE("          ", "6309", " - ", "TELEPHONE")</f>
        <v xml:space="preserve">          6309 - TELEPHONE</v>
      </c>
      <c r="C68" s="11"/>
      <c r="D68" s="6">
        <v>90.85</v>
      </c>
      <c r="E68" s="2"/>
      <c r="F68" s="7">
        <f t="shared" si="44"/>
        <v>5.6090634068037288E-3</v>
      </c>
      <c r="G68" s="2"/>
      <c r="H68" s="6">
        <v>350</v>
      </c>
      <c r="I68" s="2"/>
      <c r="J68" s="7">
        <f t="shared" si="45"/>
        <v>1.0423181154888472E-2</v>
      </c>
      <c r="K68" s="2"/>
      <c r="L68" s="6">
        <f t="shared" si="46"/>
        <v>-259.14999999999998</v>
      </c>
      <c r="M68" s="2"/>
      <c r="N68" s="7">
        <f t="shared" si="47"/>
        <v>-0.74042857142857132</v>
      </c>
      <c r="O68" s="11"/>
      <c r="P68" s="6">
        <v>14.85</v>
      </c>
      <c r="Q68" s="2"/>
      <c r="R68" s="7">
        <f t="shared" si="48"/>
        <v>4.8761426920247976E-5</v>
      </c>
      <c r="S68" s="2"/>
      <c r="T68" s="6">
        <v>1750</v>
      </c>
      <c r="U68" s="2"/>
      <c r="V68" s="7">
        <f t="shared" si="49"/>
        <v>5.2731332355041571E-3</v>
      </c>
      <c r="W68" s="2"/>
      <c r="X68" s="6">
        <f t="shared" si="50"/>
        <v>-1735.15</v>
      </c>
      <c r="Y68" s="2"/>
      <c r="Z68" s="7">
        <f t="shared" si="51"/>
        <v>-0.99151428571428579</v>
      </c>
    </row>
    <row r="69" spans="1:26" s="29" customFormat="1" outlineLevel="1" collapsed="1" x14ac:dyDescent="0.3">
      <c r="A69" s="28"/>
      <c r="B69" s="14" t="str">
        <f>CONCATENATE("     ","Training                                          ")</f>
        <v xml:space="preserve">     Training                                          </v>
      </c>
      <c r="C69" s="14"/>
      <c r="D69" s="1">
        <f>SUM(OSRRefD22_13x_0)</f>
        <v>0</v>
      </c>
      <c r="E69" s="1"/>
      <c r="F69" s="5">
        <f t="shared" si="44"/>
        <v>0</v>
      </c>
      <c r="G69" s="1"/>
      <c r="H69" s="1">
        <f>SUM(OSRRefH22_13x_0)</f>
        <v>0</v>
      </c>
      <c r="I69" s="1"/>
      <c r="J69" s="5">
        <f t="shared" si="45"/>
        <v>0</v>
      </c>
      <c r="K69" s="1"/>
      <c r="L69" s="1">
        <f t="shared" si="46"/>
        <v>0</v>
      </c>
      <c r="M69" s="1"/>
      <c r="N69" s="5">
        <f t="shared" si="47"/>
        <v>0</v>
      </c>
      <c r="O69" s="14"/>
      <c r="P69" s="1">
        <f>SUM(OSRRefP22_13x_0)</f>
        <v>2000</v>
      </c>
      <c r="Q69" s="1"/>
      <c r="R69" s="5">
        <f t="shared" si="48"/>
        <v>6.5671955448145421E-3</v>
      </c>
      <c r="S69" s="1"/>
      <c r="T69" s="1">
        <f>SUM(OSRRefT22_13x_0)</f>
        <v>0</v>
      </c>
      <c r="U69" s="1"/>
      <c r="V69" s="5">
        <f t="shared" si="49"/>
        <v>0</v>
      </c>
      <c r="W69" s="1"/>
      <c r="X69" s="1">
        <f t="shared" si="50"/>
        <v>2000</v>
      </c>
      <c r="Y69" s="1"/>
      <c r="Z69" s="5">
        <f t="shared" si="51"/>
        <v>0</v>
      </c>
    </row>
    <row r="70" spans="1:26" s="24" customFormat="1" hidden="1" outlineLevel="2" x14ac:dyDescent="0.3">
      <c r="A70" s="27"/>
      <c r="B70" s="11" t="str">
        <f>CONCATENATE("          ", "6376", " - ", "TRAINING")</f>
        <v xml:space="preserve">          6376 - TRAINING</v>
      </c>
      <c r="C70" s="11"/>
      <c r="D70" s="6"/>
      <c r="E70" s="2"/>
      <c r="F70" s="7">
        <f t="shared" si="44"/>
        <v>0</v>
      </c>
      <c r="G70" s="2"/>
      <c r="H70" s="6"/>
      <c r="I70" s="2"/>
      <c r="J70" s="7">
        <f t="shared" si="45"/>
        <v>0</v>
      </c>
      <c r="K70" s="2"/>
      <c r="L70" s="6">
        <f t="shared" si="46"/>
        <v>0</v>
      </c>
      <c r="M70" s="2"/>
      <c r="N70" s="7">
        <f t="shared" si="47"/>
        <v>0</v>
      </c>
      <c r="O70" s="11"/>
      <c r="P70" s="6">
        <v>2000</v>
      </c>
      <c r="Q70" s="2"/>
      <c r="R70" s="7">
        <f t="shared" si="48"/>
        <v>6.5671955448145421E-3</v>
      </c>
      <c r="S70" s="2"/>
      <c r="T70" s="6"/>
      <c r="U70" s="2"/>
      <c r="V70" s="7">
        <f t="shared" si="49"/>
        <v>0</v>
      </c>
      <c r="W70" s="2"/>
      <c r="X70" s="6">
        <f t="shared" si="50"/>
        <v>2000</v>
      </c>
      <c r="Y70" s="2"/>
      <c r="Z70" s="7">
        <f t="shared" si="51"/>
        <v>0</v>
      </c>
    </row>
    <row r="71" spans="1:26" s="63" customFormat="1" x14ac:dyDescent="0.3">
      <c r="A71" s="36"/>
      <c r="B71" s="36"/>
      <c r="C71" s="36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6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collapsed="1" x14ac:dyDescent="0.3">
      <c r="A72" s="10"/>
      <c r="B72" s="25" t="s">
        <v>293</v>
      </c>
      <c r="C72" s="10"/>
      <c r="D72" s="4">
        <f>SUM(OSRRefD25x_0)</f>
        <v>620.46</v>
      </c>
      <c r="E72" s="4"/>
      <c r="F72" s="12">
        <f t="shared" ref="F72:F73" si="52">IF(D$12=0,0,D72/D$12)</f>
        <v>3.8307093906278941E-2</v>
      </c>
      <c r="G72" s="4"/>
      <c r="H72" s="4">
        <f>SUM(OSRRefH25x_0)</f>
        <v>2400</v>
      </c>
      <c r="I72" s="4"/>
      <c r="J72" s="12">
        <f t="shared" ref="J72:J73" si="53">IF(H$12=0,0,H72/H$12)</f>
        <v>7.1473242204949522E-2</v>
      </c>
      <c r="K72" s="4"/>
      <c r="L72" s="4">
        <f t="shared" ref="L72:L73" si="54">+D72-H72</f>
        <v>-1779.54</v>
      </c>
      <c r="M72" s="4"/>
      <c r="N72" s="12">
        <f t="shared" ref="N72:N73" si="55">IF(H72=0,0,L72/H72)</f>
        <v>-0.741475</v>
      </c>
      <c r="O72" s="10"/>
      <c r="P72" s="4">
        <f>SUM(OSRRefP25x_0)</f>
        <v>5017.33</v>
      </c>
      <c r="Q72" s="4"/>
      <c r="R72" s="12">
        <f t="shared" ref="R72:R73" si="56">IF(P$12=0,0,P72/P$12)</f>
        <v>1.6474893611432173E-2</v>
      </c>
      <c r="S72" s="4"/>
      <c r="T72" s="4">
        <f>SUM(OSRRefT25x_0)</f>
        <v>12000</v>
      </c>
      <c r="U72" s="4"/>
      <c r="V72" s="12">
        <f t="shared" ref="V72:V73" si="57">IF(T$12=0,0,T72/T$12)</f>
        <v>3.6158627900599934E-2</v>
      </c>
      <c r="W72" s="4"/>
      <c r="X72" s="4">
        <f t="shared" ref="X72:X73" si="58">+P72-T72</f>
        <v>-6982.67</v>
      </c>
      <c r="Y72" s="4"/>
      <c r="Z72" s="12">
        <f t="shared" ref="Z72:Z73" si="59">IF(T72=0,0,X72/T72)</f>
        <v>-0.58188916666666668</v>
      </c>
    </row>
    <row r="73" spans="1:26" s="24" customFormat="1" hidden="1" outlineLevel="1" x14ac:dyDescent="0.3">
      <c r="A73" s="44"/>
      <c r="B73" s="11" t="str">
        <f>CONCATENATE("          ", "9150", " - ", "MISC. INCOME")</f>
        <v xml:space="preserve">          9150 - MISC. INCOME</v>
      </c>
      <c r="C73" s="11"/>
      <c r="D73" s="2">
        <f>--620.46</f>
        <v>620.46</v>
      </c>
      <c r="E73" s="2"/>
      <c r="F73" s="19">
        <f t="shared" si="52"/>
        <v>3.8307093906278941E-2</v>
      </c>
      <c r="G73" s="2"/>
      <c r="H73" s="2">
        <v>2400</v>
      </c>
      <c r="I73" s="2"/>
      <c r="J73" s="19">
        <f t="shared" si="53"/>
        <v>7.1473242204949522E-2</v>
      </c>
      <c r="K73" s="2"/>
      <c r="L73" s="2">
        <f t="shared" si="54"/>
        <v>-1779.54</v>
      </c>
      <c r="M73" s="2"/>
      <c r="N73" s="19">
        <f t="shared" si="55"/>
        <v>-0.741475</v>
      </c>
      <c r="O73" s="11"/>
      <c r="P73" s="2">
        <f>--5017.33</f>
        <v>5017.33</v>
      </c>
      <c r="Q73" s="2"/>
      <c r="R73" s="19">
        <f t="shared" si="56"/>
        <v>1.6474893611432173E-2</v>
      </c>
      <c r="S73" s="2"/>
      <c r="T73" s="2">
        <v>12000</v>
      </c>
      <c r="U73" s="2"/>
      <c r="V73" s="19">
        <f t="shared" si="57"/>
        <v>3.6158627900599934E-2</v>
      </c>
      <c r="W73" s="2"/>
      <c r="X73" s="2">
        <f t="shared" si="58"/>
        <v>-6982.67</v>
      </c>
      <c r="Y73" s="2"/>
      <c r="Z73" s="19">
        <f t="shared" si="59"/>
        <v>-0.58188916666666668</v>
      </c>
    </row>
    <row r="74" spans="1:26" x14ac:dyDescent="0.3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3">
      <c r="A75" s="10"/>
      <c r="B75" s="26" t="s">
        <v>277</v>
      </c>
      <c r="C75" s="26"/>
      <c r="D75" s="20">
        <f>+D17-D19+D72</f>
        <v>0.33000000000265572</v>
      </c>
      <c r="E75" s="13"/>
      <c r="F75" s="22">
        <f>IF(D$12=0,0,D75/D$12)</f>
        <v>2.0374143360045425E-5</v>
      </c>
      <c r="G75" s="13"/>
      <c r="H75" s="20">
        <f>+H17-H19+H72</f>
        <v>3431.5564708223101</v>
      </c>
      <c r="I75" s="13"/>
      <c r="J75" s="22">
        <f>IF(H$12=0,0,H75/H$12)</f>
        <v>0.10219352782460199</v>
      </c>
      <c r="K75" s="15"/>
      <c r="L75" s="20">
        <f>+D75-H75</f>
        <v>-3431.2264708223074</v>
      </c>
      <c r="M75" s="15"/>
      <c r="N75" s="22">
        <f>IF(H75=0,0,L75/H75)</f>
        <v>-0.9999038337259466</v>
      </c>
      <c r="O75" s="25"/>
      <c r="P75" s="20">
        <f>+P17-P19+P72</f>
        <v>66859.349999999991</v>
      </c>
      <c r="Q75" s="13"/>
      <c r="R75" s="22">
        <f>IF(P$12=0,0,P75/P$12)</f>
        <v>0.21953921272459806</v>
      </c>
      <c r="S75" s="13"/>
      <c r="T75" s="20">
        <f>+T17-T19+T72</f>
        <v>33917.761464522686</v>
      </c>
      <c r="U75" s="13"/>
      <c r="V75" s="22">
        <f>IF(T$12=0,0,T75/T$12)</f>
        <v>0.10220164300141527</v>
      </c>
      <c r="W75" s="15"/>
      <c r="X75" s="20">
        <f>+P75-T75</f>
        <v>32941.588535477305</v>
      </c>
      <c r="Y75" s="15"/>
      <c r="Z75" s="22">
        <f>IF(T75=0,0,X75/T75)</f>
        <v>0.97121941758843844</v>
      </c>
    </row>
    <row r="76" spans="1:26" x14ac:dyDescent="0.3">
      <c r="A76" s="9"/>
      <c r="B76" s="10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3">
      <c r="A77" s="52"/>
      <c r="B77" s="10" t="s">
        <v>128</v>
      </c>
      <c r="C77" s="10"/>
      <c r="D77" s="4">
        <v>2944.24</v>
      </c>
      <c r="E77" s="4"/>
      <c r="F77" s="12">
        <f>IF(D$12=0,0,D77/D$12)</f>
        <v>0.1817768722602951</v>
      </c>
      <c r="G77" s="4"/>
      <c r="H77" s="4">
        <v>7187</v>
      </c>
      <c r="I77" s="4"/>
      <c r="J77" s="12">
        <f>IF(H$12=0,0,H77/H$12)</f>
        <v>0.21403257988623842</v>
      </c>
      <c r="K77" s="4"/>
      <c r="L77" s="4">
        <f>+D77-H77</f>
        <v>-4242.76</v>
      </c>
      <c r="M77" s="4"/>
      <c r="N77" s="12">
        <f>IF(H77=0,0,L77/H77)</f>
        <v>-0.5903381104772506</v>
      </c>
      <c r="O77" s="10"/>
      <c r="P77" s="4">
        <v>36274.769999999997</v>
      </c>
      <c r="Q77" s="4"/>
      <c r="R77" s="12">
        <f>IF(P$12=0,0,P77/P$12)</f>
        <v>0.1191117539665861</v>
      </c>
      <c r="S77" s="4"/>
      <c r="T77" s="4">
        <v>41488</v>
      </c>
      <c r="U77" s="4"/>
      <c r="V77" s="12">
        <f>IF(T$12=0,0,T77/T$12)</f>
        <v>0.12501242952834082</v>
      </c>
      <c r="W77" s="4"/>
      <c r="X77" s="4">
        <f>+P77-T77</f>
        <v>-5213.2300000000032</v>
      </c>
      <c r="Y77" s="4"/>
      <c r="Z77" s="12">
        <f>IF(T77=0,0,X77/T77)</f>
        <v>-0.12565633436174323</v>
      </c>
    </row>
    <row r="78" spans="1:26" x14ac:dyDescent="0.3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" thickBot="1" x14ac:dyDescent="0.35">
      <c r="A79" s="10"/>
      <c r="B79" s="26" t="s">
        <v>126</v>
      </c>
      <c r="C79" s="26"/>
      <c r="D79" s="33">
        <f>+D75-D77</f>
        <v>-2943.9099999999971</v>
      </c>
      <c r="E79" s="13"/>
      <c r="F79" s="34">
        <f>IF(D$12=0,0,D79/D$12)</f>
        <v>-0.18175649811693506</v>
      </c>
      <c r="G79" s="13"/>
      <c r="H79" s="33">
        <f>+H75-H77</f>
        <v>-3755.4435291776899</v>
      </c>
      <c r="I79" s="13"/>
      <c r="J79" s="34">
        <f>IF(H$12=0,0,H79/H$12)</f>
        <v>-0.11183905206163644</v>
      </c>
      <c r="K79" s="15"/>
      <c r="L79" s="33">
        <f>D79-H79</f>
        <v>811.5335291776928</v>
      </c>
      <c r="M79" s="15"/>
      <c r="N79" s="34">
        <f>IF(H79=0,0,L79/H79)</f>
        <v>-0.21609525555970485</v>
      </c>
      <c r="O79" s="25"/>
      <c r="P79" s="33">
        <f>+P75-P77</f>
        <v>30584.579999999994</v>
      </c>
      <c r="Q79" s="13"/>
      <c r="R79" s="34">
        <f>IF(P$12=0,0,P79/P$12)</f>
        <v>0.10042745875801196</v>
      </c>
      <c r="S79" s="13"/>
      <c r="T79" s="33">
        <f>+T75-T77</f>
        <v>-7570.2385354773141</v>
      </c>
      <c r="U79" s="13"/>
      <c r="V79" s="34">
        <f>IF(T$12=0,0,T79/T$12)</f>
        <v>-2.2810786526925565E-2</v>
      </c>
      <c r="W79" s="15"/>
      <c r="X79" s="33">
        <f>P79-T79</f>
        <v>38154.818535477309</v>
      </c>
      <c r="Y79" s="15"/>
      <c r="Z79" s="34">
        <f>IF(T79=0,0,X79/T79)</f>
        <v>-5.0401078323579656</v>
      </c>
    </row>
    <row r="80" spans="1:26" ht="15" thickTop="1" x14ac:dyDescent="0.3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x14ac:dyDescent="0.3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" thickBot="1" x14ac:dyDescent="0.35">
      <c r="A82" s="10"/>
      <c r="B82" s="26" t="s">
        <v>294</v>
      </c>
      <c r="C82" s="26"/>
      <c r="D82" s="35">
        <f>SUM(D79:D81)</f>
        <v>-2943.9099999999971</v>
      </c>
      <c r="E82" s="13"/>
      <c r="F82" s="32">
        <f>IF(D$12=0,0,D82/D$12)</f>
        <v>-0.18175649811693506</v>
      </c>
      <c r="G82" s="13"/>
      <c r="H82" s="35">
        <f>SUM(H79:H81)</f>
        <v>-3755.4435291776899</v>
      </c>
      <c r="I82" s="13"/>
      <c r="J82" s="32">
        <f>IF(H$12=0,0,H82/H$12)</f>
        <v>-0.11183905206163644</v>
      </c>
      <c r="K82" s="15"/>
      <c r="L82" s="35">
        <f>+D82-H82</f>
        <v>811.5335291776928</v>
      </c>
      <c r="M82" s="15"/>
      <c r="N82" s="32">
        <f>IF(H82=0,0,L82/H82)</f>
        <v>-0.21609525555970485</v>
      </c>
      <c r="O82" s="25"/>
      <c r="P82" s="35">
        <f>SUM(P79:P81)</f>
        <v>30584.579999999994</v>
      </c>
      <c r="Q82" s="13"/>
      <c r="R82" s="32">
        <f>IF(P$12=0,0,P82/P$12)</f>
        <v>0.10042745875801196</v>
      </c>
      <c r="S82" s="13"/>
      <c r="T82" s="35">
        <f>SUM(T79:T81)</f>
        <v>-7570.2385354773141</v>
      </c>
      <c r="U82" s="13"/>
      <c r="V82" s="32">
        <f>IF(T$12=0,0,T82/T$12)</f>
        <v>-2.2810786526925565E-2</v>
      </c>
      <c r="W82" s="15"/>
      <c r="X82" s="35">
        <f>+P82-T82</f>
        <v>38154.818535477309</v>
      </c>
      <c r="Y82" s="15"/>
      <c r="Z82" s="32">
        <f>IF(T82=0,0,X82/T82)</f>
        <v>-5.0401078323579656</v>
      </c>
    </row>
    <row r="83" spans="1:26" ht="15" thickTop="1" x14ac:dyDescent="0.3">
      <c r="A83" s="9"/>
      <c r="C83" s="9"/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6" x14ac:dyDescent="0.3">
      <c r="A84" s="9"/>
      <c r="B84" s="60">
        <v>44543.753113078703</v>
      </c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6" x14ac:dyDescent="0.3">
      <c r="A85" s="9"/>
      <c r="B85" s="58" t="s">
        <v>56</v>
      </c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3">
      <c r="A86" s="9"/>
      <c r="B86" s="55"/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  <row r="87" spans="1:26" x14ac:dyDescent="0.3"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6" t="s">
        <v>23</v>
      </c>
    </row>
    <row r="3" spans="1:26" x14ac:dyDescent="0.3">
      <c r="D3" s="56" t="s">
        <v>237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61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54"/>
    </row>
    <row r="8" spans="1:26" x14ac:dyDescent="0.3">
      <c r="B8" s="54"/>
    </row>
    <row r="9" spans="1:26" x14ac:dyDescent="0.3">
      <c r="B9" s="9"/>
      <c r="C9" s="9"/>
      <c r="D9" s="16" t="s">
        <v>292</v>
      </c>
      <c r="E9" s="16"/>
      <c r="F9" s="38"/>
      <c r="G9" s="16"/>
      <c r="H9" s="16"/>
      <c r="I9" s="16"/>
      <c r="J9" s="51"/>
      <c r="K9" s="16"/>
      <c r="L9" s="16"/>
      <c r="M9" s="16"/>
      <c r="N9" s="38"/>
      <c r="P9" s="16" t="s">
        <v>39</v>
      </c>
      <c r="Q9" s="16"/>
      <c r="R9" s="38"/>
      <c r="S9" s="16"/>
      <c r="T9" s="16"/>
      <c r="U9" s="16"/>
      <c r="V9" s="51"/>
      <c r="W9" s="16"/>
      <c r="X9" s="16"/>
      <c r="Y9" s="16"/>
      <c r="Z9" s="38"/>
    </row>
    <row r="10" spans="1:26" x14ac:dyDescent="0.3">
      <c r="A10" s="10"/>
      <c r="B10" s="59"/>
      <c r="C10" s="10"/>
      <c r="D10" s="43" t="s">
        <v>57</v>
      </c>
      <c r="E10" s="31"/>
      <c r="F10" s="37" t="s">
        <v>40</v>
      </c>
      <c r="G10" s="31"/>
      <c r="H10" s="47" t="s">
        <v>238</v>
      </c>
      <c r="I10" s="31"/>
      <c r="J10" s="50" t="s">
        <v>58</v>
      </c>
      <c r="K10" s="10"/>
      <c r="L10" s="43" t="s">
        <v>127</v>
      </c>
      <c r="M10" s="10"/>
      <c r="N10" s="37" t="s">
        <v>258</v>
      </c>
      <c r="O10" s="10"/>
      <c r="P10" s="57" t="s">
        <v>57</v>
      </c>
      <c r="Q10" s="31"/>
      <c r="R10" s="37" t="s">
        <v>40</v>
      </c>
      <c r="S10" s="31"/>
      <c r="T10" s="47" t="s">
        <v>238</v>
      </c>
      <c r="U10" s="31"/>
      <c r="V10" s="50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5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5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93</vt:i4>
      </vt:variant>
      <vt:variant>
        <vt:lpstr>Named Ranges</vt:lpstr>
      </vt:variant>
      <vt:variant>
        <vt:i4>3430</vt:i4>
      </vt:variant>
    </vt:vector>
  </HeadingPairs>
  <TitlesOfParts>
    <vt:vector size="3523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OSR_310 (2)_5...3d931dee_QNK8R2</vt:lpstr>
      <vt:lpstr>OSR_300 &amp; 317_1C00ID4</vt:lpstr>
      <vt:lpstr>OSR_300 (2)_...6aa5a22d_14M6XO4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(2)_...853a34aa_1UNC34K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(2)...32d16c57_IVJ1QO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330</vt:lpstr>
      <vt:lpstr>307</vt:lpstr>
      <vt:lpstr>308</vt:lpstr>
      <vt:lpstr>311</vt:lpstr>
      <vt:lpstr>324</vt:lpstr>
      <vt:lpstr>331</vt:lpstr>
      <vt:lpstr>315</vt:lpstr>
      <vt:lpstr>326</vt:lpstr>
      <vt:lpstr>332</vt:lpstr>
      <vt:lpstr>316</vt:lpstr>
      <vt:lpstr>Div 6</vt:lpstr>
      <vt:lpstr>317</vt:lpstr>
      <vt:lpstr>320</vt:lpstr>
      <vt:lpstr>310</vt:lpstr>
      <vt:lpstr>309</vt:lpstr>
      <vt:lpstr>321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423</vt:lpstr>
      <vt:lpstr>424</vt:lpstr>
      <vt:lpstr>425</vt:lpstr>
      <vt:lpstr>492</vt:lpstr>
      <vt:lpstr>430</vt:lpstr>
      <vt:lpstr>433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'300'!OSRRefD13x_0</vt:lpstr>
      <vt:lpstr>'300 &amp; 317'!OSRRefD13x_0</vt:lpstr>
      <vt:lpstr>'307'!OSRRefD13x_0</vt:lpstr>
      <vt:lpstr>'308'!OSRRefD13x_0</vt:lpstr>
      <vt:lpstr>'310'!OSRRefD13x_0</vt:lpstr>
      <vt:lpstr>'310 &amp; 491'!OSRRefD13x_0</vt:lpstr>
      <vt:lpstr>'311'!OSRRefD13x_0</vt:lpstr>
      <vt:lpstr>'315'!OSRRefD13x_0</vt:lpstr>
      <vt:lpstr>'316'!OSRRefD13x_0</vt:lpstr>
      <vt:lpstr>'317'!OSRRefD13x_0</vt:lpstr>
      <vt:lpstr>'321'!OSRRefD13x_0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'415'!OSRRefD13x_0</vt:lpstr>
      <vt:lpstr>'418'!OSRRefD13x_0</vt:lpstr>
      <vt:lpstr>'425'!OSRRefD13x_0</vt:lpstr>
      <vt:lpstr>'433'!OSRRefD13x_0</vt:lpstr>
      <vt:lpstr>'444'!OSRRefD13x_0</vt:lpstr>
      <vt:lpstr>'450'!OSRRefD13x_0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'301'!OSRRefD16x_0</vt:lpstr>
      <vt:lpstr>'307'!OSRRefD16x_0</vt:lpstr>
      <vt:lpstr>'308'!OSRRefD16x_0</vt:lpstr>
      <vt:lpstr>'310'!OSRRefD16x_0</vt:lpstr>
      <vt:lpstr>'310 &amp; 491'!OSRRefD16x_0</vt:lpstr>
      <vt:lpstr>'311'!OSRRefD16x_0</vt:lpstr>
      <vt:lpstr>'315'!OSRRefD16x_0</vt:lpstr>
      <vt:lpstr>'316'!OSRRefD16x_0</vt:lpstr>
      <vt:lpstr>'317'!OSRRefD16x_0</vt:lpstr>
      <vt:lpstr>'321'!OSRRefD16x_0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'332'!OSRRefD16x_0</vt:lpstr>
      <vt:lpstr>'405'!OSRRefD16x_0</vt:lpstr>
      <vt:lpstr>'415'!OSRRefD16x_0</vt:lpstr>
      <vt:lpstr>'418'!OSRRefD16x_0</vt:lpstr>
      <vt:lpstr>'425'!OSRRefD16x_0</vt:lpstr>
      <vt:lpstr>'433'!OSRRefD16x_0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'315'!OSRRefD22_0x_0</vt:lpstr>
      <vt:lpstr>'316'!OSRRefD22_0x_0</vt:lpstr>
      <vt:lpstr>'317'!OSRRefD22_0x_0</vt:lpstr>
      <vt:lpstr>'321'!OSRRefD22_0x_0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'444'!OSRRefD22_0x_0</vt:lpstr>
      <vt:lpstr>'450'!OSRRefD22_0x_0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'300'!OSRRefD22_10x_0</vt:lpstr>
      <vt:lpstr>'300 &amp; 317'!OSRRefD22_10x_0</vt:lpstr>
      <vt:lpstr>'301'!OSRRefD22_10x_0</vt:lpstr>
      <vt:lpstr>'307'!OSRRefD22_10x_0</vt:lpstr>
      <vt:lpstr>'308'!OSRRefD22_10x_0</vt:lpstr>
      <vt:lpstr>'310'!OSRRefD22_10x_0</vt:lpstr>
      <vt:lpstr>'310 &amp; 491'!OSRRefD22_10x_0</vt:lpstr>
      <vt:lpstr>'311'!OSRRefD22_10x_0</vt:lpstr>
      <vt:lpstr>'315'!OSRRefD22_10x_0</vt:lpstr>
      <vt:lpstr>'316'!OSRRefD22_10x_0</vt:lpstr>
      <vt:lpstr>'321'!OSRRefD22_10x_0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'411'!OSRRefD22_10x_0</vt:lpstr>
      <vt:lpstr>'415'!OSRRefD22_10x_0</vt:lpstr>
      <vt:lpstr>'418'!OSRRefD22_10x_0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Summary!OSRRefD22_10x_0</vt:lpstr>
      <vt:lpstr>'201'!OSRRefD22_11x_0</vt:lpstr>
      <vt:lpstr>'202'!OSRRefD22_11x_0</vt:lpstr>
      <vt:lpstr>'203'!OSRRefD22_11x_0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'310'!OSRRefD22_11x_0</vt:lpstr>
      <vt:lpstr>'310 &amp; 491'!OSRRefD22_11x_0</vt:lpstr>
      <vt:lpstr>'311'!OSRRefD22_11x_0</vt:lpstr>
      <vt:lpstr>'315'!OSRRefD22_11x_0</vt:lpstr>
      <vt:lpstr>'321'!OSRRefD22_11x_0</vt:lpstr>
      <vt:lpstr>'325'!OSRRefD22_11x_0</vt:lpstr>
      <vt:lpstr>'326'!OSRRefD22_11x_0</vt:lpstr>
      <vt:lpstr>'330'!OSRRefD22_11x_0</vt:lpstr>
      <vt:lpstr>'331'!OSRRefD22_11x_0</vt:lpstr>
      <vt:lpstr>'405'!OSRRefD22_11x_0</vt:lpstr>
      <vt:lpstr>'411'!OSRRefD22_11x_0</vt:lpstr>
      <vt:lpstr>'415'!OSRRefD22_11x_0</vt:lpstr>
      <vt:lpstr>'418'!OSRRefD22_11x_0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Summary!OSRRefD22_11x_0</vt:lpstr>
      <vt:lpstr>'201'!OSRRefD22_12x_0</vt:lpstr>
      <vt:lpstr>'203'!OSRRefD22_12x_0</vt:lpstr>
      <vt:lpstr>'300'!OSRRefD22_12x_0</vt:lpstr>
      <vt:lpstr>'300 &amp; 317'!OSRRefD22_12x_0</vt:lpstr>
      <vt:lpstr>'301'!OSRRefD22_12x_0</vt:lpstr>
      <vt:lpstr>'307'!OSRRefD22_12x_0</vt:lpstr>
      <vt:lpstr>'308'!OSRRefD22_12x_0</vt:lpstr>
      <vt:lpstr>'310'!OSRRefD22_12x_0</vt:lpstr>
      <vt:lpstr>'310 &amp; 491'!OSRRefD22_12x_0</vt:lpstr>
      <vt:lpstr>'311'!OSRRefD22_12x_0</vt:lpstr>
      <vt:lpstr>'315'!OSRRefD22_12x_0</vt:lpstr>
      <vt:lpstr>'325'!OSRRefD22_12x_0</vt:lpstr>
      <vt:lpstr>'326'!OSRRefD22_12x_0</vt:lpstr>
      <vt:lpstr>'330'!OSRRefD22_12x_0</vt:lpstr>
      <vt:lpstr>'331'!OSRRefD22_12x_0</vt:lpstr>
      <vt:lpstr>'405'!OSRRefD22_12x_0</vt:lpstr>
      <vt:lpstr>'411'!OSRRefD22_12x_0</vt:lpstr>
      <vt:lpstr>'415'!OSRRefD22_12x_0</vt:lpstr>
      <vt:lpstr>'418'!OSRRefD22_12x_0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'501'!OSRRefD22_12x_0</vt:lpstr>
      <vt:lpstr>'Div 2'!OSRRefD22_12x_0</vt:lpstr>
      <vt:lpstr>'Div 3'!OSRRefD22_12x_0</vt:lpstr>
      <vt:lpstr>'Div 4'!OSRRefD22_12x_0</vt:lpstr>
      <vt:lpstr>'Div 5'!OSRRefD22_12x_0</vt:lpstr>
      <vt:lpstr>Summary!OSRRefD22_12x_0</vt:lpstr>
      <vt:lpstr>'201'!OSRRefD22_13x_0</vt:lpstr>
      <vt:lpstr>'203'!OSRRefD22_13x_0</vt:lpstr>
      <vt:lpstr>'300'!OSRRefD22_13x_0</vt:lpstr>
      <vt:lpstr>'300 &amp; 317'!OSRRefD22_13x_0</vt:lpstr>
      <vt:lpstr>'301'!OSRRefD22_13x_0</vt:lpstr>
      <vt:lpstr>'310'!OSRRefD22_13x_0</vt:lpstr>
      <vt:lpstr>'310 &amp; 491'!OSRRefD22_13x_0</vt:lpstr>
      <vt:lpstr>'315'!OSRRefD22_13x_0</vt:lpstr>
      <vt:lpstr>'325'!OSRRefD22_13x_0</vt:lpstr>
      <vt:lpstr>'326'!OSRRefD22_13x_0</vt:lpstr>
      <vt:lpstr>'331'!OSRRefD22_13x_0</vt:lpstr>
      <vt:lpstr>'405'!OSRRefD22_13x_0</vt:lpstr>
      <vt:lpstr>'411'!OSRRefD22_13x_0</vt:lpstr>
      <vt:lpstr>'415'!OSRRefD22_13x_0</vt:lpstr>
      <vt:lpstr>'418'!OSRRefD22_13x_0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'501'!OSRRefD22_13x_0</vt:lpstr>
      <vt:lpstr>'Div 2'!OSRRefD22_13x_0</vt:lpstr>
      <vt:lpstr>'Div 3'!OSRRefD22_13x_0</vt:lpstr>
      <vt:lpstr>'Div 4'!OSRRefD22_13x_0</vt:lpstr>
      <vt:lpstr>'Div 5'!OSRRefD22_13x_0</vt:lpstr>
      <vt:lpstr>Summary!OSRRefD22_13x_0</vt:lpstr>
      <vt:lpstr>'203'!OSRRefD22_14x_0</vt:lpstr>
      <vt:lpstr>'300'!OSRRefD22_14x_0</vt:lpstr>
      <vt:lpstr>'300 &amp; 317'!OSRRefD22_14x_0</vt:lpstr>
      <vt:lpstr>'301'!OSRRefD22_14x_0</vt:lpstr>
      <vt:lpstr>'310'!OSRRefD22_14x_0</vt:lpstr>
      <vt:lpstr>'310 &amp; 491'!OSRRefD22_14x_0</vt:lpstr>
      <vt:lpstr>'315'!OSRRefD22_14x_0</vt:lpstr>
      <vt:lpstr>'325'!OSRRefD22_14x_0</vt:lpstr>
      <vt:lpstr>'326'!OSRRefD22_14x_0</vt:lpstr>
      <vt:lpstr>'331'!OSRRefD22_14x_0</vt:lpstr>
      <vt:lpstr>'405'!OSRRefD22_14x_0</vt:lpstr>
      <vt:lpstr>'411'!OSRRefD22_14x_0</vt:lpstr>
      <vt:lpstr>'415'!OSRRefD22_14x_0</vt:lpstr>
      <vt:lpstr>'418'!OSRRefD22_14x_0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'315'!OSRRefD22_15x_0</vt:lpstr>
      <vt:lpstr>'326'!OSRRefD22_15x_0</vt:lpstr>
      <vt:lpstr>'331'!OSRRefD22_15x_0</vt:lpstr>
      <vt:lpstr>'405'!OSRRefD22_15x_0</vt:lpstr>
      <vt:lpstr>'415'!OSRRefD22_15x_0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'315'!OSRRefD22_16x_0</vt:lpstr>
      <vt:lpstr>'326'!OSRRefD22_16x_0</vt:lpstr>
      <vt:lpstr>'331'!OSRRefD22_16x_0</vt:lpstr>
      <vt:lpstr>'415'!OSRRefD22_16x_0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 &amp; 491'!OSRRefD22_17x_0</vt:lpstr>
      <vt:lpstr>'326'!OSRRefD22_17x_0</vt:lpstr>
      <vt:lpstr>'331'!OSRRefD22_17x_0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 &amp; 491'!OSRRefD22_18x_0</vt:lpstr>
      <vt:lpstr>'331'!OSRRefD22_18x_0</vt:lpstr>
      <vt:lpstr>'491'!OSRRefD22_18x_0</vt:lpstr>
      <vt:lpstr>'492'!OSRRefD22_18x_0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 &amp; 491'!OSRRefD22_19x_0</vt:lpstr>
      <vt:lpstr>'331'!OSRRefD22_19x_0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'315'!OSRRefD22_1x_0</vt:lpstr>
      <vt:lpstr>'316'!OSRRefD22_1x_0</vt:lpstr>
      <vt:lpstr>'317'!OSRRefD22_1x_0</vt:lpstr>
      <vt:lpstr>'321'!OSRRefD22_1x_0</vt:lpstr>
      <vt:lpstr>'325'!OSRRefD22_1x_0</vt:lpstr>
      <vt:lpstr>'326'!OSRRefD22_1x_0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'444'!OSRRefD22_1x_0</vt:lpstr>
      <vt:lpstr>'450'!OSRRefD22_1x_0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 &amp; 491'!OSRRefD22_20x_0</vt:lpstr>
      <vt:lpstr>'331'!OSRRefD22_20x_0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'301'!OSRRefD22_22x_0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'Div 3'!OSRRefD22_23x_0</vt:lpstr>
      <vt:lpstr>Summary!OSRRefD22_23x_0</vt:lpstr>
      <vt:lpstr>'300'!OSRRefD22_24x_0</vt:lpstr>
      <vt:lpstr>'300 &amp; 317'!OSRRefD22_24x_0</vt:lpstr>
      <vt:lpstr>'Div 3'!OSRRefD22_24x_0</vt:lpstr>
      <vt:lpstr>Summary!OSRRefD22_24x_0</vt:lpstr>
      <vt:lpstr>'Div 3'!OSRRefD22_25x_0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'315'!OSRRefD22_2x_0</vt:lpstr>
      <vt:lpstr>'316'!OSRRefD22_2x_0</vt:lpstr>
      <vt:lpstr>'317'!OSRRefD22_2x_0</vt:lpstr>
      <vt:lpstr>'321'!OSRRefD22_2x_0</vt:lpstr>
      <vt:lpstr>'325'!OSRRefD22_2x_0</vt:lpstr>
      <vt:lpstr>'326'!OSRRefD22_2x_0</vt:lpstr>
      <vt:lpstr>'330'!OSRRefD22_2x_0</vt:lpstr>
      <vt:lpstr>'331'!OSRRefD22_2x_0</vt:lpstr>
      <vt:lpstr>'332'!OSRRefD22_2x_0</vt:lpstr>
      <vt:lpstr>'405'!OSRRefD22_2x_0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'423'!OSRRefD22_2x_0</vt:lpstr>
      <vt:lpstr>'425'!OSRRefD22_2x_0</vt:lpstr>
      <vt:lpstr>'430'!OSRRefD22_2x_0</vt:lpstr>
      <vt:lpstr>'433'!OSRRefD22_2x_0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'315'!OSRRefD22_3x_0</vt:lpstr>
      <vt:lpstr>'316'!OSRRefD22_3x_0</vt:lpstr>
      <vt:lpstr>'317'!OSRRefD22_3x_0</vt:lpstr>
      <vt:lpstr>'321'!OSRRefD22_3x_0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'411'!OSRRefD22_3x_0</vt:lpstr>
      <vt:lpstr>'412'!OSRRefD22_3x_0</vt:lpstr>
      <vt:lpstr>'415'!OSRRefD22_3x_0</vt:lpstr>
      <vt:lpstr>'418'!OSRRefD22_3x_0</vt:lpstr>
      <vt:lpstr>'423'!OSRRefD22_3x_0</vt:lpstr>
      <vt:lpstr>'425'!OSRRefD22_3x_0</vt:lpstr>
      <vt:lpstr>'430'!OSRRefD22_3x_0</vt:lpstr>
      <vt:lpstr>'433'!OSRRefD22_3x_0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'315'!OSRRefD22_4x_0</vt:lpstr>
      <vt:lpstr>'316'!OSRRefD22_4x_0</vt:lpstr>
      <vt:lpstr>'317'!OSRRefD22_4x_0</vt:lpstr>
      <vt:lpstr>'321'!OSRRefD22_4x_0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'411'!OSRRefD22_4x_0</vt:lpstr>
      <vt:lpstr>'415'!OSRRefD22_4x_0</vt:lpstr>
      <vt:lpstr>'418'!OSRRefD22_4x_0</vt:lpstr>
      <vt:lpstr>'423'!OSRRefD22_4x_0</vt:lpstr>
      <vt:lpstr>'425'!OSRRefD22_4x_0</vt:lpstr>
      <vt:lpstr>'430'!OSRRefD22_4x_0</vt:lpstr>
      <vt:lpstr>'433'!OSRRefD22_4x_0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'307'!OSRRefD22_5x_0</vt:lpstr>
      <vt:lpstr>'308'!OSRRefD22_5x_0</vt:lpstr>
      <vt:lpstr>'310'!OSRRefD22_5x_0</vt:lpstr>
      <vt:lpstr>'310 &amp; 491'!OSRRefD22_5x_0</vt:lpstr>
      <vt:lpstr>'311'!OSRRefD22_5x_0</vt:lpstr>
      <vt:lpstr>'315'!OSRRefD22_5x_0</vt:lpstr>
      <vt:lpstr>'316'!OSRRefD22_5x_0</vt:lpstr>
      <vt:lpstr>'317'!OSRRefD22_5x_0</vt:lpstr>
      <vt:lpstr>'321'!OSRRefD22_5x_0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'411'!OSRRefD22_5x_0</vt:lpstr>
      <vt:lpstr>'415'!OSRRefD22_5x_0</vt:lpstr>
      <vt:lpstr>'418'!OSRRefD22_5x_0</vt:lpstr>
      <vt:lpstr>'423'!OSRRefD22_5x_0</vt:lpstr>
      <vt:lpstr>'425'!OSRRefD22_5x_0</vt:lpstr>
      <vt:lpstr>'430'!OSRRefD22_5x_0</vt:lpstr>
      <vt:lpstr>'433'!OSRRefD22_5x_0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'307'!OSRRefD22_6x_0</vt:lpstr>
      <vt:lpstr>'308'!OSRRefD22_6x_0</vt:lpstr>
      <vt:lpstr>'310'!OSRRefD22_6x_0</vt:lpstr>
      <vt:lpstr>'310 &amp; 491'!OSRRefD22_6x_0</vt:lpstr>
      <vt:lpstr>'311'!OSRRefD22_6x_0</vt:lpstr>
      <vt:lpstr>'315'!OSRRefD22_6x_0</vt:lpstr>
      <vt:lpstr>'316'!OSRRefD22_6x_0</vt:lpstr>
      <vt:lpstr>'317'!OSRRefD22_6x_0</vt:lpstr>
      <vt:lpstr>'321'!OSRRefD22_6x_0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'411'!OSRRefD22_6x_0</vt:lpstr>
      <vt:lpstr>'415'!OSRRefD22_6x_0</vt:lpstr>
      <vt:lpstr>'418'!OSRRefD22_6x_0</vt:lpstr>
      <vt:lpstr>'430'!OSRRefD22_6x_0</vt:lpstr>
      <vt:lpstr>'433'!OSRRefD22_6x_0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'307'!OSRRefD22_7x_0</vt:lpstr>
      <vt:lpstr>'308'!OSRRefD22_7x_0</vt:lpstr>
      <vt:lpstr>'310'!OSRRefD22_7x_0</vt:lpstr>
      <vt:lpstr>'310 &amp; 491'!OSRRefD22_7x_0</vt:lpstr>
      <vt:lpstr>'311'!OSRRefD22_7x_0</vt:lpstr>
      <vt:lpstr>'315'!OSRRefD22_7x_0</vt:lpstr>
      <vt:lpstr>'316'!OSRRefD22_7x_0</vt:lpstr>
      <vt:lpstr>'317'!OSRRefD22_7x_0</vt:lpstr>
      <vt:lpstr>'321'!OSRRefD22_7x_0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'411'!OSRRefD22_7x_0</vt:lpstr>
      <vt:lpstr>'415'!OSRRefD22_7x_0</vt:lpstr>
      <vt:lpstr>'418'!OSRRefD22_7x_0</vt:lpstr>
      <vt:lpstr>'430'!OSRRefD22_7x_0</vt:lpstr>
      <vt:lpstr>'433'!OSRRefD22_7x_0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'300'!OSRRefD22_8x_0</vt:lpstr>
      <vt:lpstr>'300 &amp; 317'!OSRRefD22_8x_0</vt:lpstr>
      <vt:lpstr>'301'!OSRRefD22_8x_0</vt:lpstr>
      <vt:lpstr>'307'!OSRRefD22_8x_0</vt:lpstr>
      <vt:lpstr>'308'!OSRRefD22_8x_0</vt:lpstr>
      <vt:lpstr>'310'!OSRRefD22_8x_0</vt:lpstr>
      <vt:lpstr>'310 &amp; 491'!OSRRefD22_8x_0</vt:lpstr>
      <vt:lpstr>'311'!OSRRefD22_8x_0</vt:lpstr>
      <vt:lpstr>'315'!OSRRefD22_8x_0</vt:lpstr>
      <vt:lpstr>'316'!OSRRefD22_8x_0</vt:lpstr>
      <vt:lpstr>'317'!OSRRefD22_8x_0</vt:lpstr>
      <vt:lpstr>'321'!OSRRefD22_8x_0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'411'!OSRRefD22_8x_0</vt:lpstr>
      <vt:lpstr>'415'!OSRRefD22_8x_0</vt:lpstr>
      <vt:lpstr>'418'!OSRRefD22_8x_0</vt:lpstr>
      <vt:lpstr>'430'!OSRRefD22_8x_0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'300'!OSRRefD22_9x_0</vt:lpstr>
      <vt:lpstr>'300 &amp; 317'!OSRRefD22_9x_0</vt:lpstr>
      <vt:lpstr>'301'!OSRRefD22_9x_0</vt:lpstr>
      <vt:lpstr>'307'!OSRRefD22_9x_0</vt:lpstr>
      <vt:lpstr>'308'!OSRRefD22_9x_0</vt:lpstr>
      <vt:lpstr>'310'!OSRRefD22_9x_0</vt:lpstr>
      <vt:lpstr>'310 &amp; 491'!OSRRefD22_9x_0</vt:lpstr>
      <vt:lpstr>'311'!OSRRefD22_9x_0</vt:lpstr>
      <vt:lpstr>'315'!OSRRefD22_9x_0</vt:lpstr>
      <vt:lpstr>'316'!OSRRefD22_9x_0</vt:lpstr>
      <vt:lpstr>'317'!OSRRefD22_9x_0</vt:lpstr>
      <vt:lpstr>'321'!OSRRefD22_9x_0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'411'!OSRRefD22_9x_0</vt:lpstr>
      <vt:lpstr>'415'!OSRRefD22_9x_0</vt:lpstr>
      <vt:lpstr>'418'!OSRRefD22_9x_0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'315'!OSRRefD22x_0</vt:lpstr>
      <vt:lpstr>'316'!OSRRefD22x_0</vt:lpstr>
      <vt:lpstr>'317'!OSRRefD22x_0</vt:lpstr>
      <vt:lpstr>'321'!OSRRefD22x_0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'423'!OSRRefD22x_0</vt:lpstr>
      <vt:lpstr>'424'!OSRRefD22x_0</vt:lpstr>
      <vt:lpstr>'425'!OSRRefD22x_0</vt:lpstr>
      <vt:lpstr>'430'!OSRRefD22x_0</vt:lpstr>
      <vt:lpstr>'433'!OSRRefD22x_0</vt:lpstr>
      <vt:lpstr>'444'!OSRRefD22x_0</vt:lpstr>
      <vt:lpstr>'450'!OSRRefD22x_0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'331'!OSRRefD25x_0</vt:lpstr>
      <vt:lpstr>'332'!OSRRefD25x_0</vt:lpstr>
      <vt:lpstr>'405'!OSRRefD25x_0</vt:lpstr>
      <vt:lpstr>'411'!OSRRefD25x_0</vt:lpstr>
      <vt:lpstr>'415'!OSRRefD25x_0</vt:lpstr>
      <vt:lpstr>'418'!OSRRefD25x_0</vt:lpstr>
      <vt:lpstr>'423'!OSRRefD25x_0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'307'!OSRRefH13x_0</vt:lpstr>
      <vt:lpstr>'308'!OSRRefH13x_0</vt:lpstr>
      <vt:lpstr>'310'!OSRRefH13x_0</vt:lpstr>
      <vt:lpstr>'310 &amp; 491'!OSRRefH13x_0</vt:lpstr>
      <vt:lpstr>'311'!OSRRefH13x_0</vt:lpstr>
      <vt:lpstr>'315'!OSRRefH13x_0</vt:lpstr>
      <vt:lpstr>'316'!OSRRefH13x_0</vt:lpstr>
      <vt:lpstr>'317'!OSRRefH13x_0</vt:lpstr>
      <vt:lpstr>'321'!OSRRefH13x_0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'415'!OSRRefH13x_0</vt:lpstr>
      <vt:lpstr>'418'!OSRRefH13x_0</vt:lpstr>
      <vt:lpstr>'425'!OSRRefH13x_0</vt:lpstr>
      <vt:lpstr>'433'!OSRRefH13x_0</vt:lpstr>
      <vt:lpstr>'444'!OSRRefH13x_0</vt:lpstr>
      <vt:lpstr>'450'!OSRRefH13x_0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'301'!OSRRefH16x_0</vt:lpstr>
      <vt:lpstr>'307'!OSRRefH16x_0</vt:lpstr>
      <vt:lpstr>'308'!OSRRefH16x_0</vt:lpstr>
      <vt:lpstr>'310'!OSRRefH16x_0</vt:lpstr>
      <vt:lpstr>'310 &amp; 491'!OSRRefH16x_0</vt:lpstr>
      <vt:lpstr>'311'!OSRRefH16x_0</vt:lpstr>
      <vt:lpstr>'315'!OSRRefH16x_0</vt:lpstr>
      <vt:lpstr>'316'!OSRRefH16x_0</vt:lpstr>
      <vt:lpstr>'317'!OSRRefH16x_0</vt:lpstr>
      <vt:lpstr>'321'!OSRRefH16x_0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'332'!OSRRefH16x_0</vt:lpstr>
      <vt:lpstr>'405'!OSRRefH16x_0</vt:lpstr>
      <vt:lpstr>'415'!OSRRefH16x_0</vt:lpstr>
      <vt:lpstr>'418'!OSRRefH16x_0</vt:lpstr>
      <vt:lpstr>'425'!OSRRefH16x_0</vt:lpstr>
      <vt:lpstr>'433'!OSRRefH16x_0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'315'!OSRRefH22_0x_0</vt:lpstr>
      <vt:lpstr>'316'!OSRRefH22_0x_0</vt:lpstr>
      <vt:lpstr>'317'!OSRRefH22_0x_0</vt:lpstr>
      <vt:lpstr>'321'!OSRRefH22_0x_0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'444'!OSRRefH22_0x_0</vt:lpstr>
      <vt:lpstr>'450'!OSRRefH22_0x_0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'300'!OSRRefH22_10x_0</vt:lpstr>
      <vt:lpstr>'300 &amp; 317'!OSRRefH22_10x_0</vt:lpstr>
      <vt:lpstr>'301'!OSRRefH22_10x_0</vt:lpstr>
      <vt:lpstr>'307'!OSRRefH22_10x_0</vt:lpstr>
      <vt:lpstr>'308'!OSRRefH22_10x_0</vt:lpstr>
      <vt:lpstr>'310'!OSRRefH22_10x_0</vt:lpstr>
      <vt:lpstr>'310 &amp; 491'!OSRRefH22_10x_0</vt:lpstr>
      <vt:lpstr>'311'!OSRRefH22_10x_0</vt:lpstr>
      <vt:lpstr>'315'!OSRRefH22_10x_0</vt:lpstr>
      <vt:lpstr>'316'!OSRRefH22_10x_0</vt:lpstr>
      <vt:lpstr>'321'!OSRRefH22_10x_0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'411'!OSRRefH22_10x_0</vt:lpstr>
      <vt:lpstr>'415'!OSRRefH22_10x_0</vt:lpstr>
      <vt:lpstr>'418'!OSRRefH22_10x_0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Summary!OSRRefH22_10x_0</vt:lpstr>
      <vt:lpstr>'201'!OSRRefH22_11x_0</vt:lpstr>
      <vt:lpstr>'202'!OSRRefH22_11x_0</vt:lpstr>
      <vt:lpstr>'203'!OSRRefH22_11x_0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'310'!OSRRefH22_11x_0</vt:lpstr>
      <vt:lpstr>'310 &amp; 491'!OSRRefH22_11x_0</vt:lpstr>
      <vt:lpstr>'311'!OSRRefH22_11x_0</vt:lpstr>
      <vt:lpstr>'315'!OSRRefH22_11x_0</vt:lpstr>
      <vt:lpstr>'321'!OSRRefH22_11x_0</vt:lpstr>
      <vt:lpstr>'325'!OSRRefH22_11x_0</vt:lpstr>
      <vt:lpstr>'326'!OSRRefH22_11x_0</vt:lpstr>
      <vt:lpstr>'330'!OSRRefH22_11x_0</vt:lpstr>
      <vt:lpstr>'331'!OSRRefH22_11x_0</vt:lpstr>
      <vt:lpstr>'405'!OSRRefH22_11x_0</vt:lpstr>
      <vt:lpstr>'411'!OSRRefH22_11x_0</vt:lpstr>
      <vt:lpstr>'415'!OSRRefH22_11x_0</vt:lpstr>
      <vt:lpstr>'418'!OSRRefH22_11x_0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Summary!OSRRefH22_11x_0</vt:lpstr>
      <vt:lpstr>'201'!OSRRefH22_12x_0</vt:lpstr>
      <vt:lpstr>'203'!OSRRefH22_12x_0</vt:lpstr>
      <vt:lpstr>'300'!OSRRefH22_12x_0</vt:lpstr>
      <vt:lpstr>'300 &amp; 317'!OSRRefH22_12x_0</vt:lpstr>
      <vt:lpstr>'301'!OSRRefH22_12x_0</vt:lpstr>
      <vt:lpstr>'307'!OSRRefH22_12x_0</vt:lpstr>
      <vt:lpstr>'308'!OSRRefH22_12x_0</vt:lpstr>
      <vt:lpstr>'310'!OSRRefH22_12x_0</vt:lpstr>
      <vt:lpstr>'310 &amp; 491'!OSRRefH22_12x_0</vt:lpstr>
      <vt:lpstr>'311'!OSRRefH22_12x_0</vt:lpstr>
      <vt:lpstr>'315'!OSRRefH22_12x_0</vt:lpstr>
      <vt:lpstr>'325'!OSRRefH22_12x_0</vt:lpstr>
      <vt:lpstr>'326'!OSRRefH22_12x_0</vt:lpstr>
      <vt:lpstr>'330'!OSRRefH22_12x_0</vt:lpstr>
      <vt:lpstr>'331'!OSRRefH22_12x_0</vt:lpstr>
      <vt:lpstr>'405'!OSRRefH22_12x_0</vt:lpstr>
      <vt:lpstr>'411'!OSRRefH22_12x_0</vt:lpstr>
      <vt:lpstr>'415'!OSRRefH22_12x_0</vt:lpstr>
      <vt:lpstr>'418'!OSRRefH22_12x_0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'501'!OSRRefH22_12x_0</vt:lpstr>
      <vt:lpstr>'Div 2'!OSRRefH22_12x_0</vt:lpstr>
      <vt:lpstr>'Div 3'!OSRRefH22_12x_0</vt:lpstr>
      <vt:lpstr>'Div 4'!OSRRefH22_12x_0</vt:lpstr>
      <vt:lpstr>'Div 5'!OSRRefH22_12x_0</vt:lpstr>
      <vt:lpstr>Summary!OSRRefH22_12x_0</vt:lpstr>
      <vt:lpstr>'201'!OSRRefH22_13x_0</vt:lpstr>
      <vt:lpstr>'203'!OSRRefH22_13x_0</vt:lpstr>
      <vt:lpstr>'300'!OSRRefH22_13x_0</vt:lpstr>
      <vt:lpstr>'300 &amp; 317'!OSRRefH22_13x_0</vt:lpstr>
      <vt:lpstr>'301'!OSRRefH22_13x_0</vt:lpstr>
      <vt:lpstr>'310'!OSRRefH22_13x_0</vt:lpstr>
      <vt:lpstr>'310 &amp; 491'!OSRRefH22_13x_0</vt:lpstr>
      <vt:lpstr>'315'!OSRRefH22_13x_0</vt:lpstr>
      <vt:lpstr>'325'!OSRRefH22_13x_0</vt:lpstr>
      <vt:lpstr>'326'!OSRRefH22_13x_0</vt:lpstr>
      <vt:lpstr>'331'!OSRRefH22_13x_0</vt:lpstr>
      <vt:lpstr>'405'!OSRRefH22_13x_0</vt:lpstr>
      <vt:lpstr>'411'!OSRRefH22_13x_0</vt:lpstr>
      <vt:lpstr>'415'!OSRRefH22_13x_0</vt:lpstr>
      <vt:lpstr>'418'!OSRRefH22_13x_0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'501'!OSRRefH22_13x_0</vt:lpstr>
      <vt:lpstr>'Div 2'!OSRRefH22_13x_0</vt:lpstr>
      <vt:lpstr>'Div 3'!OSRRefH22_13x_0</vt:lpstr>
      <vt:lpstr>'Div 4'!OSRRefH22_13x_0</vt:lpstr>
      <vt:lpstr>'Div 5'!OSRRefH22_13x_0</vt:lpstr>
      <vt:lpstr>Summary!OSRRefH22_13x_0</vt:lpstr>
      <vt:lpstr>'203'!OSRRefH22_14x_0</vt:lpstr>
      <vt:lpstr>'300'!OSRRefH22_14x_0</vt:lpstr>
      <vt:lpstr>'300 &amp; 317'!OSRRefH22_14x_0</vt:lpstr>
      <vt:lpstr>'301'!OSRRefH22_14x_0</vt:lpstr>
      <vt:lpstr>'310'!OSRRefH22_14x_0</vt:lpstr>
      <vt:lpstr>'310 &amp; 491'!OSRRefH22_14x_0</vt:lpstr>
      <vt:lpstr>'315'!OSRRefH22_14x_0</vt:lpstr>
      <vt:lpstr>'325'!OSRRefH22_14x_0</vt:lpstr>
      <vt:lpstr>'326'!OSRRefH22_14x_0</vt:lpstr>
      <vt:lpstr>'331'!OSRRefH22_14x_0</vt:lpstr>
      <vt:lpstr>'405'!OSRRefH22_14x_0</vt:lpstr>
      <vt:lpstr>'411'!OSRRefH22_14x_0</vt:lpstr>
      <vt:lpstr>'415'!OSRRefH22_14x_0</vt:lpstr>
      <vt:lpstr>'418'!OSRRefH22_14x_0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'315'!OSRRefH22_15x_0</vt:lpstr>
      <vt:lpstr>'326'!OSRRefH22_15x_0</vt:lpstr>
      <vt:lpstr>'331'!OSRRefH22_15x_0</vt:lpstr>
      <vt:lpstr>'405'!OSRRefH22_15x_0</vt:lpstr>
      <vt:lpstr>'415'!OSRRefH22_15x_0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'315'!OSRRefH22_16x_0</vt:lpstr>
      <vt:lpstr>'326'!OSRRefH22_16x_0</vt:lpstr>
      <vt:lpstr>'331'!OSRRefH22_16x_0</vt:lpstr>
      <vt:lpstr>'415'!OSRRefH22_16x_0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 &amp; 491'!OSRRefH22_17x_0</vt:lpstr>
      <vt:lpstr>'326'!OSRRefH22_17x_0</vt:lpstr>
      <vt:lpstr>'331'!OSRRefH22_17x_0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 &amp; 491'!OSRRefH22_18x_0</vt:lpstr>
      <vt:lpstr>'331'!OSRRefH22_18x_0</vt:lpstr>
      <vt:lpstr>'491'!OSRRefH22_18x_0</vt:lpstr>
      <vt:lpstr>'492'!OSRRefH22_18x_0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 &amp; 491'!OSRRefH22_19x_0</vt:lpstr>
      <vt:lpstr>'331'!OSRRefH22_19x_0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'315'!OSRRefH22_1x_0</vt:lpstr>
      <vt:lpstr>'316'!OSRRefH22_1x_0</vt:lpstr>
      <vt:lpstr>'317'!OSRRefH22_1x_0</vt:lpstr>
      <vt:lpstr>'321'!OSRRefH22_1x_0</vt:lpstr>
      <vt:lpstr>'325'!OSRRefH22_1x_0</vt:lpstr>
      <vt:lpstr>'326'!OSRRefH22_1x_0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'444'!OSRRefH22_1x_0</vt:lpstr>
      <vt:lpstr>'450'!OSRRefH22_1x_0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 &amp; 491'!OSRRefH22_20x_0</vt:lpstr>
      <vt:lpstr>'331'!OSRRefH22_20x_0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'301'!OSRRefH22_22x_0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'Div 3'!OSRRefH22_23x_0</vt:lpstr>
      <vt:lpstr>Summary!OSRRefH22_23x_0</vt:lpstr>
      <vt:lpstr>'300'!OSRRefH22_24x_0</vt:lpstr>
      <vt:lpstr>'300 &amp; 317'!OSRRefH22_24x_0</vt:lpstr>
      <vt:lpstr>'Div 3'!OSRRefH22_24x_0</vt:lpstr>
      <vt:lpstr>Summary!OSRRefH22_24x_0</vt:lpstr>
      <vt:lpstr>'Div 3'!OSRRefH22_25x_0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'315'!OSRRefH22_2x_0</vt:lpstr>
      <vt:lpstr>'316'!OSRRefH22_2x_0</vt:lpstr>
      <vt:lpstr>'317'!OSRRefH22_2x_0</vt:lpstr>
      <vt:lpstr>'321'!OSRRefH22_2x_0</vt:lpstr>
      <vt:lpstr>'325'!OSRRefH22_2x_0</vt:lpstr>
      <vt:lpstr>'326'!OSRRefH22_2x_0</vt:lpstr>
      <vt:lpstr>'330'!OSRRefH22_2x_0</vt:lpstr>
      <vt:lpstr>'331'!OSRRefH22_2x_0</vt:lpstr>
      <vt:lpstr>'332'!OSRRefH22_2x_0</vt:lpstr>
      <vt:lpstr>'405'!OSRRefH22_2x_0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'423'!OSRRefH22_2x_0</vt:lpstr>
      <vt:lpstr>'425'!OSRRefH22_2x_0</vt:lpstr>
      <vt:lpstr>'430'!OSRRefH22_2x_0</vt:lpstr>
      <vt:lpstr>'433'!OSRRefH22_2x_0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'315'!OSRRefH22_3x_0</vt:lpstr>
      <vt:lpstr>'316'!OSRRefH22_3x_0</vt:lpstr>
      <vt:lpstr>'317'!OSRRefH22_3x_0</vt:lpstr>
      <vt:lpstr>'321'!OSRRefH22_3x_0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'411'!OSRRefH22_3x_0</vt:lpstr>
      <vt:lpstr>'412'!OSRRefH22_3x_0</vt:lpstr>
      <vt:lpstr>'415'!OSRRefH22_3x_0</vt:lpstr>
      <vt:lpstr>'418'!OSRRefH22_3x_0</vt:lpstr>
      <vt:lpstr>'423'!OSRRefH22_3x_0</vt:lpstr>
      <vt:lpstr>'425'!OSRRefH22_3x_0</vt:lpstr>
      <vt:lpstr>'430'!OSRRefH22_3x_0</vt:lpstr>
      <vt:lpstr>'433'!OSRRefH22_3x_0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'315'!OSRRefH22_4x_0</vt:lpstr>
      <vt:lpstr>'316'!OSRRefH22_4x_0</vt:lpstr>
      <vt:lpstr>'317'!OSRRefH22_4x_0</vt:lpstr>
      <vt:lpstr>'321'!OSRRefH22_4x_0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'411'!OSRRefH22_4x_0</vt:lpstr>
      <vt:lpstr>'415'!OSRRefH22_4x_0</vt:lpstr>
      <vt:lpstr>'418'!OSRRefH22_4x_0</vt:lpstr>
      <vt:lpstr>'423'!OSRRefH22_4x_0</vt:lpstr>
      <vt:lpstr>'425'!OSRRefH22_4x_0</vt:lpstr>
      <vt:lpstr>'430'!OSRRefH22_4x_0</vt:lpstr>
      <vt:lpstr>'433'!OSRRefH22_4x_0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'307'!OSRRefH22_5x_0</vt:lpstr>
      <vt:lpstr>'308'!OSRRefH22_5x_0</vt:lpstr>
      <vt:lpstr>'310'!OSRRefH22_5x_0</vt:lpstr>
      <vt:lpstr>'310 &amp; 491'!OSRRefH22_5x_0</vt:lpstr>
      <vt:lpstr>'311'!OSRRefH22_5x_0</vt:lpstr>
      <vt:lpstr>'315'!OSRRefH22_5x_0</vt:lpstr>
      <vt:lpstr>'316'!OSRRefH22_5x_0</vt:lpstr>
      <vt:lpstr>'317'!OSRRefH22_5x_0</vt:lpstr>
      <vt:lpstr>'321'!OSRRefH22_5x_0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'411'!OSRRefH22_5x_0</vt:lpstr>
      <vt:lpstr>'415'!OSRRefH22_5x_0</vt:lpstr>
      <vt:lpstr>'418'!OSRRefH22_5x_0</vt:lpstr>
      <vt:lpstr>'423'!OSRRefH22_5x_0</vt:lpstr>
      <vt:lpstr>'425'!OSRRefH22_5x_0</vt:lpstr>
      <vt:lpstr>'430'!OSRRefH22_5x_0</vt:lpstr>
      <vt:lpstr>'433'!OSRRefH22_5x_0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'307'!OSRRefH22_6x_0</vt:lpstr>
      <vt:lpstr>'308'!OSRRefH22_6x_0</vt:lpstr>
      <vt:lpstr>'310'!OSRRefH22_6x_0</vt:lpstr>
      <vt:lpstr>'310 &amp; 491'!OSRRefH22_6x_0</vt:lpstr>
      <vt:lpstr>'311'!OSRRefH22_6x_0</vt:lpstr>
      <vt:lpstr>'315'!OSRRefH22_6x_0</vt:lpstr>
      <vt:lpstr>'316'!OSRRefH22_6x_0</vt:lpstr>
      <vt:lpstr>'317'!OSRRefH22_6x_0</vt:lpstr>
      <vt:lpstr>'321'!OSRRefH22_6x_0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'411'!OSRRefH22_6x_0</vt:lpstr>
      <vt:lpstr>'415'!OSRRefH22_6x_0</vt:lpstr>
      <vt:lpstr>'418'!OSRRefH22_6x_0</vt:lpstr>
      <vt:lpstr>'430'!OSRRefH22_6x_0</vt:lpstr>
      <vt:lpstr>'433'!OSRRefH22_6x_0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'307'!OSRRefH22_7x_0</vt:lpstr>
      <vt:lpstr>'308'!OSRRefH22_7x_0</vt:lpstr>
      <vt:lpstr>'310'!OSRRefH22_7x_0</vt:lpstr>
      <vt:lpstr>'310 &amp; 491'!OSRRefH22_7x_0</vt:lpstr>
      <vt:lpstr>'311'!OSRRefH22_7x_0</vt:lpstr>
      <vt:lpstr>'315'!OSRRefH22_7x_0</vt:lpstr>
      <vt:lpstr>'316'!OSRRefH22_7x_0</vt:lpstr>
      <vt:lpstr>'317'!OSRRefH22_7x_0</vt:lpstr>
      <vt:lpstr>'321'!OSRRefH22_7x_0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'411'!OSRRefH22_7x_0</vt:lpstr>
      <vt:lpstr>'415'!OSRRefH22_7x_0</vt:lpstr>
      <vt:lpstr>'418'!OSRRefH22_7x_0</vt:lpstr>
      <vt:lpstr>'430'!OSRRefH22_7x_0</vt:lpstr>
      <vt:lpstr>'433'!OSRRefH22_7x_0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'300'!OSRRefH22_8x_0</vt:lpstr>
      <vt:lpstr>'300 &amp; 317'!OSRRefH22_8x_0</vt:lpstr>
      <vt:lpstr>'301'!OSRRefH22_8x_0</vt:lpstr>
      <vt:lpstr>'307'!OSRRefH22_8x_0</vt:lpstr>
      <vt:lpstr>'308'!OSRRefH22_8x_0</vt:lpstr>
      <vt:lpstr>'310'!OSRRefH22_8x_0</vt:lpstr>
      <vt:lpstr>'310 &amp; 491'!OSRRefH22_8x_0</vt:lpstr>
      <vt:lpstr>'311'!OSRRefH22_8x_0</vt:lpstr>
      <vt:lpstr>'315'!OSRRefH22_8x_0</vt:lpstr>
      <vt:lpstr>'316'!OSRRefH22_8x_0</vt:lpstr>
      <vt:lpstr>'317'!OSRRefH22_8x_0</vt:lpstr>
      <vt:lpstr>'321'!OSRRefH22_8x_0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'411'!OSRRefH22_8x_0</vt:lpstr>
      <vt:lpstr>'415'!OSRRefH22_8x_0</vt:lpstr>
      <vt:lpstr>'418'!OSRRefH22_8x_0</vt:lpstr>
      <vt:lpstr>'430'!OSRRefH22_8x_0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'300'!OSRRefH22_9x_0</vt:lpstr>
      <vt:lpstr>'300 &amp; 317'!OSRRefH22_9x_0</vt:lpstr>
      <vt:lpstr>'301'!OSRRefH22_9x_0</vt:lpstr>
      <vt:lpstr>'307'!OSRRefH22_9x_0</vt:lpstr>
      <vt:lpstr>'308'!OSRRefH22_9x_0</vt:lpstr>
      <vt:lpstr>'310'!OSRRefH22_9x_0</vt:lpstr>
      <vt:lpstr>'310 &amp; 491'!OSRRefH22_9x_0</vt:lpstr>
      <vt:lpstr>'311'!OSRRefH22_9x_0</vt:lpstr>
      <vt:lpstr>'315'!OSRRefH22_9x_0</vt:lpstr>
      <vt:lpstr>'316'!OSRRefH22_9x_0</vt:lpstr>
      <vt:lpstr>'317'!OSRRefH22_9x_0</vt:lpstr>
      <vt:lpstr>'321'!OSRRefH22_9x_0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'411'!OSRRefH22_9x_0</vt:lpstr>
      <vt:lpstr>'415'!OSRRefH22_9x_0</vt:lpstr>
      <vt:lpstr>'418'!OSRRefH22_9x_0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'315'!OSRRefH22x_0</vt:lpstr>
      <vt:lpstr>'316'!OSRRefH22x_0</vt:lpstr>
      <vt:lpstr>'317'!OSRRefH22x_0</vt:lpstr>
      <vt:lpstr>'321'!OSRRefH22x_0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'423'!OSRRefH22x_0</vt:lpstr>
      <vt:lpstr>'424'!OSRRefH22x_0</vt:lpstr>
      <vt:lpstr>'425'!OSRRefH22x_0</vt:lpstr>
      <vt:lpstr>'430'!OSRRefH22x_0</vt:lpstr>
      <vt:lpstr>'433'!OSRRefH22x_0</vt:lpstr>
      <vt:lpstr>'444'!OSRRefH22x_0</vt:lpstr>
      <vt:lpstr>'450'!OSRRefH22x_0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'331'!OSRRefH25x_0</vt:lpstr>
      <vt:lpstr>'332'!OSRRefH25x_0</vt:lpstr>
      <vt:lpstr>'405'!OSRRefH25x_0</vt:lpstr>
      <vt:lpstr>'411'!OSRRefH25x_0</vt:lpstr>
      <vt:lpstr>'415'!OSRRefH25x_0</vt:lpstr>
      <vt:lpstr>'418'!OSRRefH25x_0</vt:lpstr>
      <vt:lpstr>'423'!OSRRefH25x_0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'307'!OSRRefP13x_0</vt:lpstr>
      <vt:lpstr>'308'!OSRRefP13x_0</vt:lpstr>
      <vt:lpstr>'310'!OSRRefP13x_0</vt:lpstr>
      <vt:lpstr>'310 &amp; 491'!OSRRefP13x_0</vt:lpstr>
      <vt:lpstr>'311'!OSRRefP13x_0</vt:lpstr>
      <vt:lpstr>'315'!OSRRefP13x_0</vt:lpstr>
      <vt:lpstr>'316'!OSRRefP13x_0</vt:lpstr>
      <vt:lpstr>'317'!OSRRefP13x_0</vt:lpstr>
      <vt:lpstr>'321'!OSRRefP13x_0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'415'!OSRRefP13x_0</vt:lpstr>
      <vt:lpstr>'418'!OSRRefP13x_0</vt:lpstr>
      <vt:lpstr>'425'!OSRRefP13x_0</vt:lpstr>
      <vt:lpstr>'433'!OSRRefP13x_0</vt:lpstr>
      <vt:lpstr>'444'!OSRRefP13x_0</vt:lpstr>
      <vt:lpstr>'450'!OSRRefP13x_0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'301'!OSRRefP16x_0</vt:lpstr>
      <vt:lpstr>'307'!OSRRefP16x_0</vt:lpstr>
      <vt:lpstr>'308'!OSRRefP16x_0</vt:lpstr>
      <vt:lpstr>'310'!OSRRefP16x_0</vt:lpstr>
      <vt:lpstr>'310 &amp; 491'!OSRRefP16x_0</vt:lpstr>
      <vt:lpstr>'311'!OSRRefP16x_0</vt:lpstr>
      <vt:lpstr>'315'!OSRRefP16x_0</vt:lpstr>
      <vt:lpstr>'316'!OSRRefP16x_0</vt:lpstr>
      <vt:lpstr>'317'!OSRRefP16x_0</vt:lpstr>
      <vt:lpstr>'321'!OSRRefP16x_0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'332'!OSRRefP16x_0</vt:lpstr>
      <vt:lpstr>'405'!OSRRefP16x_0</vt:lpstr>
      <vt:lpstr>'415'!OSRRefP16x_0</vt:lpstr>
      <vt:lpstr>'418'!OSRRefP16x_0</vt:lpstr>
      <vt:lpstr>'425'!OSRRefP16x_0</vt:lpstr>
      <vt:lpstr>'433'!OSRRefP16x_0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'315'!OSRRefP22_0x_0</vt:lpstr>
      <vt:lpstr>'316'!OSRRefP22_0x_0</vt:lpstr>
      <vt:lpstr>'317'!OSRRefP22_0x_0</vt:lpstr>
      <vt:lpstr>'321'!OSRRefP22_0x_0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'444'!OSRRefP22_0x_0</vt:lpstr>
      <vt:lpstr>'450'!OSRRefP22_0x_0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'300'!OSRRefP22_10x_0</vt:lpstr>
      <vt:lpstr>'300 &amp; 317'!OSRRefP22_10x_0</vt:lpstr>
      <vt:lpstr>'301'!OSRRefP22_10x_0</vt:lpstr>
      <vt:lpstr>'307'!OSRRefP22_10x_0</vt:lpstr>
      <vt:lpstr>'308'!OSRRefP22_10x_0</vt:lpstr>
      <vt:lpstr>'310'!OSRRefP22_10x_0</vt:lpstr>
      <vt:lpstr>'310 &amp; 491'!OSRRefP22_10x_0</vt:lpstr>
      <vt:lpstr>'311'!OSRRefP22_10x_0</vt:lpstr>
      <vt:lpstr>'315'!OSRRefP22_10x_0</vt:lpstr>
      <vt:lpstr>'316'!OSRRefP22_10x_0</vt:lpstr>
      <vt:lpstr>'321'!OSRRefP22_10x_0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'411'!OSRRefP22_10x_0</vt:lpstr>
      <vt:lpstr>'415'!OSRRefP22_10x_0</vt:lpstr>
      <vt:lpstr>'418'!OSRRefP22_10x_0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Summary!OSRRefP22_10x_0</vt:lpstr>
      <vt:lpstr>'201'!OSRRefP22_11x_0</vt:lpstr>
      <vt:lpstr>'202'!OSRRefP22_11x_0</vt:lpstr>
      <vt:lpstr>'203'!OSRRefP22_11x_0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'310'!OSRRefP22_11x_0</vt:lpstr>
      <vt:lpstr>'310 &amp; 491'!OSRRefP22_11x_0</vt:lpstr>
      <vt:lpstr>'311'!OSRRefP22_11x_0</vt:lpstr>
      <vt:lpstr>'315'!OSRRefP22_11x_0</vt:lpstr>
      <vt:lpstr>'321'!OSRRefP22_11x_0</vt:lpstr>
      <vt:lpstr>'325'!OSRRefP22_11x_0</vt:lpstr>
      <vt:lpstr>'326'!OSRRefP22_11x_0</vt:lpstr>
      <vt:lpstr>'330'!OSRRefP22_11x_0</vt:lpstr>
      <vt:lpstr>'331'!OSRRefP22_11x_0</vt:lpstr>
      <vt:lpstr>'405'!OSRRefP22_11x_0</vt:lpstr>
      <vt:lpstr>'411'!OSRRefP22_11x_0</vt:lpstr>
      <vt:lpstr>'415'!OSRRefP22_11x_0</vt:lpstr>
      <vt:lpstr>'418'!OSRRefP22_11x_0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Summary!OSRRefP22_11x_0</vt:lpstr>
      <vt:lpstr>'201'!OSRRefP22_12x_0</vt:lpstr>
      <vt:lpstr>'203'!OSRRefP22_12x_0</vt:lpstr>
      <vt:lpstr>'300'!OSRRefP22_12x_0</vt:lpstr>
      <vt:lpstr>'300 &amp; 317'!OSRRefP22_12x_0</vt:lpstr>
      <vt:lpstr>'301'!OSRRefP22_12x_0</vt:lpstr>
      <vt:lpstr>'307'!OSRRefP22_12x_0</vt:lpstr>
      <vt:lpstr>'308'!OSRRefP22_12x_0</vt:lpstr>
      <vt:lpstr>'310'!OSRRefP22_12x_0</vt:lpstr>
      <vt:lpstr>'310 &amp; 491'!OSRRefP22_12x_0</vt:lpstr>
      <vt:lpstr>'311'!OSRRefP22_12x_0</vt:lpstr>
      <vt:lpstr>'315'!OSRRefP22_12x_0</vt:lpstr>
      <vt:lpstr>'325'!OSRRefP22_12x_0</vt:lpstr>
      <vt:lpstr>'326'!OSRRefP22_12x_0</vt:lpstr>
      <vt:lpstr>'330'!OSRRefP22_12x_0</vt:lpstr>
      <vt:lpstr>'331'!OSRRefP22_12x_0</vt:lpstr>
      <vt:lpstr>'405'!OSRRefP22_12x_0</vt:lpstr>
      <vt:lpstr>'411'!OSRRefP22_12x_0</vt:lpstr>
      <vt:lpstr>'415'!OSRRefP22_12x_0</vt:lpstr>
      <vt:lpstr>'418'!OSRRefP22_12x_0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'501'!OSRRefP22_12x_0</vt:lpstr>
      <vt:lpstr>'Div 2'!OSRRefP22_12x_0</vt:lpstr>
      <vt:lpstr>'Div 3'!OSRRefP22_12x_0</vt:lpstr>
      <vt:lpstr>'Div 4'!OSRRefP22_12x_0</vt:lpstr>
      <vt:lpstr>'Div 5'!OSRRefP22_12x_0</vt:lpstr>
      <vt:lpstr>Summary!OSRRefP22_12x_0</vt:lpstr>
      <vt:lpstr>'201'!OSRRefP22_13x_0</vt:lpstr>
      <vt:lpstr>'203'!OSRRefP22_13x_0</vt:lpstr>
      <vt:lpstr>'300'!OSRRefP22_13x_0</vt:lpstr>
      <vt:lpstr>'300 &amp; 317'!OSRRefP22_13x_0</vt:lpstr>
      <vt:lpstr>'301'!OSRRefP22_13x_0</vt:lpstr>
      <vt:lpstr>'310'!OSRRefP22_13x_0</vt:lpstr>
      <vt:lpstr>'310 &amp; 491'!OSRRefP22_13x_0</vt:lpstr>
      <vt:lpstr>'315'!OSRRefP22_13x_0</vt:lpstr>
      <vt:lpstr>'325'!OSRRefP22_13x_0</vt:lpstr>
      <vt:lpstr>'326'!OSRRefP22_13x_0</vt:lpstr>
      <vt:lpstr>'331'!OSRRefP22_13x_0</vt:lpstr>
      <vt:lpstr>'405'!OSRRefP22_13x_0</vt:lpstr>
      <vt:lpstr>'411'!OSRRefP22_13x_0</vt:lpstr>
      <vt:lpstr>'415'!OSRRefP22_13x_0</vt:lpstr>
      <vt:lpstr>'418'!OSRRefP22_13x_0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'501'!OSRRefP22_13x_0</vt:lpstr>
      <vt:lpstr>'Div 2'!OSRRefP22_13x_0</vt:lpstr>
      <vt:lpstr>'Div 3'!OSRRefP22_13x_0</vt:lpstr>
      <vt:lpstr>'Div 4'!OSRRefP22_13x_0</vt:lpstr>
      <vt:lpstr>'Div 5'!OSRRefP22_13x_0</vt:lpstr>
      <vt:lpstr>Summary!OSRRefP22_13x_0</vt:lpstr>
      <vt:lpstr>'203'!OSRRefP22_14x_0</vt:lpstr>
      <vt:lpstr>'300'!OSRRefP22_14x_0</vt:lpstr>
      <vt:lpstr>'300 &amp; 317'!OSRRefP22_14x_0</vt:lpstr>
      <vt:lpstr>'301'!OSRRefP22_14x_0</vt:lpstr>
      <vt:lpstr>'310'!OSRRefP22_14x_0</vt:lpstr>
      <vt:lpstr>'310 &amp; 491'!OSRRefP22_14x_0</vt:lpstr>
      <vt:lpstr>'315'!OSRRefP22_14x_0</vt:lpstr>
      <vt:lpstr>'325'!OSRRefP22_14x_0</vt:lpstr>
      <vt:lpstr>'326'!OSRRefP22_14x_0</vt:lpstr>
      <vt:lpstr>'331'!OSRRefP22_14x_0</vt:lpstr>
      <vt:lpstr>'405'!OSRRefP22_14x_0</vt:lpstr>
      <vt:lpstr>'411'!OSRRefP22_14x_0</vt:lpstr>
      <vt:lpstr>'415'!OSRRefP22_14x_0</vt:lpstr>
      <vt:lpstr>'418'!OSRRefP22_14x_0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'315'!OSRRefP22_15x_0</vt:lpstr>
      <vt:lpstr>'326'!OSRRefP22_15x_0</vt:lpstr>
      <vt:lpstr>'331'!OSRRefP22_15x_0</vt:lpstr>
      <vt:lpstr>'405'!OSRRefP22_15x_0</vt:lpstr>
      <vt:lpstr>'415'!OSRRefP22_15x_0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'315'!OSRRefP22_16x_0</vt:lpstr>
      <vt:lpstr>'326'!OSRRefP22_16x_0</vt:lpstr>
      <vt:lpstr>'331'!OSRRefP22_16x_0</vt:lpstr>
      <vt:lpstr>'415'!OSRRefP22_16x_0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 &amp; 491'!OSRRefP22_17x_0</vt:lpstr>
      <vt:lpstr>'326'!OSRRefP22_17x_0</vt:lpstr>
      <vt:lpstr>'331'!OSRRefP22_17x_0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 &amp; 491'!OSRRefP22_18x_0</vt:lpstr>
      <vt:lpstr>'331'!OSRRefP22_18x_0</vt:lpstr>
      <vt:lpstr>'491'!OSRRefP22_18x_0</vt:lpstr>
      <vt:lpstr>'492'!OSRRefP22_18x_0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 &amp; 491'!OSRRefP22_19x_0</vt:lpstr>
      <vt:lpstr>'331'!OSRRefP22_19x_0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'315'!OSRRefP22_1x_0</vt:lpstr>
      <vt:lpstr>'316'!OSRRefP22_1x_0</vt:lpstr>
      <vt:lpstr>'317'!OSRRefP22_1x_0</vt:lpstr>
      <vt:lpstr>'321'!OSRRefP22_1x_0</vt:lpstr>
      <vt:lpstr>'325'!OSRRefP22_1x_0</vt:lpstr>
      <vt:lpstr>'326'!OSRRefP22_1x_0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'444'!OSRRefP22_1x_0</vt:lpstr>
      <vt:lpstr>'450'!OSRRefP22_1x_0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 &amp; 491'!OSRRefP22_20x_0</vt:lpstr>
      <vt:lpstr>'331'!OSRRefP22_20x_0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'301'!OSRRefP22_22x_0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'Div 3'!OSRRefP22_23x_0</vt:lpstr>
      <vt:lpstr>Summary!OSRRefP22_23x_0</vt:lpstr>
      <vt:lpstr>'300'!OSRRefP22_24x_0</vt:lpstr>
      <vt:lpstr>'300 &amp; 317'!OSRRefP22_24x_0</vt:lpstr>
      <vt:lpstr>'Div 3'!OSRRefP22_24x_0</vt:lpstr>
      <vt:lpstr>Summary!OSRRefP22_24x_0</vt:lpstr>
      <vt:lpstr>'Div 3'!OSRRefP22_25x_0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'315'!OSRRefP22_2x_0</vt:lpstr>
      <vt:lpstr>'316'!OSRRefP22_2x_0</vt:lpstr>
      <vt:lpstr>'317'!OSRRefP22_2x_0</vt:lpstr>
      <vt:lpstr>'321'!OSRRefP22_2x_0</vt:lpstr>
      <vt:lpstr>'325'!OSRRefP22_2x_0</vt:lpstr>
      <vt:lpstr>'326'!OSRRefP22_2x_0</vt:lpstr>
      <vt:lpstr>'330'!OSRRefP22_2x_0</vt:lpstr>
      <vt:lpstr>'331'!OSRRefP22_2x_0</vt:lpstr>
      <vt:lpstr>'332'!OSRRefP22_2x_0</vt:lpstr>
      <vt:lpstr>'405'!OSRRefP22_2x_0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'423'!OSRRefP22_2x_0</vt:lpstr>
      <vt:lpstr>'425'!OSRRefP22_2x_0</vt:lpstr>
      <vt:lpstr>'430'!OSRRefP22_2x_0</vt:lpstr>
      <vt:lpstr>'433'!OSRRefP22_2x_0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'315'!OSRRefP22_3x_0</vt:lpstr>
      <vt:lpstr>'316'!OSRRefP22_3x_0</vt:lpstr>
      <vt:lpstr>'317'!OSRRefP22_3x_0</vt:lpstr>
      <vt:lpstr>'321'!OSRRefP22_3x_0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'411'!OSRRefP22_3x_0</vt:lpstr>
      <vt:lpstr>'412'!OSRRefP22_3x_0</vt:lpstr>
      <vt:lpstr>'415'!OSRRefP22_3x_0</vt:lpstr>
      <vt:lpstr>'418'!OSRRefP22_3x_0</vt:lpstr>
      <vt:lpstr>'423'!OSRRefP22_3x_0</vt:lpstr>
      <vt:lpstr>'425'!OSRRefP22_3x_0</vt:lpstr>
      <vt:lpstr>'430'!OSRRefP22_3x_0</vt:lpstr>
      <vt:lpstr>'433'!OSRRefP22_3x_0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'315'!OSRRefP22_4x_0</vt:lpstr>
      <vt:lpstr>'316'!OSRRefP22_4x_0</vt:lpstr>
      <vt:lpstr>'317'!OSRRefP22_4x_0</vt:lpstr>
      <vt:lpstr>'321'!OSRRefP22_4x_0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'411'!OSRRefP22_4x_0</vt:lpstr>
      <vt:lpstr>'415'!OSRRefP22_4x_0</vt:lpstr>
      <vt:lpstr>'418'!OSRRefP22_4x_0</vt:lpstr>
      <vt:lpstr>'423'!OSRRefP22_4x_0</vt:lpstr>
      <vt:lpstr>'425'!OSRRefP22_4x_0</vt:lpstr>
      <vt:lpstr>'430'!OSRRefP22_4x_0</vt:lpstr>
      <vt:lpstr>'433'!OSRRefP22_4x_0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'307'!OSRRefP22_5x_0</vt:lpstr>
      <vt:lpstr>'308'!OSRRefP22_5x_0</vt:lpstr>
      <vt:lpstr>'310'!OSRRefP22_5x_0</vt:lpstr>
      <vt:lpstr>'310 &amp; 491'!OSRRefP22_5x_0</vt:lpstr>
      <vt:lpstr>'311'!OSRRefP22_5x_0</vt:lpstr>
      <vt:lpstr>'315'!OSRRefP22_5x_0</vt:lpstr>
      <vt:lpstr>'316'!OSRRefP22_5x_0</vt:lpstr>
      <vt:lpstr>'317'!OSRRefP22_5x_0</vt:lpstr>
      <vt:lpstr>'321'!OSRRefP22_5x_0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'411'!OSRRefP22_5x_0</vt:lpstr>
      <vt:lpstr>'415'!OSRRefP22_5x_0</vt:lpstr>
      <vt:lpstr>'418'!OSRRefP22_5x_0</vt:lpstr>
      <vt:lpstr>'423'!OSRRefP22_5x_0</vt:lpstr>
      <vt:lpstr>'425'!OSRRefP22_5x_0</vt:lpstr>
      <vt:lpstr>'430'!OSRRefP22_5x_0</vt:lpstr>
      <vt:lpstr>'433'!OSRRefP22_5x_0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'307'!OSRRefP22_6x_0</vt:lpstr>
      <vt:lpstr>'308'!OSRRefP22_6x_0</vt:lpstr>
      <vt:lpstr>'310'!OSRRefP22_6x_0</vt:lpstr>
      <vt:lpstr>'310 &amp; 491'!OSRRefP22_6x_0</vt:lpstr>
      <vt:lpstr>'311'!OSRRefP22_6x_0</vt:lpstr>
      <vt:lpstr>'315'!OSRRefP22_6x_0</vt:lpstr>
      <vt:lpstr>'316'!OSRRefP22_6x_0</vt:lpstr>
      <vt:lpstr>'317'!OSRRefP22_6x_0</vt:lpstr>
      <vt:lpstr>'321'!OSRRefP22_6x_0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'411'!OSRRefP22_6x_0</vt:lpstr>
      <vt:lpstr>'415'!OSRRefP22_6x_0</vt:lpstr>
      <vt:lpstr>'418'!OSRRefP22_6x_0</vt:lpstr>
      <vt:lpstr>'430'!OSRRefP22_6x_0</vt:lpstr>
      <vt:lpstr>'433'!OSRRefP22_6x_0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'307'!OSRRefP22_7x_0</vt:lpstr>
      <vt:lpstr>'308'!OSRRefP22_7x_0</vt:lpstr>
      <vt:lpstr>'310'!OSRRefP22_7x_0</vt:lpstr>
      <vt:lpstr>'310 &amp; 491'!OSRRefP22_7x_0</vt:lpstr>
      <vt:lpstr>'311'!OSRRefP22_7x_0</vt:lpstr>
      <vt:lpstr>'315'!OSRRefP22_7x_0</vt:lpstr>
      <vt:lpstr>'316'!OSRRefP22_7x_0</vt:lpstr>
      <vt:lpstr>'317'!OSRRefP22_7x_0</vt:lpstr>
      <vt:lpstr>'321'!OSRRefP22_7x_0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'411'!OSRRefP22_7x_0</vt:lpstr>
      <vt:lpstr>'415'!OSRRefP22_7x_0</vt:lpstr>
      <vt:lpstr>'418'!OSRRefP22_7x_0</vt:lpstr>
      <vt:lpstr>'430'!OSRRefP22_7x_0</vt:lpstr>
      <vt:lpstr>'433'!OSRRefP22_7x_0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'300'!OSRRefP22_8x_0</vt:lpstr>
      <vt:lpstr>'300 &amp; 317'!OSRRefP22_8x_0</vt:lpstr>
      <vt:lpstr>'301'!OSRRefP22_8x_0</vt:lpstr>
      <vt:lpstr>'307'!OSRRefP22_8x_0</vt:lpstr>
      <vt:lpstr>'308'!OSRRefP22_8x_0</vt:lpstr>
      <vt:lpstr>'310'!OSRRefP22_8x_0</vt:lpstr>
      <vt:lpstr>'310 &amp; 491'!OSRRefP22_8x_0</vt:lpstr>
      <vt:lpstr>'311'!OSRRefP22_8x_0</vt:lpstr>
      <vt:lpstr>'315'!OSRRefP22_8x_0</vt:lpstr>
      <vt:lpstr>'316'!OSRRefP22_8x_0</vt:lpstr>
      <vt:lpstr>'317'!OSRRefP22_8x_0</vt:lpstr>
      <vt:lpstr>'321'!OSRRefP22_8x_0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'411'!OSRRefP22_8x_0</vt:lpstr>
      <vt:lpstr>'415'!OSRRefP22_8x_0</vt:lpstr>
      <vt:lpstr>'418'!OSRRefP22_8x_0</vt:lpstr>
      <vt:lpstr>'430'!OSRRefP22_8x_0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'300'!OSRRefP22_9x_0</vt:lpstr>
      <vt:lpstr>'300 &amp; 317'!OSRRefP22_9x_0</vt:lpstr>
      <vt:lpstr>'301'!OSRRefP22_9x_0</vt:lpstr>
      <vt:lpstr>'307'!OSRRefP22_9x_0</vt:lpstr>
      <vt:lpstr>'308'!OSRRefP22_9x_0</vt:lpstr>
      <vt:lpstr>'310'!OSRRefP22_9x_0</vt:lpstr>
      <vt:lpstr>'310 &amp; 491'!OSRRefP22_9x_0</vt:lpstr>
      <vt:lpstr>'311'!OSRRefP22_9x_0</vt:lpstr>
      <vt:lpstr>'315'!OSRRefP22_9x_0</vt:lpstr>
      <vt:lpstr>'316'!OSRRefP22_9x_0</vt:lpstr>
      <vt:lpstr>'317'!OSRRefP22_9x_0</vt:lpstr>
      <vt:lpstr>'321'!OSRRefP22_9x_0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'411'!OSRRefP22_9x_0</vt:lpstr>
      <vt:lpstr>'415'!OSRRefP22_9x_0</vt:lpstr>
      <vt:lpstr>'418'!OSRRefP22_9x_0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'315'!OSRRefP22x_0</vt:lpstr>
      <vt:lpstr>'316'!OSRRefP22x_0</vt:lpstr>
      <vt:lpstr>'317'!OSRRefP22x_0</vt:lpstr>
      <vt:lpstr>'321'!OSRRefP22x_0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'423'!OSRRefP22x_0</vt:lpstr>
      <vt:lpstr>'424'!OSRRefP22x_0</vt:lpstr>
      <vt:lpstr>'425'!OSRRefP22x_0</vt:lpstr>
      <vt:lpstr>'430'!OSRRefP22x_0</vt:lpstr>
      <vt:lpstr>'433'!OSRRefP22x_0</vt:lpstr>
      <vt:lpstr>'444'!OSRRefP22x_0</vt:lpstr>
      <vt:lpstr>'450'!OSRRefP22x_0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'331'!OSRRefP25x_0</vt:lpstr>
      <vt:lpstr>'332'!OSRRefP25x_0</vt:lpstr>
      <vt:lpstr>'405'!OSRRefP25x_0</vt:lpstr>
      <vt:lpstr>'411'!OSRRefP25x_0</vt:lpstr>
      <vt:lpstr>'415'!OSRRefP25x_0</vt:lpstr>
      <vt:lpstr>'418'!OSRRefP25x_0</vt:lpstr>
      <vt:lpstr>'423'!OSRRefP25x_0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'307'!OSRRefT13x_0</vt:lpstr>
      <vt:lpstr>'308'!OSRRefT13x_0</vt:lpstr>
      <vt:lpstr>'310'!OSRRefT13x_0</vt:lpstr>
      <vt:lpstr>'310 &amp; 491'!OSRRefT13x_0</vt:lpstr>
      <vt:lpstr>'311'!OSRRefT13x_0</vt:lpstr>
      <vt:lpstr>'315'!OSRRefT13x_0</vt:lpstr>
      <vt:lpstr>'316'!OSRRefT13x_0</vt:lpstr>
      <vt:lpstr>'317'!OSRRefT13x_0</vt:lpstr>
      <vt:lpstr>'321'!OSRRefT13x_0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'415'!OSRRefT13x_0</vt:lpstr>
      <vt:lpstr>'418'!OSRRefT13x_0</vt:lpstr>
      <vt:lpstr>'425'!OSRRefT13x_0</vt:lpstr>
      <vt:lpstr>'433'!OSRRefT13x_0</vt:lpstr>
      <vt:lpstr>'444'!OSRRefT13x_0</vt:lpstr>
      <vt:lpstr>'450'!OSRRefT13x_0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'301'!OSRRefT16x_0</vt:lpstr>
      <vt:lpstr>'307'!OSRRefT16x_0</vt:lpstr>
      <vt:lpstr>'308'!OSRRefT16x_0</vt:lpstr>
      <vt:lpstr>'310'!OSRRefT16x_0</vt:lpstr>
      <vt:lpstr>'310 &amp; 491'!OSRRefT16x_0</vt:lpstr>
      <vt:lpstr>'311'!OSRRefT16x_0</vt:lpstr>
      <vt:lpstr>'315'!OSRRefT16x_0</vt:lpstr>
      <vt:lpstr>'316'!OSRRefT16x_0</vt:lpstr>
      <vt:lpstr>'317'!OSRRefT16x_0</vt:lpstr>
      <vt:lpstr>'321'!OSRRefT16x_0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'332'!OSRRefT16x_0</vt:lpstr>
      <vt:lpstr>'405'!OSRRefT16x_0</vt:lpstr>
      <vt:lpstr>'415'!OSRRefT16x_0</vt:lpstr>
      <vt:lpstr>'418'!OSRRefT16x_0</vt:lpstr>
      <vt:lpstr>'425'!OSRRefT16x_0</vt:lpstr>
      <vt:lpstr>'433'!OSRRefT16x_0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'315'!OSRRefT22_0x_0</vt:lpstr>
      <vt:lpstr>'316'!OSRRefT22_0x_0</vt:lpstr>
      <vt:lpstr>'317'!OSRRefT22_0x_0</vt:lpstr>
      <vt:lpstr>'321'!OSRRefT22_0x_0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'444'!OSRRefT22_0x_0</vt:lpstr>
      <vt:lpstr>'450'!OSRRefT22_0x_0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'300'!OSRRefT22_10x_0</vt:lpstr>
      <vt:lpstr>'300 &amp; 317'!OSRRefT22_10x_0</vt:lpstr>
      <vt:lpstr>'301'!OSRRefT22_10x_0</vt:lpstr>
      <vt:lpstr>'307'!OSRRefT22_10x_0</vt:lpstr>
      <vt:lpstr>'308'!OSRRefT22_10x_0</vt:lpstr>
      <vt:lpstr>'310'!OSRRefT22_10x_0</vt:lpstr>
      <vt:lpstr>'310 &amp; 491'!OSRRefT22_10x_0</vt:lpstr>
      <vt:lpstr>'311'!OSRRefT22_10x_0</vt:lpstr>
      <vt:lpstr>'315'!OSRRefT22_10x_0</vt:lpstr>
      <vt:lpstr>'316'!OSRRefT22_10x_0</vt:lpstr>
      <vt:lpstr>'321'!OSRRefT22_10x_0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'411'!OSRRefT22_10x_0</vt:lpstr>
      <vt:lpstr>'415'!OSRRefT22_10x_0</vt:lpstr>
      <vt:lpstr>'418'!OSRRefT22_10x_0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Summary!OSRRefT22_10x_0</vt:lpstr>
      <vt:lpstr>'201'!OSRRefT22_11x_0</vt:lpstr>
      <vt:lpstr>'202'!OSRRefT22_11x_0</vt:lpstr>
      <vt:lpstr>'203'!OSRRefT22_11x_0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'310'!OSRRefT22_11x_0</vt:lpstr>
      <vt:lpstr>'310 &amp; 491'!OSRRefT22_11x_0</vt:lpstr>
      <vt:lpstr>'311'!OSRRefT22_11x_0</vt:lpstr>
      <vt:lpstr>'315'!OSRRefT22_11x_0</vt:lpstr>
      <vt:lpstr>'321'!OSRRefT22_11x_0</vt:lpstr>
      <vt:lpstr>'325'!OSRRefT22_11x_0</vt:lpstr>
      <vt:lpstr>'326'!OSRRefT22_11x_0</vt:lpstr>
      <vt:lpstr>'330'!OSRRefT22_11x_0</vt:lpstr>
      <vt:lpstr>'331'!OSRRefT22_11x_0</vt:lpstr>
      <vt:lpstr>'405'!OSRRefT22_11x_0</vt:lpstr>
      <vt:lpstr>'411'!OSRRefT22_11x_0</vt:lpstr>
      <vt:lpstr>'415'!OSRRefT22_11x_0</vt:lpstr>
      <vt:lpstr>'418'!OSRRefT22_11x_0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Summary!OSRRefT22_11x_0</vt:lpstr>
      <vt:lpstr>'201'!OSRRefT22_12x_0</vt:lpstr>
      <vt:lpstr>'203'!OSRRefT22_12x_0</vt:lpstr>
      <vt:lpstr>'300'!OSRRefT22_12x_0</vt:lpstr>
      <vt:lpstr>'300 &amp; 317'!OSRRefT22_12x_0</vt:lpstr>
      <vt:lpstr>'301'!OSRRefT22_12x_0</vt:lpstr>
      <vt:lpstr>'307'!OSRRefT22_12x_0</vt:lpstr>
      <vt:lpstr>'308'!OSRRefT22_12x_0</vt:lpstr>
      <vt:lpstr>'310'!OSRRefT22_12x_0</vt:lpstr>
      <vt:lpstr>'310 &amp; 491'!OSRRefT22_12x_0</vt:lpstr>
      <vt:lpstr>'311'!OSRRefT22_12x_0</vt:lpstr>
      <vt:lpstr>'315'!OSRRefT22_12x_0</vt:lpstr>
      <vt:lpstr>'325'!OSRRefT22_12x_0</vt:lpstr>
      <vt:lpstr>'326'!OSRRefT22_12x_0</vt:lpstr>
      <vt:lpstr>'330'!OSRRefT22_12x_0</vt:lpstr>
      <vt:lpstr>'331'!OSRRefT22_12x_0</vt:lpstr>
      <vt:lpstr>'405'!OSRRefT22_12x_0</vt:lpstr>
      <vt:lpstr>'411'!OSRRefT22_12x_0</vt:lpstr>
      <vt:lpstr>'415'!OSRRefT22_12x_0</vt:lpstr>
      <vt:lpstr>'418'!OSRRefT22_12x_0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'501'!OSRRefT22_12x_0</vt:lpstr>
      <vt:lpstr>'Div 2'!OSRRefT22_12x_0</vt:lpstr>
      <vt:lpstr>'Div 3'!OSRRefT22_12x_0</vt:lpstr>
      <vt:lpstr>'Div 4'!OSRRefT22_12x_0</vt:lpstr>
      <vt:lpstr>'Div 5'!OSRRefT22_12x_0</vt:lpstr>
      <vt:lpstr>Summary!OSRRefT22_12x_0</vt:lpstr>
      <vt:lpstr>'201'!OSRRefT22_13x_0</vt:lpstr>
      <vt:lpstr>'203'!OSRRefT22_13x_0</vt:lpstr>
      <vt:lpstr>'300'!OSRRefT22_13x_0</vt:lpstr>
      <vt:lpstr>'300 &amp; 317'!OSRRefT22_13x_0</vt:lpstr>
      <vt:lpstr>'301'!OSRRefT22_13x_0</vt:lpstr>
      <vt:lpstr>'310'!OSRRefT22_13x_0</vt:lpstr>
      <vt:lpstr>'310 &amp; 491'!OSRRefT22_13x_0</vt:lpstr>
      <vt:lpstr>'315'!OSRRefT22_13x_0</vt:lpstr>
      <vt:lpstr>'325'!OSRRefT22_13x_0</vt:lpstr>
      <vt:lpstr>'326'!OSRRefT22_13x_0</vt:lpstr>
      <vt:lpstr>'331'!OSRRefT22_13x_0</vt:lpstr>
      <vt:lpstr>'405'!OSRRefT22_13x_0</vt:lpstr>
      <vt:lpstr>'411'!OSRRefT22_13x_0</vt:lpstr>
      <vt:lpstr>'415'!OSRRefT22_13x_0</vt:lpstr>
      <vt:lpstr>'418'!OSRRefT22_13x_0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'501'!OSRRefT22_13x_0</vt:lpstr>
      <vt:lpstr>'Div 2'!OSRRefT22_13x_0</vt:lpstr>
      <vt:lpstr>'Div 3'!OSRRefT22_13x_0</vt:lpstr>
      <vt:lpstr>'Div 4'!OSRRefT22_13x_0</vt:lpstr>
      <vt:lpstr>'Div 5'!OSRRefT22_13x_0</vt:lpstr>
      <vt:lpstr>Summary!OSRRefT22_13x_0</vt:lpstr>
      <vt:lpstr>'203'!OSRRefT22_14x_0</vt:lpstr>
      <vt:lpstr>'300'!OSRRefT22_14x_0</vt:lpstr>
      <vt:lpstr>'300 &amp; 317'!OSRRefT22_14x_0</vt:lpstr>
      <vt:lpstr>'301'!OSRRefT22_14x_0</vt:lpstr>
      <vt:lpstr>'310'!OSRRefT22_14x_0</vt:lpstr>
      <vt:lpstr>'310 &amp; 491'!OSRRefT22_14x_0</vt:lpstr>
      <vt:lpstr>'315'!OSRRefT22_14x_0</vt:lpstr>
      <vt:lpstr>'325'!OSRRefT22_14x_0</vt:lpstr>
      <vt:lpstr>'326'!OSRRefT22_14x_0</vt:lpstr>
      <vt:lpstr>'331'!OSRRefT22_14x_0</vt:lpstr>
      <vt:lpstr>'405'!OSRRefT22_14x_0</vt:lpstr>
      <vt:lpstr>'411'!OSRRefT22_14x_0</vt:lpstr>
      <vt:lpstr>'415'!OSRRefT22_14x_0</vt:lpstr>
      <vt:lpstr>'418'!OSRRefT22_14x_0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'315'!OSRRefT22_15x_0</vt:lpstr>
      <vt:lpstr>'326'!OSRRefT22_15x_0</vt:lpstr>
      <vt:lpstr>'331'!OSRRefT22_15x_0</vt:lpstr>
      <vt:lpstr>'405'!OSRRefT22_15x_0</vt:lpstr>
      <vt:lpstr>'415'!OSRRefT22_15x_0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'315'!OSRRefT22_16x_0</vt:lpstr>
      <vt:lpstr>'326'!OSRRefT22_16x_0</vt:lpstr>
      <vt:lpstr>'331'!OSRRefT22_16x_0</vt:lpstr>
      <vt:lpstr>'415'!OSRRefT22_16x_0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 &amp; 491'!OSRRefT22_17x_0</vt:lpstr>
      <vt:lpstr>'326'!OSRRefT22_17x_0</vt:lpstr>
      <vt:lpstr>'331'!OSRRefT22_17x_0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 &amp; 491'!OSRRefT22_18x_0</vt:lpstr>
      <vt:lpstr>'331'!OSRRefT22_18x_0</vt:lpstr>
      <vt:lpstr>'491'!OSRRefT22_18x_0</vt:lpstr>
      <vt:lpstr>'492'!OSRRefT22_18x_0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 &amp; 491'!OSRRefT22_19x_0</vt:lpstr>
      <vt:lpstr>'331'!OSRRefT22_19x_0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'315'!OSRRefT22_1x_0</vt:lpstr>
      <vt:lpstr>'316'!OSRRefT22_1x_0</vt:lpstr>
      <vt:lpstr>'317'!OSRRefT22_1x_0</vt:lpstr>
      <vt:lpstr>'321'!OSRRefT22_1x_0</vt:lpstr>
      <vt:lpstr>'325'!OSRRefT22_1x_0</vt:lpstr>
      <vt:lpstr>'326'!OSRRefT22_1x_0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'444'!OSRRefT22_1x_0</vt:lpstr>
      <vt:lpstr>'450'!OSRRefT22_1x_0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 &amp; 491'!OSRRefT22_20x_0</vt:lpstr>
      <vt:lpstr>'331'!OSRRefT22_20x_0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'301'!OSRRefT22_22x_0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'Div 3'!OSRRefT22_23x_0</vt:lpstr>
      <vt:lpstr>Summary!OSRRefT22_23x_0</vt:lpstr>
      <vt:lpstr>'300'!OSRRefT22_24x_0</vt:lpstr>
      <vt:lpstr>'300 &amp; 317'!OSRRefT22_24x_0</vt:lpstr>
      <vt:lpstr>'Div 3'!OSRRefT22_24x_0</vt:lpstr>
      <vt:lpstr>Summary!OSRRefT22_24x_0</vt:lpstr>
      <vt:lpstr>'Div 3'!OSRRefT22_25x_0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'315'!OSRRefT22_2x_0</vt:lpstr>
      <vt:lpstr>'316'!OSRRefT22_2x_0</vt:lpstr>
      <vt:lpstr>'317'!OSRRefT22_2x_0</vt:lpstr>
      <vt:lpstr>'321'!OSRRefT22_2x_0</vt:lpstr>
      <vt:lpstr>'325'!OSRRefT22_2x_0</vt:lpstr>
      <vt:lpstr>'326'!OSRRefT22_2x_0</vt:lpstr>
      <vt:lpstr>'330'!OSRRefT22_2x_0</vt:lpstr>
      <vt:lpstr>'331'!OSRRefT22_2x_0</vt:lpstr>
      <vt:lpstr>'332'!OSRRefT22_2x_0</vt:lpstr>
      <vt:lpstr>'405'!OSRRefT22_2x_0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'423'!OSRRefT22_2x_0</vt:lpstr>
      <vt:lpstr>'425'!OSRRefT22_2x_0</vt:lpstr>
      <vt:lpstr>'430'!OSRRefT22_2x_0</vt:lpstr>
      <vt:lpstr>'433'!OSRRefT22_2x_0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'315'!OSRRefT22_3x_0</vt:lpstr>
      <vt:lpstr>'316'!OSRRefT22_3x_0</vt:lpstr>
      <vt:lpstr>'317'!OSRRefT22_3x_0</vt:lpstr>
      <vt:lpstr>'321'!OSRRefT22_3x_0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'411'!OSRRefT22_3x_0</vt:lpstr>
      <vt:lpstr>'412'!OSRRefT22_3x_0</vt:lpstr>
      <vt:lpstr>'415'!OSRRefT22_3x_0</vt:lpstr>
      <vt:lpstr>'418'!OSRRefT22_3x_0</vt:lpstr>
      <vt:lpstr>'423'!OSRRefT22_3x_0</vt:lpstr>
      <vt:lpstr>'425'!OSRRefT22_3x_0</vt:lpstr>
      <vt:lpstr>'430'!OSRRefT22_3x_0</vt:lpstr>
      <vt:lpstr>'433'!OSRRefT22_3x_0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'315'!OSRRefT22_4x_0</vt:lpstr>
      <vt:lpstr>'316'!OSRRefT22_4x_0</vt:lpstr>
      <vt:lpstr>'317'!OSRRefT22_4x_0</vt:lpstr>
      <vt:lpstr>'321'!OSRRefT22_4x_0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'411'!OSRRefT22_4x_0</vt:lpstr>
      <vt:lpstr>'415'!OSRRefT22_4x_0</vt:lpstr>
      <vt:lpstr>'418'!OSRRefT22_4x_0</vt:lpstr>
      <vt:lpstr>'423'!OSRRefT22_4x_0</vt:lpstr>
      <vt:lpstr>'425'!OSRRefT22_4x_0</vt:lpstr>
      <vt:lpstr>'430'!OSRRefT22_4x_0</vt:lpstr>
      <vt:lpstr>'433'!OSRRefT22_4x_0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'307'!OSRRefT22_5x_0</vt:lpstr>
      <vt:lpstr>'308'!OSRRefT22_5x_0</vt:lpstr>
      <vt:lpstr>'310'!OSRRefT22_5x_0</vt:lpstr>
      <vt:lpstr>'310 &amp; 491'!OSRRefT22_5x_0</vt:lpstr>
      <vt:lpstr>'311'!OSRRefT22_5x_0</vt:lpstr>
      <vt:lpstr>'315'!OSRRefT22_5x_0</vt:lpstr>
      <vt:lpstr>'316'!OSRRefT22_5x_0</vt:lpstr>
      <vt:lpstr>'317'!OSRRefT22_5x_0</vt:lpstr>
      <vt:lpstr>'321'!OSRRefT22_5x_0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'411'!OSRRefT22_5x_0</vt:lpstr>
      <vt:lpstr>'415'!OSRRefT22_5x_0</vt:lpstr>
      <vt:lpstr>'418'!OSRRefT22_5x_0</vt:lpstr>
      <vt:lpstr>'423'!OSRRefT22_5x_0</vt:lpstr>
      <vt:lpstr>'425'!OSRRefT22_5x_0</vt:lpstr>
      <vt:lpstr>'430'!OSRRefT22_5x_0</vt:lpstr>
      <vt:lpstr>'433'!OSRRefT22_5x_0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'307'!OSRRefT22_6x_0</vt:lpstr>
      <vt:lpstr>'308'!OSRRefT22_6x_0</vt:lpstr>
      <vt:lpstr>'310'!OSRRefT22_6x_0</vt:lpstr>
      <vt:lpstr>'310 &amp; 491'!OSRRefT22_6x_0</vt:lpstr>
      <vt:lpstr>'311'!OSRRefT22_6x_0</vt:lpstr>
      <vt:lpstr>'315'!OSRRefT22_6x_0</vt:lpstr>
      <vt:lpstr>'316'!OSRRefT22_6x_0</vt:lpstr>
      <vt:lpstr>'317'!OSRRefT22_6x_0</vt:lpstr>
      <vt:lpstr>'321'!OSRRefT22_6x_0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'411'!OSRRefT22_6x_0</vt:lpstr>
      <vt:lpstr>'415'!OSRRefT22_6x_0</vt:lpstr>
      <vt:lpstr>'418'!OSRRefT22_6x_0</vt:lpstr>
      <vt:lpstr>'430'!OSRRefT22_6x_0</vt:lpstr>
      <vt:lpstr>'433'!OSRRefT22_6x_0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'307'!OSRRefT22_7x_0</vt:lpstr>
      <vt:lpstr>'308'!OSRRefT22_7x_0</vt:lpstr>
      <vt:lpstr>'310'!OSRRefT22_7x_0</vt:lpstr>
      <vt:lpstr>'310 &amp; 491'!OSRRefT22_7x_0</vt:lpstr>
      <vt:lpstr>'311'!OSRRefT22_7x_0</vt:lpstr>
      <vt:lpstr>'315'!OSRRefT22_7x_0</vt:lpstr>
      <vt:lpstr>'316'!OSRRefT22_7x_0</vt:lpstr>
      <vt:lpstr>'317'!OSRRefT22_7x_0</vt:lpstr>
      <vt:lpstr>'321'!OSRRefT22_7x_0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'411'!OSRRefT22_7x_0</vt:lpstr>
      <vt:lpstr>'415'!OSRRefT22_7x_0</vt:lpstr>
      <vt:lpstr>'418'!OSRRefT22_7x_0</vt:lpstr>
      <vt:lpstr>'430'!OSRRefT22_7x_0</vt:lpstr>
      <vt:lpstr>'433'!OSRRefT22_7x_0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'300'!OSRRefT22_8x_0</vt:lpstr>
      <vt:lpstr>'300 &amp; 317'!OSRRefT22_8x_0</vt:lpstr>
      <vt:lpstr>'301'!OSRRefT22_8x_0</vt:lpstr>
      <vt:lpstr>'307'!OSRRefT22_8x_0</vt:lpstr>
      <vt:lpstr>'308'!OSRRefT22_8x_0</vt:lpstr>
      <vt:lpstr>'310'!OSRRefT22_8x_0</vt:lpstr>
      <vt:lpstr>'310 &amp; 491'!OSRRefT22_8x_0</vt:lpstr>
      <vt:lpstr>'311'!OSRRefT22_8x_0</vt:lpstr>
      <vt:lpstr>'315'!OSRRefT22_8x_0</vt:lpstr>
      <vt:lpstr>'316'!OSRRefT22_8x_0</vt:lpstr>
      <vt:lpstr>'317'!OSRRefT22_8x_0</vt:lpstr>
      <vt:lpstr>'321'!OSRRefT22_8x_0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'411'!OSRRefT22_8x_0</vt:lpstr>
      <vt:lpstr>'415'!OSRRefT22_8x_0</vt:lpstr>
      <vt:lpstr>'418'!OSRRefT22_8x_0</vt:lpstr>
      <vt:lpstr>'430'!OSRRefT22_8x_0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'300'!OSRRefT22_9x_0</vt:lpstr>
      <vt:lpstr>'300 &amp; 317'!OSRRefT22_9x_0</vt:lpstr>
      <vt:lpstr>'301'!OSRRefT22_9x_0</vt:lpstr>
      <vt:lpstr>'307'!OSRRefT22_9x_0</vt:lpstr>
      <vt:lpstr>'308'!OSRRefT22_9x_0</vt:lpstr>
      <vt:lpstr>'310'!OSRRefT22_9x_0</vt:lpstr>
      <vt:lpstr>'310 &amp; 491'!OSRRefT22_9x_0</vt:lpstr>
      <vt:lpstr>'311'!OSRRefT22_9x_0</vt:lpstr>
      <vt:lpstr>'315'!OSRRefT22_9x_0</vt:lpstr>
      <vt:lpstr>'316'!OSRRefT22_9x_0</vt:lpstr>
      <vt:lpstr>'317'!OSRRefT22_9x_0</vt:lpstr>
      <vt:lpstr>'321'!OSRRefT22_9x_0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'411'!OSRRefT22_9x_0</vt:lpstr>
      <vt:lpstr>'415'!OSRRefT22_9x_0</vt:lpstr>
      <vt:lpstr>'418'!OSRRefT22_9x_0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'315'!OSRRefT22x_0</vt:lpstr>
      <vt:lpstr>'316'!OSRRefT22x_0</vt:lpstr>
      <vt:lpstr>'317'!OSRRefT22x_0</vt:lpstr>
      <vt:lpstr>'321'!OSRRefT22x_0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'423'!OSRRefT22x_0</vt:lpstr>
      <vt:lpstr>'424'!OSRRefT22x_0</vt:lpstr>
      <vt:lpstr>'425'!OSRRefT22x_0</vt:lpstr>
      <vt:lpstr>'430'!OSRRefT22x_0</vt:lpstr>
      <vt:lpstr>'433'!OSRRefT22x_0</vt:lpstr>
      <vt:lpstr>'444'!OSRRefT22x_0</vt:lpstr>
      <vt:lpstr>'450'!OSRRefT22x_0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'331'!OSRRefT25x_0</vt:lpstr>
      <vt:lpstr>'332'!OSRRefT25x_0</vt:lpstr>
      <vt:lpstr>'405'!OSRRefT25x_0</vt:lpstr>
      <vt:lpstr>'411'!OSRRefT25x_0</vt:lpstr>
      <vt:lpstr>'415'!OSRRefT25x_0</vt:lpstr>
      <vt:lpstr>'418'!OSRRefT25x_0</vt:lpstr>
      <vt:lpstr>'423'!OSRRefT25x_0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'315'!Print_Area</vt:lpstr>
      <vt:lpstr>'316'!Print_Area</vt:lpstr>
      <vt:lpstr>'317'!Print_Area</vt:lpstr>
      <vt:lpstr>'320'!Print_Area</vt:lpstr>
      <vt:lpstr>'321'!Print_Area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'423'!Print_Area</vt:lpstr>
      <vt:lpstr>'424'!Print_Area</vt:lpstr>
      <vt:lpstr>'425'!Print_Area</vt:lpstr>
      <vt:lpstr>'430'!Print_Area</vt:lpstr>
      <vt:lpstr>'433'!Print_Area</vt:lpstr>
      <vt:lpstr>'444'!Print_Area</vt:lpstr>
      <vt:lpstr>'450'!Print_Area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(2)_...6aa5a22d_14M6XO4'!Print_Area</vt:lpstr>
      <vt:lpstr>'OSR_300 (2)_7...54cb56fc_UFX0O2'!Print_Area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'OSR_310 (2)_5...3d931dee_QNK8R2'!Print_Area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(2)_...853a34aa_1UNC34K'!Print_Area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(2)...32d16c57_IVJ1QO'!Print_Area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'315'!Print_Titles</vt:lpstr>
      <vt:lpstr>'316'!Print_Titles</vt:lpstr>
      <vt:lpstr>'317'!Print_Titles</vt:lpstr>
      <vt:lpstr>'320'!Print_Titles</vt:lpstr>
      <vt:lpstr>'321'!Print_Titles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'423'!Print_Titles</vt:lpstr>
      <vt:lpstr>'424'!Print_Titles</vt:lpstr>
      <vt:lpstr>'425'!Print_Titles</vt:lpstr>
      <vt:lpstr>'430'!Print_Titles</vt:lpstr>
      <vt:lpstr>'433'!Print_Titles</vt:lpstr>
      <vt:lpstr>'444'!Print_Titles</vt:lpstr>
      <vt:lpstr>'450'!Print_Titles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(2)_...6aa5a22d_14M6XO4'!Print_Titles</vt:lpstr>
      <vt:lpstr>'OSR_300 (2)_7...54cb56fc_UFX0O2'!Print_Titles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'OSR_310 (2)_5...3d931dee_QNK8R2'!Print_Titles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(2)_...853a34aa_1UNC34K'!Print_Titles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(2)...32d16c57_IVJ1QO'!Print_Titles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Tess Monzon</dc:creator>
  <cp:lastModifiedBy>Tess Monzon</cp:lastModifiedBy>
  <dcterms:created xsi:type="dcterms:W3CDTF">2021-12-13T18:07:10Z</dcterms:created>
  <dcterms:modified xsi:type="dcterms:W3CDTF">2021-12-13T18:47:48Z</dcterms:modified>
</cp:coreProperties>
</file>